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<sst xmlns="http://schemas.openxmlformats.org/spreadsheetml/2006/main" count="1527" uniqueCount="704">
  <si>
    <t>Middle Name</t>
  </si>
  <si>
    <t>Last Name</t>
  </si>
  <si>
    <t>Year of Birth</t>
  </si>
  <si>
    <t>Year of Death</t>
  </si>
  <si>
    <t>Obit Link for year of death</t>
  </si>
  <si>
    <t>Company</t>
  </si>
  <si>
    <t>Date Founded</t>
  </si>
  <si>
    <t>Bio</t>
  </si>
  <si>
    <t>Person Image</t>
  </si>
  <si>
    <t>Person Image Credit</t>
  </si>
  <si>
    <t>TIAhall of fame or other article</t>
  </si>
  <si>
    <t>tagie Award or article</t>
  </si>
  <si>
    <t>Playground Professional</t>
  </si>
  <si>
    <t>Article or Book</t>
  </si>
  <si>
    <t>Wikipedia Link</t>
  </si>
  <si>
    <t>Logo</t>
  </si>
  <si>
    <t>Description</t>
  </si>
  <si>
    <t>Image Credit</t>
  </si>
  <si>
    <t>Founding Location</t>
  </si>
  <si>
    <t>Date close or Present</t>
  </si>
  <si>
    <t>Currently owned by</t>
  </si>
  <si>
    <t>Current Public Web Site</t>
  </si>
  <si>
    <t>Funding Universe</t>
  </si>
  <si>
    <t>Playground Professionals</t>
  </si>
  <si>
    <t>Article on Company</t>
  </si>
  <si>
    <t>article on Company</t>
  </si>
  <si>
    <t>First Toy/Game</t>
  </si>
  <si>
    <t>Descripton</t>
  </si>
  <si>
    <t>Date First Sold</t>
  </si>
  <si>
    <t>Image</t>
  </si>
  <si>
    <t>Better known toys/games</t>
  </si>
  <si>
    <t>First Sold</t>
  </si>
  <si>
    <t>THF Link</t>
  </si>
  <si>
    <t>Strong Link</t>
  </si>
  <si>
    <t>Other Links</t>
  </si>
  <si>
    <t>Color Key</t>
  </si>
  <si>
    <t>Sorted on Corporate founding date</t>
  </si>
  <si>
    <t>Green</t>
  </si>
  <si>
    <t>Confirm Jewish Background
</t>
  </si>
  <si>
    <t>Blue
</t>
  </si>
  <si>
    <t>Need Person Info</t>
  </si>
  <si>
    <t>Purple</t>
  </si>
  <si>
    <t>Need Company Info</t>
  </si>
  <si>
    <t>Yellow</t>
  </si>
  <si>
    <t>Secondary Folks for Later</t>
  </si>
  <si>
    <t>Grey</t>
  </si>
  <si>
    <t>Add to Timeline
</t>
  </si>
  <si>
    <t>Red</t>
  </si>
  <si>
    <t>Enough for now</t>
  </si>
  <si>
    <t>White</t>
  </si>
  <si>
    <t>On Hold for Now</t>
  </si>
  <si>
    <t>Lewis</t>
  </si>
  <si>
    <t>I</t>
  </si>
  <si>
    <t>Cohen</t>
  </si>
  <si>
    <t>L.I Cohen, New York</t>
  </si>
  <si>
    <t>Cohen was born in the US, and in 1814 was apprenticed at a half-brother's pencil business the UK. Afterward he returned to start his own business as the first US lead pencil manufacturer and the first stationer to sell steel pens instead of quills. He added playing cards to his inventory in 1932 and in 1935 pioneered the use of single pass, four color printing for playing cards, which became his exclusive business and made him the leading company in playing cards. He eventually gave control of the business to his son and his nephew, who would eventually merge the company with two other Jewish owned playing card businesses to form the New York Consolidated Card Company.</t>
  </si>
  <si>
    <t>NA</t>
  </si>
  <si>
    <t>Initialy a pencil manufacturer, the company branched out into other writing implements, stationary, and then pioneered the mechanical four color printing of playing cards.</t>
  </si>
  <si>
    <t>New York, NY. USA</t>
  </si>
  <si>
    <t>playing cards</t>
  </si>
  <si>
    <t>Playing Cards</t>
  </si>
  <si>
    <t>Frederick</t>
  </si>
  <si>
    <t>August  Otto</t>
  </si>
  <si>
    <t>Schwarz</t>
  </si>
  <si>
    <t>F.A.O Schwarz</t>
  </si>
  <si>
    <t>Frederick Schwarz was the last of his four brothers to emigrate from Germany to the US. The four brothers opened the Schwarz Toy Bazaar in Baltimore in 1862, inside another retail store. The brothers later opened more stores in Boston and Philadelphia while Frederick opened Schwarz Brothers--Importers, eventually in two locations in New York City. He later merged the two and opened FAO Schwarz.</t>
  </si>
  <si>
    <t>A pioneering toy retailer, the company is best known today for carrying higher-end collectible toy lines and a few exclusive toys and brands, one of the most notable additions being the "WhatNot" customizable Muppet "extras".</t>
  </si>
  <si>
    <t>Baltimore, MD, USA</t>
  </si>
  <si>
    <t>Present</t>
  </si>
  <si>
    <t>Ignaz</t>
  </si>
  <si>
    <t>Bing</t>
  </si>
  <si>
    <t>Gebruder Bing</t>
  </si>
  <si>
    <t>Ignaz founded Gebruder Bing with his brother Adolf initially as a kitchenware manufacturer. In the late 1800s, they began making toy trains. They refined the "Nuremberg Process" of manufacturing 3D toys out of enameled sheet metal parts that were assembled via a tab and slot process. Their successes with the process and their getting on the Teddy Bear bandwagon made them the top toy manufacturer in the world in the early 1900's.Ignaz was a nature buff and discovered the "Bing Cave" in Streitberg in 1905.</t>
  </si>
  <si>
    <t>Originaly a manufacturer of "tableware" in tin and pewter, the company began toy production in 1880 or 1890 according to different sources. They made a variety of toys and industrial metal goods, becoming the largest toy company in the world.  US tariffs against foriegn imported toys and the depression of 1929 helped bring the company down in 1932. The company was acquired and refloated as Bing Power Systems. A group of business men has recently revived the name as Gebruder Bing Toys and Bears in Bamberg.</t>
  </si>
  <si>
    <t>Nuremberg, Germany</t>
  </si>
  <si>
    <t>toy trains</t>
  </si>
  <si>
    <t>A wide line of mechanical and non-mechanical toys</t>
  </si>
  <si>
    <t>Adolf</t>
  </si>
  <si>
    <t>Moses</t>
  </si>
  <si>
    <t>Kohnstram</t>
  </si>
  <si>
    <t>MOKO Toys</t>
  </si>
  <si>
    <t>Fuerth, Germany</t>
  </si>
  <si>
    <t>Jacob</t>
  </si>
  <si>
    <t>Wolf</t>
  </si>
  <si>
    <t>Spear</t>
  </si>
  <si>
    <t>Jakob Wolf Spier</t>
  </si>
  <si>
    <t>J.W. Spear/ J.W.Spear and Sons</t>
  </si>
  <si>
    <t>Born Jacob Wolf Spier, his name was anglicised after some time in the US before returning to Germany and forming his company.</t>
  </si>
  <si>
    <t>Originaly a producer of "Fancy Goods" (stationary and housewares), the company began producing board and card games as well. In 1899 it moved to Nuremberg and focused exclusively on games. In 1938, like many other Jewish-owned companies, the family was forced to sell it off to an "Aryan". They eventually recovered the business after the war and it ran until it was acquired by Mattel over 100 years after its founding.</t>
  </si>
  <si>
    <t>Mattell</t>
  </si>
  <si>
    <t>The Jolly Old Maid</t>
  </si>
  <si>
    <t>One of the earliest card games still played. Essentially a matching game with one odd card, Old Maid can be played with a regular deck by removing one or three queens. The cards usually carry humorous images and names, such as "Miss Snoopwell", and "Miss Bizzybuzz." Credit: http://www.museumofplay.org/online-collections/3/41/113.597</t>
  </si>
  <si>
    <t>http://www.wopc.co.uk/assets/images/subjects/games/spears/old-maid-box.jpg</t>
  </si>
  <si>
    <t>Happy Families</t>
  </si>
  <si>
    <t>Happy Families is a traditional card game played in the UK. The set of card features family of four, and the objective is to collect complete families. Credit: http://en.wikipedia.org/wiki/Happy_Families</t>
  </si>
  <si>
    <t>Lewin</t>
  </si>
  <si>
    <t>Minkowski</t>
  </si>
  <si>
    <t>Lewin Minkowski and Son</t>
  </si>
  <si>
    <t>Peter</t>
  </si>
  <si>
    <t>Doll</t>
  </si>
  <si>
    <t>Doll &amp; Co</t>
  </si>
  <si>
    <t>Joshua</t>
  </si>
  <si>
    <t>Lionel</t>
  </si>
  <si>
    <t>Cowen</t>
  </si>
  <si>
    <t>Lionel Corporation</t>
  </si>
  <si>
    <t>Born Joshua Lionel Cohen, he began dismantling and building toys as a child. An electrical engineer by trade, the dry cell battery he developed, the first of its kind, for an unsuccessful battery powered fan drove the "Electric Express" train he built for a store window display. Demand for the display as a children's toy led to a major company with decades of innovation.</t>
  </si>
  <si>
    <t>The company began as a general electrical devices company until an electric train developed as a store display became a product, then the main product line, of the company iiself.</t>
  </si>
  <si>
    <t>Lionel LLC</t>
  </si>
  <si>
    <t>Toy Trains and Accessories</t>
  </si>
  <si>
    <t>Tobias</t>
  </si>
  <si>
    <t>Cohn</t>
  </si>
  <si>
    <t>t. Cohn Company</t>
  </si>
  <si>
    <t>pail and shovel</t>
  </si>
  <si>
    <t>Rose</t>
  </si>
  <si>
    <t>Michtom</t>
  </si>
  <si>
    <t>Ideal</t>
  </si>
  <si>
    <t>(with Morris)</t>
  </si>
  <si>
    <t>New York City, NY, USA</t>
  </si>
  <si>
    <t>teddy bear</t>
  </si>
  <si>
    <t>
</t>
  </si>
  <si>
    <t xml:space="preserve">Morris </t>
  </si>
  <si>
    <t>The Mitchoms were running a candy store in Brooklyn. In the evening, Rose sewed dolls to sell as well. Inspired by Clifford Berryman's Washington post cartoon of Teddy Rosevelt refusing to shoot a staked bear, she sewed a stuffed bear. Morris put it in the window with a sign reading "Teddy's Bear" which became a term even retroactively applied to the stuffed bears sold by Steiff, which was likely selling stuffed bears before the Michtoms. Walk-in demand for the toy had the couple writing to Roosevelt asking for permission to use the name "Teddy Bear" and a toy empire was born when the Mitchom's founded Ideal Novelty and Toy Company.</t>
  </si>
  <si>
    <t>Ideal started with the Teddy Bear and began primarilly as a doll company. The Mr. Machine toy they licensed from Marving Glass and Associates was so popular that it was featured on their packaging, along with their logo, for years.</t>
  </si>
  <si>
    <t>Benjamin</t>
  </si>
  <si>
    <t>N/A</t>
  </si>
  <si>
    <t>Louis</t>
  </si>
  <si>
    <t>Marx</t>
  </si>
  <si>
    <t>Louis Marx and Company</t>
  </si>
  <si>
    <t xml:space="preserve">Born in Brooklyn, New York, Marx graduated high school at age 15 and started his career by working for Ferdinand Strauss, a manufacturer of mechanical toys. By 1916, Marx was managing Strauss' plant. But within a year, Marx was fired by Strauss' board of directors. After a stint in the Army and a post-war job with a wooden toy company, Marx and his brother David incorporated in New York City in 1919 as “Louis Marx and Company". The company worked with other companies initially before buying some manufacturing equipment from his former employer, Strauss. Marx improved on the Strauss designs and became a millionaire. </t>
  </si>
  <si>
    <t>Marx Toy Museum</t>
  </si>
  <si>
    <t>A testament to the business acumen of Louis Marx, the company had millions of dollars in sales within three years of its start. The company based its initial success by streamlining production in the era of metal toys.</t>
  </si>
  <si>
    <t>Zippo WInd Up Toy</t>
  </si>
  <si>
    <t>
Big Wheel</t>
  </si>
  <si>
    <t>Rock 'Em Sock 'Em Robots (designed by MGA)</t>
  </si>
  <si>
    <t>Jack</t>
  </si>
  <si>
    <t>Pressman</t>
  </si>
  <si>
    <t>Pressman Toys</t>
  </si>
  <si>
    <t>Jack Pressman started in his father's retail store. He got interested in the toy industry when talking with the salesmen that would visit the store. His first big hit was "Hop Ching Chinese Checkers" which he licensed, and the game was so popular that he also became "The Marble King" because he ordered so many from manufacturers for the game. Pressman Toy Corporation also packaged and sold millions of marbles as well. Pressman's wife Lynn became Executive VP in 1947 and took over the company at his death in 1959.</t>
  </si>
  <si>
    <t>Pressman first took off with Chinese Checkers and a sideline of selling and distributing millions of marbles in addition to the ones they used in their own games. Folllowing the early death of its founder Jack, the company was helmed by his wife Lynn, making her one of three powerful female toy company heads of the time along with Beatrice Alexander and Ruth Handler.</t>
  </si>
  <si>
    <t>Chinese Checkers</t>
  </si>
  <si>
    <t>Doctor Bag, Big League Action Baseball, UNICEF Pen Pall Dolls</t>
  </si>
  <si>
    <t>Lynn</t>
  </si>
  <si>
    <t>Raymond</t>
  </si>
  <si>
    <t xml:space="preserve">Lynn Pressman Raymond's contributions to the company began with Doctor and Nurse kits and a line of Pen Pal Dolls, in cooperation with UNICEF to promote connections between children around the world. </t>
  </si>
  <si>
    <t>William</t>
  </si>
  <si>
    <t>James</t>
  </si>
  <si>
    <t>Beatrice</t>
  </si>
  <si>
    <t>Alexander</t>
  </si>
  <si>
    <t>Behrman</t>
  </si>
  <si>
    <t>Madame Alexander Doll Company</t>
  </si>
  <si>
    <t xml:space="preserve">“Madame” Alexander’s step-father, Maurice, opened the United States’ first "Doll Hospital" in New York City in 1895, repairing the porcelain playthings. Beatrice (born Bertha) and her sisters began making their own cloth dolls for sale (the first being a Red Cross Nurse) during World War I. Beatrice formed the Alexander Doll Company out of her home in 1923 with her husband and began selling  Alice in Wonderland dolls. </t>
  </si>
  <si>
    <t>Beginning as a home business, Madame Alexander Dolls was one of the largest doll companies in America, employing over 1,500 workers at its peak. Though it initially made inexpensive dolls, over the years it became known for its high-end collectibles and had the first doll for adult clothes and fashion four years before Barbie came into being.</t>
  </si>
  <si>
    <t>Cloth "Red Cross Nurse" and Baby Dolls</t>
  </si>
  <si>
    <t>Sydney</t>
  </si>
  <si>
    <t>Rosen</t>
  </si>
  <si>
    <t>Rose Art</t>
  </si>
  <si>
    <t>Sydney's father, Isidore had formed Rosebud Art Industries a novelty toy and art supply company in 1923. But it was Sydney, renaming Rose Art after he took over the company from his father and brother, who grew it into an industry leading company.</t>
  </si>
  <si>
    <t>With its origins in arts and crafts supplies, RoseArt has had a mix of toys and arts and crafts throught its history.  Today its primary focus is back on arts and crafts, but it still has one major line of construction toys and action figures in the Mega Blocks line.</t>
  </si>
  <si>
    <t>Bronx, NY, USA</t>
  </si>
  <si>
    <t>arts and crafts</t>
  </si>
  <si>
    <t>Magnetix</t>
  </si>
  <si>
    <t>Mega Blocks</t>
  </si>
  <si>
    <t>Merrill</t>
  </si>
  <si>
    <t xml:space="preserve">L. </t>
  </si>
  <si>
    <t>Hassenfeld</t>
  </si>
  <si>
    <t>Hasbro (Formerely Hassenfeld Brothers, Inc)</t>
  </si>
  <si>
    <t>Merrill Hassenfeld joined Hassenfeld Brothers, Inc (shortened to Hasbro, inc in 1968) in 1938. The company had been founded by his father Henry and two uncles, Herman and Hilal, in 1926 as a textile company that then moved into school supplies. Merrill moved them to manufacturing toys, starting with doctor, nurse and air raid warden kits during World War Two. It was Henry and Merrill that acquired Mr. Potato Head from George Lerner. Merrill became President in 1943.</t>
  </si>
  <si>
    <t>Hasbro, Inc has its roots in Hassenfeld Brothers, Inc. The company, formed by Henry, Hilal, and Herman Hassenfeld, three brothers from Poland, was initially a cloth remnants business that moved into school supplies.  Merrill Henry's son, was the driving force that moved the company toys and games. Since its first blockbuster toy, Mr. Potato Head, Hasbro has grown to a $4 billion dollar a year company, second only to Mattel, Inc.</t>
  </si>
  <si>
    <t>Providence, RI, USA</t>
  </si>
  <si>
    <t>Hasbro</t>
  </si>
  <si>
    <t>Hasbro (Formerely Hassenfeld Brothers, INc)</t>
  </si>
  <si>
    <t>Nurse, Doctor and Junior Air Warden Kits</t>
  </si>
  <si>
    <t>1940's</t>
  </si>
  <si>
    <t>G. I Joe</t>
  </si>
  <si>
    <t>Stephen</t>
  </si>
  <si>
    <t xml:space="preserve">D. </t>
  </si>
  <si>
    <t>Stephen Hassenfeld, Merrill's eldest son, joined the company in 1964 and rose steadily up the ranks to chairman and CEO.  He was responsible for a period of phenomenal growth at the company, acquiring Milton Bradley and many other companies and moving it from $100 million in sales to over $1 billion during his tenure there.</t>
  </si>
  <si>
    <t>Same as other hasbro</t>
  </si>
  <si>
    <t>Alan</t>
  </si>
  <si>
    <t>G.</t>
  </si>
  <si>
    <t>Alan G. Hassenfeld started at Hasbro in 1970 and rose up the ranks to Chairman and CEO, a position he held from 1989 until 2008. He continues to serve on the Executive Committee of the company's Board of Directors.</t>
  </si>
  <si>
    <t>http://www.northeastern.edu/camd/cfa/wp-content/uploads/sites/10/2014/07/Alan-Hassenfeld.jpg</t>
  </si>
  <si>
    <t>David</t>
  </si>
  <si>
    <t>Gottlieb</t>
  </si>
  <si>
    <t>1900??</t>
  </si>
  <si>
    <t>D. Gottlieb &amp; Co.</t>
  </si>
  <si>
    <t>David Gottlieb went from distributing Hershey vending machines to founding the leading Pinball company.  During the years when pinball was classified as a game of chance vs. skill, (some machines had payouts for a win, not unlike "one-armed bandits") and regulated or banned as a gambling device Gottlieb led a faction of the industry fighting against the characterization and refused to create payout machines while Bally went the other way and has been a key player in gambling games for decades</t>
  </si>
  <si>
    <t>D. Gottlieb &amp; Co. first produced mechanical pin games and later made electromechanical pinball games starting in 1935. Gottlieb's Humpty Dumpty (1947) was the first game made with electromechanical flippers. They would also produce some videogame arcade cabinets, most noteable being Q*bert.</t>
  </si>
  <si>
    <t>Chicago, IL, USA</t>
  </si>
  <si>
    <t>D. Gottlieb and Company</t>
  </si>
  <si>
    <t>Baffle Ball</t>
  </si>
  <si>
    <t>This was the first successful coin-op "pin game." Pin games were a coin-operated variant of Bagatelle that sat on the counter-top of retail stores, bars and restaurants. Bagatelle's size, design and quality made it the stand out, even amongst those that followed it</t>
  </si>
  <si>
    <t>Humpty Dumpty</t>
  </si>
  <si>
    <t>The first pinball game with modern flippers, this machine had 6.  Genco's Steve Kordek would design the first pinball game with what became the standard configuation of two at the bottom of the playfield</t>
  </si>
  <si>
    <t>Edwin</t>
  </si>
  <si>
    <t xml:space="preserve">S. </t>
  </si>
  <si>
    <t>Lowe</t>
  </si>
  <si>
    <t>E.S. Lowe</t>
  </si>
  <si>
    <t>The son of an Orthdox Rabbi, Lowe was born in Poland and went to school in Palestine before arriving in America at age 18. While working as a toy and game salesman he hit a carnival in Georgia that had a game called Beano that the game operator had seen first in Germany. Lowe improved on the game once by adding to the number of cards and combinations renaming it Bingo. Later he would work with a mathematician to further modify the game. Lowe also adapted and improved upon a game some friends of his invented to play with visitors on their yacht. Once again Lowe improved and marketed the game, which he named Yahtzee. He sold his company to Milton Bradley in 1973 for $26 million dollars. He would also hit the jackpot in later years pursuing real estate and banking deals, the best known of which was the Tallyho Inn in Las Vegas, which later became The Stardust.</t>
  </si>
  <si>
    <t>The company's flagship games were Bingo and Yahtzee, though they also produced and sold some traditional board games like chess and checkers sets. They were acquired by Milton Bradley for 26 million dollars in 1973. Their games are now Hasbro products since Milton Bradley was acquired by them in 1984.</t>
  </si>
  <si>
    <t>http://boardgamegeek.com/image/799370/es-lowe</t>
  </si>
  <si>
    <t>NY, USA?</t>
  </si>
  <si>
    <t>Bingo</t>
  </si>
  <si>
    <t>Herman</t>
  </si>
  <si>
    <t>Fisher</t>
  </si>
  <si>
    <t>Fisher-Price</t>
  </si>
  <si>
    <t>http://www.nndb.com/people/228/000178691/</t>
  </si>
  <si>
    <t>Sam</t>
  </si>
  <si>
    <t>Gensberg</t>
  </si>
  <si>
    <t>????</t>
  </si>
  <si>
    <t>Chicago Coin</t>
  </si>
  <si>
    <t>The Gensberg Familly arrived in the US from Poland in 1891. When he was 19, Gensberg decided to try his luck on the west coast but at the suggestion of his father stopped in Chicago to visit familly friends. He found a wife there and though the couple moved to California for a while, they returned to Chicago where Sam became the lead distributor for Hershey bar vending machines, selling more candybars than anyone else in the region. With Sam Wolberg he founded Chicago Coin Machines Exchange in 1931 and began distributing vending machines. At the same time, the other three brothes, Louis, Meyer and David, founded Genco to manufacture vending machines and for a while Chicago Coin was buying machines from Genco. In 1934 Chicago Coin began manufacturing machines as well. In 1976 Sam Gensberg was still running Chicago Coin.````</t>
  </si>
  <si>
    <t>Chicago Coin began as a a vending machine company and became one of the premier pinball manufacturers during the industry's heyday.</t>
  </si>
  <si>
    <t>Blackstone</t>
  </si>
  <si>
    <t>Though Chicago Coin had distributed pin games and other machines created by other manufacturers Charm was their first pin game.</t>
  </si>
  <si>
    <t>Wolberg</t>
  </si>
  <si>
    <t>Steve</t>
  </si>
  <si>
    <t>Kordek</t>
  </si>
  <si>
    <t>Genco</t>
  </si>
  <si>
    <t>Kordek famously stepped into Genco's doorway during a storm and was asked by the receptionist if he was looking for a job. He started soldering table connections during the day and going to electronics school at night. He worked his way up to being a leading engineer and designer.  While he did not create the first pinball game with flippers (that was Gottlieb's Humpty Dumpty Game) his "Triple Action," one of 100 games he would have a hand in, was the first to place two flippers at the bottom of the playfield powered by DC current to give the flippers an extra punch.  Virtually every pinball game afterwards has incorporated that feature into its design.  Kordek was a regular speaker at pinball conventions for decades and lived to the ripe old age of 100.</t>
  </si>
  <si>
    <t>Triple Action</t>
  </si>
  <si>
    <t>The first pinball game to set the general standard of two flippers at the bottom of the play field, though in this game they faced the sides of the machine instead of the center</t>
  </si>
  <si>
    <t>See Sam Gensberg</t>
  </si>
  <si>
    <t>Meyer</t>
  </si>
  <si>
    <t>Coren</t>
  </si>
  <si>
    <t>Stephan</t>
  </si>
  <si>
    <t>Trix</t>
  </si>
  <si>
    <t>Stephan left the family company to form a new company called Trix, that would make construction toys and eventually trains. Stephan continued Bing's relationship as a manufacturer of trains for W. J. Bassett Loke, a UK seller of toy trains.  Stephan would eventually relocate to the UK in 1932 due, in part, to the rise of the Nazis in Germany, and the rest of the Trix company would follow soon after.</t>
  </si>
  <si>
    <t>Begun by Stephen Bing after he left Germany, the company manufactured a contstruction toy to compete with Meccano and began manufacturing toy trains a few years later. The company had a series of ups and downs, was acquired by several different entities over the years, and is now a brand name of Marklin Trains.</t>
  </si>
  <si>
    <t>London, England</t>
  </si>
  <si>
    <t>Toy Trains</t>
  </si>
  <si>
    <t xml:space="preserve">Arnold </t>
  </si>
  <si>
    <t>Greenberg</t>
  </si>
  <si>
    <t>Coleco</t>
  </si>
  <si>
    <t>Greenberg studied and practiced law before joing Coleco, the leather and crafting company his father had founded  that had made its way into selling above ground swimming pools. As CEO, he moved them into games and eventually video games. The company went bankrupt in 1988.</t>
  </si>
  <si>
    <t>Coleco began as a handicrafts company manufacturing leather craft kits, their name derived from a contraction of Connecticut Leather Company. The company manufactured a variety of toys and games and branched into video games with their own console.</t>
  </si>
  <si>
    <t>Connecticut, USA</t>
  </si>
  <si>
    <t>Telstar</t>
  </si>
  <si>
    <t>https://upload.wikimedia.org/wikipedia/commons/thumb/c/c1/Telstar.jpg/200px-Telstar.jpg</t>
  </si>
  <si>
    <t>Maurice</t>
  </si>
  <si>
    <t>Leather Crafting Kits and Swimming Pools</t>
  </si>
  <si>
    <t>Coleco Vision</t>
  </si>
  <si>
    <t>Morey</t>
  </si>
  <si>
    <t>W.</t>
  </si>
  <si>
    <t>Kasch</t>
  </si>
  <si>
    <t>M.W. Kasch Company</t>
  </si>
  <si>
    <t>Kasch was a leading wholesaler and distributor for the toy industry. He pioneerered the use of computing technologies in his part of the business and was known to share his expertise with competititors, just to raise the level of the industry as a whole.</t>
  </si>
  <si>
    <t>Started in Kasch's garage in 1933, the company became a major warehouse and distribution business for the toy and game industry. They are credited with having pioneered computers in their end of the business and freely mentoring others in the field on how to go digital.</t>
  </si>
  <si>
    <t>Milwaukee, WI, USA</t>
  </si>
  <si>
    <t xml:space="preserve">Sally </t>
  </si>
  <si>
    <t>"Ally G"</t>
  </si>
  <si>
    <t>Gawrylovitz</t>
  </si>
  <si>
    <t>Timpo</t>
  </si>
  <si>
    <t>toy soldiers</t>
  </si>
  <si>
    <t>Sega, Sega America</t>
  </si>
  <si>
    <t>Rosen was in the Army in Korea and Japan during World War II and stayed in Asia afterward to form Rosen Enterprises, which sold Japanese art and started a chain of photo studios in Japan. Later they imported vending machines to put in his studios, and later switched entirely over to a coin op business. He merged with the Japanese company Service Games and formed SEGA enterprises, LTD. The company created its first original game, Periscope, in 1966, starting a 30 year run in arcade and video games. Rosen stayed with the Japanese company throughout several corporate buyouts and mergers and then returned to Los Angeles where he set up SEGA America, finally retiring from the company in 1996.</t>
  </si>
  <si>
    <t>With its roots in Rosen Enterprises, SEGA was formed when that company merged with the Japanese company Service Games. The company created its first original game, Periscope, in 1966, starting a 30 year run in arcade and video games.</t>
  </si>
  <si>
    <t>Honolulu, Hawaii, U.S.</t>
  </si>
  <si>
    <t>Sega</t>
  </si>
  <si>
    <t>Periscope</t>
  </si>
  <si>
    <t>SEGA Consoles</t>
  </si>
  <si>
    <t>Marvin</t>
  </si>
  <si>
    <t>Glass</t>
  </si>
  <si>
    <t>Marvin Glass and Associates</t>
  </si>
  <si>
    <t>Glass began making toys as a child and founded Marvin Glass and Associates, the pioneering third-party toy design studio, in Chicago in 1941. The first popular product for the company was Yakity-Yak Talking Teeth, invented by Eddy Goldfarb. The hit toy that made the company was Mr. Machine, a clockwork robot toy invented by Leo Kripak which was licensed to Ideal. Glass was famously driven and security conscious and was profiled in many magazines from the Saturday Evening Post to Playboy.</t>
  </si>
  <si>
    <t>Marvin Glass Associates is cited as the first third party toy and game design studio. The company had an unparalleld string of successes; even getting their design studio logo on the toys sold by others. Founder Glass died in 1974, but the company's team of designers kept the company viable for another 14 years.</t>
  </si>
  <si>
    <t>Tiny Town Theater</t>
  </si>
  <si>
    <t>Mr. Machine</t>
  </si>
  <si>
    <t>Lite Brite</t>
  </si>
  <si>
    <t>https://s-media-cache-ak0.pinimg.com/564x/28/6f/c8/286fc878c44c81d387b5d7f0d31a3267.jpg</t>
  </si>
  <si>
    <t>Frank</t>
  </si>
  <si>
    <t>Caplan</t>
  </si>
  <si>
    <t>Creative Playthings</t>
  </si>
  <si>
    <t>CBS</t>
  </si>
  <si>
    <t>Hardwood Building Blocks</t>
  </si>
  <si>
    <t>Swingsets</t>
  </si>
  <si>
    <t>Isadore</t>
  </si>
  <si>
    <t>Elliot</t>
  </si>
  <si>
    <t>Handler</t>
  </si>
  <si>
    <t>Mattel</t>
  </si>
  <si>
    <t>(with Ruth)</t>
  </si>
  <si>
    <t>Entering the toy field by selling doll house furniture crafted from the scraps from producing plastic picture frames, Mattel is currently the largest toy and game producer in the world.</t>
  </si>
  <si>
    <t>Southern GA, USA</t>
  </si>
  <si>
    <t>Uke-A-Doodle</t>
  </si>
  <si>
    <t>Barbie, Hot Wheels</t>
  </si>
  <si>
    <t>Ruth</t>
  </si>
  <si>
    <t>Moscowicz</t>
  </si>
  <si>
    <t>Elliot and Ruth Handler made plastic furniture for the Air Force and then formed Mattel with Harold "Matt" Matson to make plastic picture frames. The plastic doll house furniture crafted from the scraps soon proved more lucrative than the frames and set them on the road to being a toy company. Ruth's vision for Barbie and Elliot's for Hot Wheels made the company a giant in the industry. A combination of bad business decisions, SEC investigations, and Ruth's breast cancer led to their departure from the company in 1975.</t>
  </si>
  <si>
    <t>Barbie</t>
  </si>
  <si>
    <t>Abe</t>
  </si>
  <si>
    <t>Bookman</t>
  </si>
  <si>
    <t>Alabe Crafts</t>
  </si>
  <si>
    <t xml:space="preserve">Bookman was a first generation American with a degree in engineering when he was approached by his brother-in-law, retailer Max Levinson, and inventor Alfred Carter about refining a fortune telling toy. The toy would become his career. The first version released was the Syco Slate, revised a second time to become the Syco Seer and eventually the Magic 8-Ball.  </t>
  </si>
  <si>
    <t>http://i1.wp.com/libapps.libraries.uc.edu/liblog/wp-content/uploads/2012/02/bookman.jpg?w=591</t>
  </si>
  <si>
    <t>Alabe was formed to redesign and market the fortune telling toy that became the Magic 8 Ball.</t>
  </si>
  <si>
    <t>Cincinnati, OH, USA</t>
  </si>
  <si>
    <t>Magic 8-Ball</t>
  </si>
  <si>
    <t>Magic 8 Ball</t>
  </si>
  <si>
    <t>Milton</t>
  </si>
  <si>
    <t>Levine</t>
  </si>
  <si>
    <t>Uncle Milton</t>
  </si>
  <si>
    <t>Levine was reminded of his childhood hobby of collecting ants in jars at a Fourth of July picnic in 1956.  Already running a successful a mail-order toy and novelty business he founded after his return from WWII, "Uncle Milton" had Ant Farms going out the door within a few months of his inspiration.  A master marketer Levine sold ten of millions of Ant Farms and uncountable ants, eventually expanding into a wide line of nature and science related toys.</t>
  </si>
  <si>
    <t>Famous for the Ant Farm, the company expanded into a variety of nature and science-based toys and kits over the years.</t>
  </si>
  <si>
    <t>Westlake Village, CA, USA</t>
  </si>
  <si>
    <t>Ant Farm</t>
  </si>
  <si>
    <t>Albert</t>
  </si>
  <si>
    <t>Lowenbach</t>
  </si>
  <si>
    <t>Steiner</t>
  </si>
  <si>
    <t>Kenner</t>
  </si>
  <si>
    <t>(with Joseph)</t>
  </si>
  <si>
    <t>Bubble Matic</t>
  </si>
  <si>
    <t>Philip</t>
  </si>
  <si>
    <t>Play Doh</t>
  </si>
  <si>
    <t>Joseph</t>
  </si>
  <si>
    <t>Brothers Albert, Philip, and Joseph, along their nephew Robert, founded Kenner products to create soap, flavoring, and extracts. The soap research led to the Bubble-Matic, a toy gun that blew bubbles. The company also created the Easy Bake Oven, the Close and Play phonograph, and was the first to license Spirograph.</t>
  </si>
  <si>
    <t>Named after the street in Ohio where it's offices were founded, Kenner was already successful with products like the Easy Bake oven when it picked up the license for Star Wars toys from 1976-1985, driving sales figures through the roof.</t>
  </si>
  <si>
    <t>Easy Bake Oven</t>
  </si>
  <si>
    <t>Robert</t>
  </si>
  <si>
    <t>Leslie</t>
  </si>
  <si>
    <t>Berger</t>
  </si>
  <si>
    <t>Cardinal Industries</t>
  </si>
  <si>
    <t>Long Island, NY, YSA</t>
  </si>
  <si>
    <t>dominoes/mah jong</t>
  </si>
  <si>
    <t>licensed games and puzzles</t>
  </si>
  <si>
    <t>George</t>
  </si>
  <si>
    <t>Lerner</t>
  </si>
  <si>
    <t>Lernell</t>
  </si>
  <si>
    <t>George Lerner began his career as a graphic designer, fine artist, and model maker. He was hired by the Buddy L. Toy Company, a maker of steel toy cars trucks and trains, to convert their line to wood during the early days of World War II, as metal was in short supply. Lerner also served a stint in the armed services in the war and then joined forces with his friend Julius Ellman to form Lernell. Lerner's Mr. Potato Head's first incarnations was as an "in the box" toy for a cereal company. Wanting bigger and better things for his creation, Lerner showed the toy to the Hassenfelds, who acquired the license and brought the toy to stores and airwaves in 1952.</t>
  </si>
  <si>
    <t>Lernell company was founded by George Lerner and Julius Ellmen to license their toy and game designs. The company's first and most famous creation was Mr. Potato Head.</t>
  </si>
  <si>
    <t>Brooklyn, NY, USA</t>
  </si>
  <si>
    <t>http://www.lernell.com/</t>
  </si>
  <si>
    <t>Mr. Potato Head</t>
  </si>
  <si>
    <t>Henry</t>
  </si>
  <si>
    <t>Orenstein</t>
  </si>
  <si>
    <t>Born Henryk in Poland, Orenstien's life has had numerous, amazing chapters. A survivor of multiple concentration camps he has been a grocer, CEO of Deluxe Reading/Topper toys, and a VP at Hasbro. While at Hasbro, Orenstien was instrumental in bringing the toys that would be come the Transformers to the company. After leaving the company he became interested in poker, becoming a ranked competitor with a World Series of Poker bracelet and several tournament wins. He created and patented a table with embedded video cameras that led to today's "hole card cams" and created and produced several televised tournaments. In 1994, at age 90, he made it to the last table of a seven card stud tournament and walked away with over $50,000 in winnings.</t>
  </si>
  <si>
    <t xml:space="preserve">Topper Toys began as the name of the toy line of products from the "Deluxe Reading Company", though the company later changed its name.  The company's inexpensive toys were targeted for sale in grocery stores.  </t>
  </si>
  <si>
    <t>Elizabeth, NJ, USA</t>
  </si>
  <si>
    <t>Deluxe Reading/Topper Toys</t>
  </si>
  <si>
    <t>Fashion Dolls</t>
  </si>
  <si>
    <t>Michael</t>
  </si>
  <si>
    <t>Kogan</t>
  </si>
  <si>
    <t>Taito</t>
  </si>
  <si>
    <t>Kogan was born in Odessa, but his familly fled to Manchuria during the Russian Revolution. Kogan later moved to Tokyo where he went to college and started Taito Trading Company. Taito began as Japan's first Vodka distiller and then began distributing coin-op machines and eventually manufacturing their own. Kogan changed the name to Taito Corporation in 1973, when they released their first video games, Space Invaders. It was released in 1978 and became the most iconic game for the company.</t>
  </si>
  <si>
    <t>Taito began as a vodka and vending machine company, and its first claim to fame in the videogame industry was Space Inavders. Despite numberous changes in ownership through the years, the company has continued to be a force in the video game industry.</t>
  </si>
  <si>
    <t>Shibuya, Tokyo, Japan</t>
  </si>
  <si>
    <t>Pong Clone</t>
  </si>
  <si>
    <t xml:space="preserve">Jack </t>
  </si>
  <si>
    <t>Tramiel</t>
  </si>
  <si>
    <t>Commodore</t>
  </si>
  <si>
    <t xml:space="preserve">Tramiel survived the Lodz Ghetto, Auschwitz, and the Ahlem work camp during World War II. He emigrated to the US in 1947 where he learned to repair typewriters and then opened Commodore Portable Typewriter in the Bronx in 1953. In 1957, due to Warsaw Pact restrictions, he had to open Commodore Business Machines to close a contract with a Chezchoslovak corporation. Commodore would be a significant player in the early days of home computing and bring computer games to millions of american houses. He left the company after the CES of 1984 due to a dispute with the company's Chairman of the board, Irving Gould. Tramiel would later buy and sell Atari and become one of the founders of the US Holocaust Museum. </t>
  </si>
  <si>
    <t>Started as a typewriter company, Commodore moved into the personal computer field with PET in 1977. Their best selling computer, the Commodore C64, was the first personal computer to be sold in toy stores, bringing PC-Based video games to the general public-at-large.</t>
  </si>
  <si>
    <t>Toronto, Ontario, Canada</t>
  </si>
  <si>
    <t>C64</t>
  </si>
  <si>
    <t>Abrams</t>
  </si>
  <si>
    <t>Mego</t>
  </si>
  <si>
    <t>Fred</t>
  </si>
  <si>
    <t>Kroll</t>
  </si>
  <si>
    <t>Fred Kroll Associates, INc|Uncle Freddies Fun Factory</t>
  </si>
  <si>
    <t>Kroll spent the better part of his life in the industry, starting at 12 with his family's company Whiz Novelties. He designed many of their magnetic games when he got older. When Whiz sold out to Pressman, Kroll was a salesman for that company, a job that lasted eight years. He looked at both Hasbro and Kohner and ended up with the latter company. He also invented and sold his own toys and repped for other companies as Fred Kroll and Associates. He created the game "Trouble" with Kohner, among others. He licensed Hungry Hungry Hippos for Hasbro, and toward the end of his life formed the company Uncle Freddie's Fun Factory Inc. to manufacture versions of classic tabletop games. Known for his philanthropy, Kroll ran toy drives for groups in the US and around the world.</t>
  </si>
  <si>
    <t>This company was formed as an industry rep effort based on its founder's years in the business. Kroll's best known product is the game Trouble, designed while working with Kohner.</t>
  </si>
  <si>
    <t>???</t>
  </si>
  <si>
    <t>2003? (his death)</t>
  </si>
  <si>
    <t>Trouble</t>
  </si>
  <si>
    <t>Fred Kroll Associates, INc/Uncle Freddies Fun Factory</t>
  </si>
  <si>
    <t>Hungry Hungry Hippos</t>
  </si>
  <si>
    <t>Ralph</t>
  </si>
  <si>
    <t>Baer</t>
  </si>
  <si>
    <t>Ralph Baer and Associates</t>
  </si>
  <si>
    <t>Baer was born in Germany and left for the US as a teenager two months before Kristallnacht. Baer served in World War II as an intelligence officer for the US in the London office. While working for Sanders Associates, a defense contractor at the time, Baer had the idea for the home television set as a familly game device and created a series of prototypes of the Brown Box: the core technology that would become the Magnavox Odyssey. From his independent company, Baer would create a number of electronic toys, on his own as well as with others, the most famous of these being Simon.</t>
  </si>
  <si>
    <t>Ralph Baer and Associates is the independent toy and game consulting firm started by the father of video games. Its most recognizable creation is Simon with Marvin Glass Associates.</t>
  </si>
  <si>
    <t>Nashua, NH, USA</t>
  </si>
  <si>
    <t>Reuben</t>
  </si>
  <si>
    <t>Klamer</t>
  </si>
  <si>
    <t>Klamer and Associates?</t>
  </si>
  <si>
    <t>Reuben Klamer had a background in marketing and engineering. He served a stint in the South Pacific as a midshipman during World War II before he entered the toy industry, working for Ideal and Eldon Industries. In 1959, he pitched Milton Bradley on an art center concept and instead walked away with the opportunity to create a game for their 100th anniversary. Klamer took inspiration from the copany's first game, "The Checkered Game of Life" to create "The Game of Life."</t>
  </si>
  <si>
    <t>The design firm of Reuben Klamer, best known for creating "The Game of Life" for Milton Bradley's 100th anniversary.</t>
  </si>
  <si>
    <t>Moon Rocks</t>
  </si>
  <si>
    <t>The Game of Life, Busy Blocks</t>
  </si>
  <si>
    <t>Gaylord the Walking Dog</t>
  </si>
  <si>
    <t>Russell</t>
  </si>
  <si>
    <t>Berrie</t>
  </si>
  <si>
    <t>Russ Berrie and Company</t>
  </si>
  <si>
    <t>Russell Berrie was born in New York City. His father owned a small jewelry business and Berrie aspired to be a success in his own business. He started hand recycling and reselling score cards at Yankee Stadium when he was 10. His first full time job was as a salesman in the toy industry and he made toys and novelties his career, eventually starting his own business in a rented garage. He continued to sell for others, as well as his own products on the side, until 1965 when he quit to work full time for himself.</t>
  </si>
  <si>
    <t>Founder Russ Berrie leveraged his experience as a toy sales and manufacturer's rep to start his own business out of his garage. Begining with lines of stuffed animals and dolls the company grew quickly by selling other gift items as well. After decades of highs and lows, the company filed for bankruptcy in 2011 refocusing itself purely on play items for infants and younger children under the name "Kids Brands".</t>
  </si>
  <si>
    <t>Oakland, NJ, USA</t>
  </si>
  <si>
    <t>Fuzzy-Wuzzies</t>
  </si>
  <si>
    <t xml:space="preserve">Thea </t>
  </si>
  <si>
    <t>Coster</t>
  </si>
  <si>
    <t>Theora Design</t>
  </si>
  <si>
    <t>Tel Aviv, Israel</t>
  </si>
  <si>
    <t>Icetix/Elsie Stix</t>
  </si>
  <si>
    <t>1970s</t>
  </si>
  <si>
    <t>Guess Who</t>
  </si>
  <si>
    <t xml:space="preserve">Ora </t>
  </si>
  <si>
    <t>Ernó</t>
  </si>
  <si>
    <t>Rubik</t>
  </si>
  <si>
    <t>Indie</t>
  </si>
  <si>
    <t>Rubik was the son of an aircraft engineer and a poet, and earned degrees in fine arts and architecture. As a young professor he came up with the idea for the cube, originally called The Magic Cube, as a tool for teaching. The wooden prototype was a hit with students and faculty, so Rubik decided to patent it and find a manufacturer. He licensed it to Ideal Toys in 1979 and it was renamed Rubik's Cube when the company began selling it in 1980. Rubik created several variations on the theme, though none sold the tens of millions that the original has sold. Rubik has been awarded numerous national prizes in Hungary.</t>
  </si>
  <si>
    <t>Rubik's Brand LTD</t>
  </si>
  <si>
    <t>Hungary</t>
  </si>
  <si>
    <t>Rubik's Cube</t>
  </si>
  <si>
    <t>Stern</t>
  </si>
  <si>
    <t>Stern Electronics</t>
  </si>
  <si>
    <t>"Coinman" Sam Stern gave up on the clothing industry in 1931 to becomes a distributor of coin operated amusements and jukeboxes. He later bought half of pioneering pinball company Williams Electronics in 1947. He bought the other half in 1959, becoming president. He sold Bally to Seeberg in 1964 and did stints running there and at Bally until 1976. The Stern Electronics Pinball company was formed when Stern and his son Gary bought Chicago Coin's assets at their 1977 bankruptcy sale. In 1979 they acquired the Seeberg Corporation, a jukebox manufacturer and became Stern/Seeberg. Stern Electronics went out of buisness themselves in 1983.</t>
  </si>
  <si>
    <t>Stern Electronics was formed when Sam Stern, who had been a key player in WIlliams Electronics, bought the assets of Chicago Coin to form his own pinball and arcade company. The company also did a few Arcade Video Game Cabinets, most notably Bezerk</t>
  </si>
  <si>
    <t>Stampede</t>
  </si>
  <si>
    <t>Stern's first pinball game after Sam left Williams and purchased Chicago Coin.  Some versions have Chicago Coin branding and some have Stern.</t>
  </si>
  <si>
    <t>Meteor</t>
  </si>
  <si>
    <t>A licensed pinball machine tied to the Movie of the same name</t>
  </si>
  <si>
    <t>Bezerk</t>
  </si>
  <si>
    <t>Larry</t>
  </si>
  <si>
    <t>Hyman/Greenberg</t>
  </si>
  <si>
    <t>Greenberg's career began in the television industry before he met Greg Hyman and co-founded the successful toy design firm Hyman/Greenberg Associates.</t>
  </si>
  <si>
    <t>Little Maestro Piano Organ</t>
  </si>
  <si>
    <t>Yonkers, NY, USA</t>
  </si>
  <si>
    <t>Alphie the Robot with Hyman Greenberg, Talking Barnie and Tickle Me Elmo with others</t>
  </si>
  <si>
    <t>tickle me elmo</t>
  </si>
  <si>
    <t>Greg</t>
  </si>
  <si>
    <t>Hyman</t>
  </si>
  <si>
    <t>Hyman was teaching others to invent by age 10 and has had a prolific career both with his late partner Larry Greenberg, and then with his own company Greg Hyman Associates. He specializes in toys with electronic and/or digital components.</t>
  </si>
  <si>
    <t>Daniel</t>
  </si>
  <si>
    <t>Okrent</t>
  </si>
  <si>
    <t>Indie Designer</t>
  </si>
  <si>
    <t>Okrent's career has been primarily in varying forms of media, publishing, and journalistic endevours: writer, editor, commentator and subject matter expert. His contribution to games and play is as the inventor of Rotisserie League Baseball, the game that set the standard for today's "Fantasy Baseball" and other fantasy sports league games.</t>
  </si>
  <si>
    <t>Rotisserie Baseball</t>
  </si>
  <si>
    <t>Isaac</t>
  </si>
  <si>
    <t>Larian</t>
  </si>
  <si>
    <t>MGA Entertainment</t>
  </si>
  <si>
    <t>Larian came to the US from Iran at age 17 and attended USCLA for civil engineering. When the Iranian revolution broke out, Larian's plans for a civil engineering career back home changed. Instead, he had humble start of selling brass giftware out of his car. In 1987 he moved into toys distributing the Nintendo Game and Watch. A 1993 license for Power Rangers took his Company MGA into the big leagues and the Bratz dolls, first sold in 2000 took him on the path to becoming the CEO of the largest privately-held toy company in the world.</t>
  </si>
  <si>
    <t>http://www.forbes.com/profile/isaac-larian/</t>
  </si>
  <si>
    <t>Founded in 1982 as ABC Electronics, the manufacturer changed its name to Micro Games of America and then shortened it to MGA when the company shifted its focus from games to dolls in the late '90s. It began as an importer of brass figurines and moved into toys and game with Nintendo's Game and Watch line.</t>
  </si>
  <si>
    <t>Van Nuys, CA, USA</t>
  </si>
  <si>
    <t>Bratz</t>
  </si>
  <si>
    <t>Jonathan</t>
  </si>
  <si>
    <t>Levy</t>
  </si>
  <si>
    <t>Mastermind Toys</t>
  </si>
  <si>
    <t>Andy</t>
  </si>
  <si>
    <t>Arnie</t>
  </si>
  <si>
    <t>Rubin</t>
  </si>
  <si>
    <t>Funrise Toys</t>
  </si>
  <si>
    <t>Rubin began his career in the toy industry as unloading trainloads of bubbles and as a "Bubble Mixer" for the Chemical Sundries company. Four years later he cofounded Imperial Toy and Started Funrise in 1987.</t>
  </si>
  <si>
    <t>FunRise is the latest toy company effort by Industry Veteran Arnie Rubin, and began with with a toy that took him back to his beginnings in the industry: Gazillion Bubbles.</t>
  </si>
  <si>
    <t>Bubbles</t>
  </si>
  <si>
    <t>Tonka "light and sound" emergency vehicles and Gazillion Bubbles</t>
  </si>
  <si>
    <t xml:space="preserve">Gregory </t>
  </si>
  <si>
    <t>Fischbach</t>
  </si>
  <si>
    <t>Acclaim Entertainment</t>
  </si>
  <si>
    <t>Jeffrey</t>
  </si>
  <si>
    <t>Breslow</t>
  </si>
  <si>
    <t>Founder Breslow, Morrison, Terzian|Big Monster Toys</t>
  </si>
  <si>
    <t>Breslow trained as a sculptor but was hired by Marving Glass to work at MGA when he was just two years out of college. Brelsow worked at MGAfor many years as a designer creating Ants in the Pants and Masterpiece, and eventually became a managing partner before spinning out on his own to found Breslow, Morrison, and Terzian which later became Big Monster Toys. Since retirement from the industry in 2008, Breslow has returned to sculpture.</t>
  </si>
  <si>
    <t>Big Monster Toys was formed by three Marvin Glass Associates principals after MGA closed. Hiring 14 designers and inventors from MGA, the company (first named Breslow, Morrison, Terzian after the founders) is a major toy and game design firm today.</t>
  </si>
  <si>
    <t>Founder Breslow, Morrison, Terzian/Big Monster Toys</t>
  </si>
  <si>
    <t>Ants in the pants at MGA</t>
  </si>
  <si>
    <t>Guesstures and Real Talking Buba with Breslow, Morrison , Terzian/Big Monster Toys</t>
  </si>
  <si>
    <t>Maybe??</t>
  </si>
  <si>
    <t>Adolph</t>
  </si>
  <si>
    <t>Eddy</t>
  </si>
  <si>
    <t>Goldfarb</t>
  </si>
  <si>
    <t>Eddy Goldfarb and Associates</t>
  </si>
  <si>
    <t>Goldfarb was attracted to tech and engineering as a child. He volunteered for sub duty during World War II and spent his downtime filling notebooks with design concepts. His Yakkity Yak Teeth were an early success for Marvin Glass' studio. Goldfarb founded his own company A. Eddie Goldfarb and Associates soon afterwards. He's created over 600 toys and games including Ker-plunk and Vac-U-Form.</t>
  </si>
  <si>
    <t>Goldfarb started his independent design firm after a brief stint with Marvin Glass Associates refining his Yakitty Yak Teeth (still a popular item). The company is still active after having produced a long string of popular toys and games.</t>
  </si>
  <si>
    <t>Northridge, CA, USA</t>
  </si>
  <si>
    <t>INdie, Co Name?</t>
  </si>
  <si>
    <t>Yakkity Yak Talking Teeth</t>
  </si>
  <si>
    <t xml:space="preserve"> Ker-Plunk, Vac-U-Form</t>
  </si>
  <si>
    <t>Kerplunk</t>
  </si>
  <si>
    <t xml:space="preserve">Joel </t>
  </si>
  <si>
    <t>Glickman</t>
  </si>
  <si>
    <t>K'Nex</t>
  </si>
  <si>
    <t>Glickman's father, Irving, established an injection molding company called Rodon in 1956. When Joel's afternoon of playing with plastic straws at a wedding inspired the creation of K'nex, he was already an industrial engineer working at Rodon. He lobbied the company to shut down and retool from its existing clients to manufacture the first K'nex pieces. His familly took the gamble and it paid off. After several years of success Joel, stepped down to retire and the company hired a new CEO. The retirement was short-lived as the company began to fail under the new leadership and Glickman returned to the company to bring it back and grow it.</t>
  </si>
  <si>
    <t>Formed two years after its founder began playing with straws at a wedding in 1990, the company is one of the leading construction toy manufacturers.</t>
  </si>
  <si>
    <t>Hatfield, Pennsylvania, USA</t>
  </si>
  <si>
    <t>K'nex</t>
  </si>
  <si>
    <t>Jordan</t>
  </si>
  <si>
    <t>Mechner</t>
  </si>
  <si>
    <t>Prince of Persia</t>
  </si>
  <si>
    <t>Mechner began writing games for the Apple II while still a student at Yale. His first published game, Kraketea, was released in 1984 and his second, Prince of Persia, was released in 1989 and became the base for several additional games, a Disney movie, licensed toys, and a graphic novel.</t>
  </si>
  <si>
    <t>Formed by Designer and Developer Jordan Mechner to create his critically acclaimed game "The Last Express",  Mechner has been most active across media with his Prince of Persia property.</t>
  </si>
  <si>
    <t>San Francisco, CA, USA</t>
  </si>
  <si>
    <t>Karateka</t>
  </si>
  <si>
    <t>Noah</t>
  </si>
  <si>
    <t>Falstein</t>
  </si>
  <si>
    <t>1957?</t>
  </si>
  <si>
    <t>Inspiracy|Google</t>
  </si>
  <si>
    <t>Falstien began in games in 1980, with his best known game from the first few years of his career being Sinistar. He was one of the first 10 employees at Lucas Film Games, and also worked at 3DO and Dreamworks Interactive. He formed his independent design firm, the Inspiracy in 1996 and recently suspended it when he became head of game design for Google in 2013.</t>
  </si>
  <si>
    <t>Falstein formed the Inspiracy for his work as a independent designer and consultant. The Inspiracy has been mothballed while Falstien has been working as lead game designer for Google.</t>
  </si>
  <si>
    <t>Menlo Park, CA, USA</t>
  </si>
  <si>
    <t>Google</t>
  </si>
  <si>
    <t>Sinistar</t>
  </si>
  <si>
    <t>Gary</t>
  </si>
  <si>
    <t>Gary worked in his dad's pinball company until it closed. In 1986 he convinced Data East to open a Pinball Company. Data East Pinball was sold to Sega, becoming Sega Pinball in 1994. Stern put together a group to buy the company from Sega in 1999. Stern Pinball has been the main, and often only, company manufacturing pinball machines since its inception</t>
  </si>
  <si>
    <t>Stern Pinball, has been the primary, and often only, manufacturer of pinball games since its formation.</t>
  </si>
  <si>
    <t>Harley Davidson</t>
  </si>
  <si>
    <t>Stern Pinball's first machine, Harley Davidson, is so popular it has been revised twice</t>
  </si>
  <si>
    <t>Star Trek</t>
  </si>
  <si>
    <t>Stern Pinball's machines are all licensed and the tie ins make them popular, so its no surprise this one did well for the company</t>
  </si>
  <si>
    <t>Warren</t>
  </si>
  <si>
    <t>Spector</t>
  </si>
  <si>
    <t>Junction Point</t>
  </si>
  <si>
    <t>Though Spector's beginning was as a tabletop and D&amp;D player, his academic career was focused on film and he was set on a path to be a film critic. In 1983, after an archivist's position ended, he was invited to become an Editor on Space Gamer Magazine. He then moved to Steve Jackson games becoming editor-in-chief for all their games. Within a year he was producing and making games as well. He went to TSR in 1987 and in the 90's moved to video games with Origin Systems and Looking Glass studios. He opened the Austin Branch of Ion Storm and in 2005 he founded Junction Point Studios. In 2007 Disney Interactive acquired Junction Point and created Epic Mickey and epick Mickey 2: The Power of Two. Spector currently runs the Denius-Sams Gaming Academy at the University of Austin.</t>
  </si>
  <si>
    <t>Austin, TX, USA</t>
  </si>
  <si>
    <t>Junction Point, Others</t>
  </si>
  <si>
    <t>Dave</t>
  </si>
  <si>
    <t>Gilbert</t>
  </si>
  <si>
    <t>Wadjet Eye Games</t>
  </si>
  <si>
    <t>Gilbert began making independent freeware adventure games in 2001 using Adventure Games Studio, a game building tool kit for non-programmers. He went independent commercial with his 2006 game The Shiva after having spent a year in Korea teaching English and used the money he saved while there to go into full-time game development.</t>
  </si>
  <si>
    <t>Wadjet Eye Games is an independent videogame started by Dave Gilbert. The company self-publishes and markets their games.</t>
  </si>
  <si>
    <t>The Repossesor</t>
  </si>
  <si>
    <t>The Shiva</t>
  </si>
  <si>
    <t>Blackwell (series)</t>
  </si>
  <si>
    <t xml:space="preserve">Elan </t>
  </si>
  <si>
    <t>Lee</t>
  </si>
  <si>
    <t>Microsoft|4th wall , others</t>
  </si>
  <si>
    <t>Lee was working at Microsoft’s Xbox Studios as a Lead Game Designer in 1998 when the company signed a contract to create a game for the Steven Spielberg film A.I. Lee and his collaborators Jordan Weisman and Sean Stewart created a new interactive storytelling game form that has come to be called the Alternate Reality Game (ARG). His career in digitally-based interactive entertainment and games led him to form several companies, 42 Entertainment: a design company in the field of the Alternate Reality Games (ARGs), EDOC Laundry: an interactive clothing brand, and Fourth Wall Studios: a digital television studio. Each company pushed the boundaries of games and interactive storytelling. His work has received numerous awards from the games and entertainment industries, most notably a Creative Arts Emmy (Original Interactive Programming) for Dirty Work. In 2013, he returned to Microsoft as the Chief Design Officer for Xbox Entertainment Studios.</t>
  </si>
  <si>
    <t>Culver City, CA, USA</t>
  </si>
  <si>
    <t>Microsoft, 4th wall , others</t>
  </si>
  <si>
    <t>Susan</t>
  </si>
  <si>
    <t>Gold</t>
  </si>
  <si>
    <t>Global Game Jam</t>
  </si>
  <si>
    <t>Gold is an educator, artist, and community organizer, currently a Professor of the Practice and Associate Director of Games at Northeastern University. Gold conceived of the Global Game Jam in 2008 and is one of the co-founders of the event and a member of the Board of Directors of the recently formed Global Game Jam, Inc. The Global Game Jam is an annual weekend-long event in which amateurs and professionals of all ages create games around a universal theme. The founders began planning in 2008, with the first event being held in 2009 to great success. The sixth, and most recent GGJ resulted in the creation of 4,290 games by 23,918 participants from 72 countries. Prof. Gold also created the Global Game Gift, a new initiative creating professional games for non-profit organizations.</t>
  </si>
  <si>
    <t>Bobby</t>
  </si>
  <si>
    <t>Kotick</t>
  </si>
  <si>
    <t>Activision</t>
  </si>
  <si>
    <t>Kotick began when he was a college student, developing and marketing software for the Apple II. A fateful meeting with Steve Wynn, the casino mogul, gained Kotik funding and a mentor for life. Since then he's been involved in the games industry first by acquiring Nintendo's licensing division and then buying into Activision, one of the first third-party developer videogame studios that was on the verge of bankruptcy. His leadership brought the company back and brought it to merge with MMO company Blizzard.</t>
  </si>
  <si>
    <t>Santa Monica, CA, USA</t>
  </si>
  <si>
    <t>Ian</t>
  </si>
  <si>
    <t>Schreiber</t>
  </si>
  <si>
    <t>Schreiber is a game programmer, designer, author and educator, currently an Assistant Professor in the School of Interactive Games and Media and an Affiliate of the Center for Media, Arts, Games, Interaction and Creativity at the Rochester Institute of Technology. Video game companies he’s worked for include Genetic Anomolies, Cyberlore Studios and Loot Drop. He has co-authored “Challenges for Game Designers” and “Breaking into the Game Industry: Advice for a Successful Career from Those Who Have Done It” with Brenda Romero (ne Brathwaite).</t>
  </si>
  <si>
    <t>Knightmare Chess 2</t>
  </si>
  <si>
    <t xml:space="preserve">Philip </t>
  </si>
  <si>
    <t>Ullmann</t>
  </si>
  <si>
    <t>Tipp &amp; Company and Mettoy</t>
  </si>
  <si>
    <t>Ullman began his career as manager for Tipp and Company, creator of tin toys, but within a year had become managing director and eventualy sole owner in 1919. Later Ullman and one of his designers Arthur Katz would set up shop as Mettoy in the UK after fleeing Nazi Germany in 1933. One of Mettoy's first customers for toy train manufacturing was Basset-Lowke, which also did business with Bing Brothers and Trix. Mettoy profits were used, in part, to bring other German Jews out of the country. Mettoy would form a sister company, Playcraft, that would be the initial home of the Corgi line of toy cars.</t>
  </si>
  <si>
    <t>Tipp was acquired by Philip Ullmann, originally an employyee of the founders, who made it one of the leading manufacutrers of tin plated toys, especially large scale toys. Like several other German Jewish entrepreneurs, Ullman had to abandon his company in the 30's but reacquired it after the war.</t>
  </si>
  <si>
    <t>Nuremberg, Germany
Northampton, England</t>
  </si>
  <si>
    <t>1933(taken over by Nazi)/1971
1984</t>
  </si>
  <si>
    <t>tin plate toy cars</t>
  </si>
  <si>
    <t>A wide range of Tin Toys</t>
  </si>
  <si>
    <t xml:space="preserve">Arthur </t>
  </si>
  <si>
    <t>Katz</t>
  </si>
  <si>
    <t>Mettoy and Corgi</t>
  </si>
  <si>
    <t>1934
1954</t>
  </si>
  <si>
    <t>Arthur Katz began working for his cousin, Philipp Ullman of Tipp and Company, after he graduated from school. Katz was the first to move from England to Germany to avoid Nazi persecution and Ullman soon followed. They formed Mettoy in 1934. Ullman became managing director after WWII and eventually formed the Corgi line of metal cars with their pioneering plastic windows that made them bestsellers in the category. Corgi woul later produce the blockbuster Bond Aston Marting and other film and television licensed cars.</t>
  </si>
  <si>
    <t>Katz and Ullmann founded Mettoy in England after leaving Germany due to the rise of the Nazi Party.  The company's best known brand was Corgi, the British-based toy car company.</t>
  </si>
  <si>
    <t>Northampton, England
N/A</t>
  </si>
  <si>
    <t>1984
1989</t>
  </si>
  <si>
    <t>Aston Martin and Batmobiles for Corgi Brand</t>
  </si>
  <si>
    <t>Charles</t>
  </si>
  <si>
    <t>Lazarus</t>
  </si>
  <si>
    <t>Toys R Us</t>
  </si>
  <si>
    <t>1948 (Children's Bargain Town), 1957 (Toys R Us)</t>
  </si>
  <si>
    <t>After Serving in WWII, Lazarus returned to his father's bicycle repair shop with the idea of starting something new. He began with children's and baby goods with a store called Children's Bargain Town, but noticed that only the toy sales resulted in return customers. It slowly evolved to a toys specific retail space with a supermarket layout. As TV changed the toy and game retail business from seasonalt to year-round, Lazarus' Toys R Us became the largest and most successful toy store chain.</t>
  </si>
  <si>
    <t>The first "Toy Supermarket" Chain</t>
  </si>
  <si>
    <t>Washington D.C., USA</t>
  </si>
  <si>
    <t>Marty</t>
  </si>
  <si>
    <t>Mego|Abrams Gentile|iStar</t>
  </si>
  <si>
    <t>1954
1986
2011?</t>
  </si>
  <si>
    <t>Marty Abrams took his father's struggling MEGO Corporation, a manufacturer of cheap toys for 5 and dime stores, and turned it into a mainstay of the action figure world. After missing out on the Star Wars License, MEGO eventually filed for bankruptcy. A serial entrepreneur, Marty also founded Abrams/Gentile Entertainment and I-Star Entertainment.</t>
  </si>
  <si>
    <t>&lt;a href=” http://www.dchcapital.net/sites/default/files/eco/age-logo.png"&gt;Abrams Gentile Logo&lt;/a&gt;
&lt;a href=”http://reboxyourmego.com/mc.jpg”&gt;Mego Logo&lt;/a&gt;
&lt;a href=”http://www.fyrflyz.com/images/istar.png”&gt;I-Star Entertainment&lt;/a&gt;
</t>
  </si>
  <si>
    <t>N/A
New York City, NY, USA
N/A</t>
  </si>
  <si>
    <t>1983
1999
Present</t>
  </si>
  <si>
    <t>Mego/Abrams Gentile/iStar</t>
  </si>
  <si>
    <t>MEGO Action Figure Line,</t>
  </si>
  <si>
    <t>Nintendo time out Games, FyrFlyz</t>
  </si>
  <si>
    <t>Friedman</t>
  </si>
  <si>
    <t>JAKKS Pacific|THQ|LJN</t>
  </si>
  <si>
    <t>1995
1989
1970</t>
  </si>
  <si>
    <t>Friedman began his professional toy industry career as a sales rep for Norman J. Lewis Associates. He later formed LJN Toys, Ltd. (a nod to his former employer). The company found success with licensed toys such as ET and action figures of Michael Jackson and Brooke Shields. A serial entrepreneur, Friedman then founded video game studio THQ, originally making games based on Hollywood films. Friedman later left THQ to found JAKKS Pacific to get back to his toy industry roots.</t>
  </si>
  <si>
    <t>&lt;a href="http://upload.wikimedia.org/wikipedia/en/thumb/a/a9/LJN_Ltd_logo.png/225px-LJN_Ltd_logo.png"&gt;LJN Logo&lt;/a&gt;
&lt;a href=”("http://upload.wikimedia.org/wikipedia/commons/thumb/9/96/THQ_logo_2011.svg/300px-THQ_logo_2011.svg.png”&gt;THQ Logo&lt;/a&gt;
&lt;a href=” http://upload.wikimedia.org/wikipedia/commons/3/3c/Jakks_pacific_low_res.png","Jakks PAcific Logo”&gt;Jakks Pacific&lt;/a&gt;
</t>
  </si>
  <si>
    <t>Malibu, CA, USA 
Agoura Hills, CA, USA
New York, NY, USA</t>
  </si>
  <si>
    <t>Present
2013
1995</t>
  </si>
  <si>
    <t>JAKKS Pacific, THQ, LJN</t>
  </si>
  <si>
    <t>TV plug in games</t>
  </si>
  <si>
    <t>Conrad  (Akiba)</t>
  </si>
  <si>
    <t>Hubert(Horrowitz</t>
  </si>
  <si>
    <t>http://www.nndb.com/people/439/000169929/</t>
  </si>
  <si>
    <t>https://en.wikipedia.org/wiki/Conrad_Hubert</t>
  </si>
  <si>
    <t>Weintraub</t>
  </si>
  <si>
    <t>Ideal Toys</t>
  </si>
  <si>
    <t>Mousetrap!</t>
  </si>
  <si>
    <t>Curtis</t>
  </si>
  <si>
    <t>Allina</t>
  </si>
  <si>
    <t>Pez-Haas</t>
  </si>
  <si>
    <t>Sy</t>
  </si>
  <si>
    <t>Ziv</t>
  </si>
  <si>
    <t xml:space="preserve">Harold </t>
  </si>
  <si>
    <t>Donald</t>
  </si>
  <si>
    <t>M.</t>
  </si>
  <si>
    <t>Hasbro, DML and Associates</t>
  </si>
  <si>
    <t>Donald Levine, a former VP of R and D at Hasbro, has been credited as the "father" of G.I.Joe, known as the first "action figure," a term reputedly created by levine himself. The original concept came from Stan Weston, an independent designer. Merril Hassenfeld, at Levine's prompting, bought the concept. Levine was himself a Korean War veteran and he fully refined and developed the concept.  His DML Associates would create the extremely successful Kenya doll line, one of the first dedicated African American toy dolls.  He had less success with "The Almighty HEroes" a biblical line and created the "Real Heroes" of Firefighter and Police action heroes that sold slowly but took off ater 9/11. In 2001 he made a quip about not having Bin Ladin.  That said, just four years later Levine also reportedly designed an Osama Bin Ladin "action figure" for the CIA. HIs DML</t>
  </si>
  <si>
    <t>The toy consulting and Design Firm of Donald M. Levine.</t>
  </si>
  <si>
    <t>Providence, RI</t>
  </si>
  <si>
    <t>Hasbro R and D</t>
  </si>
  <si>
    <t>GI Joe</t>
  </si>
  <si>
    <t>The world's first action figure was championed by Donald Levine who saw it as a "tribute" to the men he fought with in the war. Despite the conventional wisdom that boys and their parents wouldn't buy "a doll", and lackluster reception at the annual toy industry trades show in 1964, Hasbro sold $7 million worth of joes in the first year and 4 times that in its second.  Hasbro's first African American G.I. Joe appeared a year later in 1965</t>
  </si>
  <si>
    <t>Kenya Dolls</t>
  </si>
  <si>
    <t>Designed by DML Associates, Kenya Dolls were originally manufactured and marketed by Tyco in the 90's, then by UNeeda and 2003, and came back in 2012 with a new company, Kenya's World, LLC.</t>
  </si>
  <si>
    <t>Goldstein</t>
  </si>
  <si>
    <t xml:space="preserve">Alan </t>
  </si>
  <si>
    <t>Collins</t>
  </si>
  <si>
    <t>toby toys</t>
  </si>
  <si>
    <t xml:space="preserve">Rosalie </t>
  </si>
  <si>
    <t>Burt</t>
  </si>
  <si>
    <t>MGA &amp; Meyer/Glass</t>
  </si>
  <si>
    <t>MGA</t>
  </si>
  <si>
    <t>lite brite, Mr. Machine, Mouse Trap, Rock ‘Em Sock ‘Em Robots</t>
  </si>
  <si>
    <t>Sid</t>
  </si>
  <si>
    <t>Sackson</t>
  </si>
  <si>
    <t>Issac</t>
  </si>
  <si>
    <t>Perlmutter</t>
  </si>
  <si>
    <t>Coleco|Toy Biz|Marvel</t>
  </si>
  <si>
    <t>Coleco, Toy Biz, Marvel</t>
  </si>
  <si>
    <t>Richard</t>
  </si>
  <si>
    <t>c.</t>
  </si>
  <si>
    <t>Richard C Levy and Associates</t>
  </si>
  <si>
    <t>Ernst</t>
  </si>
  <si>
    <t>Paul</t>
  </si>
  <si>
    <t>Lehman</t>
  </si>
  <si>
    <t>Schwartz</t>
  </si>
  <si>
    <t>Anson</t>
  </si>
  <si>
    <t>Isaacson</t>
  </si>
  <si>
    <t>Ideal, VP Product Development, CEO A.C. GIlbert,Senior Partner at MGA, one of the three killed</t>
  </si>
  <si>
    <t>Rosenzweig</t>
  </si>
  <si>
    <t>i-Star</t>
  </si>
  <si>
    <t>Breckman</t>
  </si>
  <si>
    <t>Uncle Andy's Toys</t>
  </si>
  <si>
    <t>Jeremy</t>
  </si>
  <si>
    <t>Padawer</t>
  </si>
  <si>
    <t>Wicked Cool Toys</t>
  </si>
  <si>
    <t>90-=</t>
  </si>
  <si>
    <t xml:space="preserve">MIchael </t>
  </si>
  <si>
    <t>Rinzler</t>
  </si>
  <si>
    <t>Mordecai</t>
  </si>
  <si>
    <t>Meirowitz</t>
  </si>
  <si>
    <t>Independent Designer</t>
  </si>
  <si>
    <t>90-08op-</t>
  </si>
  <si>
    <t>Hertzano</t>
  </si>
  <si>
    <t>Thomas</t>
  </si>
  <si>
    <t>J.</t>
  </si>
  <si>
    <t>Kalinske</t>
  </si>
  <si>
    <t>Knowledge Universe, L.L.C.</t>
  </si>
  <si>
    <t>Moritz</t>
  </si>
  <si>
    <t>Kohner</t>
  </si>
  <si>
    <t>Kohner Brothers</t>
  </si>
  <si>
    <t>Sheldon</t>
  </si>
  <si>
    <t>Shelcore</t>
  </si>
  <si>
    <t>PlayWOW</t>
  </si>
  <si>
    <t>Smollar?</t>
  </si>
  <si>
    <t>Kid Co</t>
  </si>
  <si>
    <t>Leonard</t>
  </si>
  <si>
    <t>Fuhrer</t>
  </si>
  <si>
    <t>Topper|Matchbox|Corgi|Damon Group</t>
  </si>
  <si>
    <t>Toy Vision Industries|Funanuf|Blue Square Innovations</t>
  </si>
  <si>
    <t>WIkipedia:David Fuhrer</t>
  </si>
  <si>
    <t>Blue Square Innovations</t>
  </si>
  <si>
    <t>Nextoy</t>
  </si>
  <si>
    <t>Johann</t>
  </si>
  <si>
    <t>Distler</t>
  </si>
  <si>
    <t>Max</t>
  </si>
  <si>
    <t>Moskowitz</t>
  </si>
  <si>
    <t>Max Moscowitz</t>
  </si>
  <si>
    <t>Kahn</t>
  </si>
  <si>
    <t>Shuco</t>
  </si>
  <si>
    <t xml:space="preserve">Leo </t>
  </si>
  <si>
    <t>Schlessinger</t>
  </si>
  <si>
    <t>Leo Schlesinger Company of NY</t>
  </si>
  <si>
    <t>"Dexter"
</t>
  </si>
  <si>
    <t>Putty Blower</t>
  </si>
  <si>
    <t>Tin Beach Toys</t>
  </si>
  <si>
    <t>Alvin</t>
  </si>
  <si>
    <t>Alvin G. &amp; CO</t>
  </si>
  <si>
    <t>Klein</t>
  </si>
  <si>
    <t>Lion, Ballys</t>
  </si>
  <si>
    <t xml:space="preserve">Avidad </t>
  </si>
  <si>
    <t>Maizels</t>
  </si>
  <si>
    <t>Prime Sense</t>
  </si>
  <si>
    <t>Shpunt</t>
  </si>
  <si>
    <t>Glassenberg</t>
  </si>
  <si>
    <t>Funtactix</t>
  </si>
  <si>
    <t>Yaron</t>
  </si>
  <si>
    <t>Leifenberg</t>
  </si>
  <si>
    <t xml:space="preserve">Richard </t>
  </si>
  <si>
    <t>Dansky</t>
  </si>
  <si>
    <t>White Wolf|Red Storm</t>
  </si>
  <si>
    <t>White Wolf, Red Storm</t>
  </si>
  <si>
    <t>Haunts (Wraith: The Oblivion)</t>
  </si>
  <si>
    <t>Irving</t>
  </si>
  <si>
    <t>Bromberg</t>
  </si>
  <si>
    <t>Andrew</t>
  </si>
  <si>
    <t>White Wolf</t>
  </si>
  <si>
    <t xml:space="preserve">white wolf </t>
  </si>
  <si>
    <t>Vampire: The Masquerade</t>
  </si>
  <si>
    <t xml:space="preserve">Andrew </t>
  </si>
  <si>
    <t>Sir-Tech</t>
  </si>
  <si>
    <t>Wizardry</t>
  </si>
  <si>
    <t>Heller</t>
  </si>
  <si>
    <t>http://www.haaretz.com/beta/1.646474</t>
  </si>
  <si>
    <t>Remco</t>
  </si>
  <si>
    <t>http://www.nytimes.com/2015/03/11/business/isaac-heller-co-founder-of-remco-and-toymaker-to-a-generation-dies-at-88.html</t>
  </si>
  <si>
    <t xml:space="preserve"> </t>
  </si>
  <si>
    <t>Eckstein</t>
  </si>
  <si>
    <t>Eden Toys</t>
  </si>
  <si>
    <t xml:space="preserve">George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</si>
</sst>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7">
    <font>
      <sz val="10.0"/>
      <color rgb="FF000000"/>
      <name val="Arial"/>
    </font>
    <font>
      <sz val="11.0"/>
      <color rgb="FF666666"/>
      <name val="&quot;Pontano Sans&quot;"/>
    </font>
    <font/>
    <font>
      <color rgb="FF9900FF"/>
    </font>
    <font>
      <color rgb="FF000000"/>
    </font>
    <font>
      <color rgb="FF93C47D"/>
    </font>
    <font>
      <u/>
      <color rgb="FF0000FF"/>
    </font>
    <font>
      <u/>
      <color rgb="FF0000FF"/>
    </font>
    <font>
      <u/>
      <sz val="10.0"/>
      <color rgb="FF0000FF"/>
    </font>
    <font>
      <u/>
      <color rgb="FF0000FF"/>
    </font>
    <font>
      <u/>
      <sz val="10.0"/>
      <color rgb="FF0000FF"/>
    </font>
    <font>
      <sz val="10.0"/>
    </font>
    <font>
      <u/>
      <color rgb="FF0000FF"/>
    </font>
    <font>
      <u/>
      <color rgb="FF0000FF"/>
    </font>
    <font>
      <sz val="11.0"/>
      <color rgb="FF252525"/>
    </font>
    <font>
      <sz val="11.0"/>
    </font>
    <font>
      <u/>
      <color rgb="FF0000FF"/>
    </font>
  </fonts>
  <fills count="12">
    <fill>
      <patternFill patternType="none"/>
    </fill>
    <fill>
      <patternFill patternType="lightGray"/>
    </fill>
    <fill>
      <patternFill patternType="solid">
        <fgColor rgb="FFE7F6FF"/>
        <bgColor rgb="FFE7F6FF"/>
      </patternFill>
    </fill>
    <fill>
      <patternFill patternType="solid">
        <fgColor rgb="FF00FF00"/>
        <bgColor rgb="FF00FF00"/>
      </patternFill>
    </fill>
    <fill>
      <patternFill patternType="solid">
        <fgColor rgb="FFFFFFFF"/>
        <bgColor rgb="FFFFFFFF"/>
      </patternFill>
    </fill>
    <fill>
      <patternFill patternType="solid">
        <fgColor rgb="FF4A86E8"/>
        <bgColor rgb="FF4A86E8"/>
      </patternFill>
    </fill>
    <fill>
      <patternFill patternType="solid">
        <fgColor rgb="FF9900FF"/>
        <bgColor rgb="FF9900FF"/>
      </patternFill>
    </fill>
    <fill>
      <patternFill patternType="solid">
        <fgColor rgb="FFFFFF00"/>
        <bgColor rgb="FFFFFF00"/>
      </patternFill>
    </fill>
    <fill>
      <patternFill patternType="solid">
        <fgColor rgb="FFB7B7B7"/>
        <bgColor rgb="FFB7B7B7"/>
      </patternFill>
    </fill>
    <fill>
      <patternFill patternType="solid">
        <fgColor rgb="FFFF0000"/>
        <bgColor rgb="FFFF0000"/>
      </patternFill>
    </fill>
    <fill>
      <patternFill patternType="solid">
        <fgColor rgb="FF999999"/>
        <bgColor rgb="FF999999"/>
      </patternFill>
    </fill>
    <fill>
      <patternFill patternType="solid">
        <fgColor rgb="FFF9F9F9"/>
        <bgColor rgb="FFF9F9F9"/>
      </patternFill>
    </fill>
  </fills>
  <borders count="1">
    <border>
      <left/>
      <right/>
      <top/>
      <bottom/>
    </border>
  </borders>
  <cellStyleXfs count="1">
    <xf borderId="0" fillId="0" fontId="0" numFmtId="0" applyAlignment="1" applyFont="1"/>
  </cellStyleXfs>
  <cellXfs count="59">
    <xf borderId="0" fillId="0" fontId="0" numFmtId="0" xfId="0" applyAlignment="1" applyFont="1">
      <alignment/>
    </xf>
    <xf borderId="0" fillId="2" fontId="1" numFmtId="0" xfId="0" applyAlignment="1" applyFill="1" applyFont="1">
      <alignment horizontal="left"/>
    </xf>
    <xf borderId="0" fillId="3" fontId="2" numFmtId="0" xfId="0" applyAlignment="1" applyFill="1" applyFont="1">
      <alignment/>
    </xf>
    <xf borderId="0" fillId="3" fontId="2" numFmtId="0" xfId="0" applyAlignment="1" applyFont="1">
      <alignment horizontal="right"/>
    </xf>
    <xf borderId="0" fillId="3" fontId="2" numFmtId="0" xfId="0" applyAlignment="1" applyFont="1">
      <alignment horizontal="left"/>
    </xf>
    <xf borderId="0" fillId="3" fontId="3" numFmtId="0" xfId="0" applyAlignment="1" applyFont="1">
      <alignment/>
    </xf>
    <xf borderId="0" fillId="0" fontId="2" numFmtId="0" xfId="0" applyAlignment="1" applyFont="1">
      <alignment/>
    </xf>
    <xf borderId="0" fillId="3" fontId="4" numFmtId="0" xfId="0" applyAlignment="1" applyFont="1">
      <alignment/>
    </xf>
    <xf borderId="0" fillId="3" fontId="3" numFmtId="0" xfId="0" applyAlignment="1" applyFont="1">
      <alignment/>
    </xf>
    <xf borderId="0" fillId="0" fontId="3" numFmtId="0" xfId="0" applyAlignment="1" applyFont="1">
      <alignment/>
    </xf>
    <xf borderId="0" fillId="0" fontId="5" numFmtId="0" xfId="0" applyAlignment="1" applyFont="1">
      <alignment/>
    </xf>
    <xf borderId="0" fillId="4" fontId="2" numFmtId="164" xfId="0" applyAlignment="1" applyFill="1" applyFont="1" applyNumberFormat="1">
      <alignment/>
    </xf>
    <xf borderId="0" fillId="4" fontId="2" numFmtId="0" xfId="0" applyAlignment="1" applyFont="1">
      <alignment/>
    </xf>
    <xf borderId="0" fillId="4" fontId="2" numFmtId="0" xfId="0" applyAlignment="1" applyFont="1">
      <alignment horizontal="right"/>
    </xf>
    <xf borderId="0" fillId="4" fontId="2" numFmtId="0" xfId="0" applyAlignment="1" applyFont="1">
      <alignment horizontal="left"/>
    </xf>
    <xf borderId="0" fillId="4" fontId="2" numFmtId="0" xfId="0" applyAlignment="1" applyFont="1">
      <alignment/>
    </xf>
    <xf borderId="0" fillId="4" fontId="2" numFmtId="0" xfId="0" applyAlignment="1" applyFont="1">
      <alignment/>
    </xf>
    <xf borderId="0" fillId="4" fontId="2" numFmtId="0" xfId="0" applyFont="1"/>
    <xf borderId="0" fillId="0" fontId="2" numFmtId="0" xfId="0" applyAlignment="1" applyFont="1">
      <alignment/>
    </xf>
    <xf borderId="0" fillId="5" fontId="2" numFmtId="0" xfId="0" applyAlignment="1" applyFill="1" applyFont="1">
      <alignment/>
    </xf>
    <xf borderId="0" fillId="6" fontId="2" numFmtId="0" xfId="0" applyAlignment="1" applyFill="1" applyFont="1">
      <alignment/>
    </xf>
    <xf borderId="0" fillId="7" fontId="2" numFmtId="164" xfId="0" applyAlignment="1" applyFill="1" applyFont="1" applyNumberFormat="1">
      <alignment/>
    </xf>
    <xf borderId="0" fillId="8" fontId="2" numFmtId="164" xfId="0" applyAlignment="1" applyFill="1" applyFont="1" applyNumberFormat="1">
      <alignment/>
    </xf>
    <xf borderId="0" fillId="9" fontId="2" numFmtId="164" xfId="0" applyAlignment="1" applyFill="1" applyFont="1" applyNumberFormat="1">
      <alignment/>
    </xf>
    <xf borderId="0" fillId="9" fontId="2" numFmtId="0" xfId="0" applyAlignment="1" applyFont="1">
      <alignment/>
    </xf>
    <xf borderId="0" fillId="0" fontId="2" numFmtId="0" xfId="0" applyAlignment="1" applyFont="1">
      <alignment horizontal="right"/>
    </xf>
    <xf borderId="0" fillId="0" fontId="2" numFmtId="0" xfId="0" applyAlignment="1" applyFont="1">
      <alignment horizontal="left"/>
    </xf>
    <xf borderId="0" fillId="0" fontId="2" numFmtId="0" xfId="0" applyAlignment="1" applyFont="1">
      <alignment/>
    </xf>
    <xf borderId="0" fillId="0" fontId="6" numFmtId="0" xfId="0" applyAlignment="1" applyFont="1">
      <alignment/>
    </xf>
    <xf borderId="0" fillId="0" fontId="7" numFmtId="0" xfId="0" applyAlignment="1" applyFont="1">
      <alignment/>
    </xf>
    <xf borderId="0" fillId="9" fontId="2" numFmtId="0" xfId="0" applyAlignment="1" applyFont="1">
      <alignment/>
    </xf>
    <xf borderId="0" fillId="0" fontId="8" numFmtId="0" xfId="0" applyAlignment="1" applyFont="1">
      <alignment/>
    </xf>
    <xf borderId="0" fillId="5" fontId="2" numFmtId="0" xfId="0" applyAlignment="1" applyFont="1">
      <alignment/>
    </xf>
    <xf borderId="0" fillId="0" fontId="2" numFmtId="0" xfId="0" applyAlignment="1" applyFont="1">
      <alignment horizontal="right"/>
    </xf>
    <xf borderId="0" fillId="0" fontId="2" numFmtId="0" xfId="0" applyAlignment="1" applyFont="1">
      <alignment horizontal="left"/>
    </xf>
    <xf borderId="0" fillId="6" fontId="2" numFmtId="0" xfId="0" applyAlignment="1" applyFont="1">
      <alignment/>
    </xf>
    <xf borderId="0" fillId="0" fontId="2" numFmtId="0" xfId="0" applyAlignment="1" applyFont="1">
      <alignment/>
    </xf>
    <xf borderId="0" fillId="7" fontId="2" numFmtId="0" xfId="0" applyAlignment="1" applyFont="1">
      <alignment/>
    </xf>
    <xf borderId="0" fillId="7" fontId="2" numFmtId="0" xfId="0" applyAlignment="1" applyFont="1">
      <alignment/>
    </xf>
    <xf borderId="0" fillId="4" fontId="0" numFmtId="0" xfId="0" applyAlignment="1" applyFont="1">
      <alignment/>
    </xf>
    <xf borderId="0" fillId="0" fontId="9" numFmtId="0" xfId="0" applyAlignment="1" applyFont="1">
      <alignment/>
    </xf>
    <xf borderId="0" fillId="3" fontId="2" numFmtId="0" xfId="0" applyAlignment="1" applyFont="1">
      <alignment/>
    </xf>
    <xf borderId="0" fillId="4" fontId="10" numFmtId="0" xfId="0" applyAlignment="1" applyFont="1">
      <alignment/>
    </xf>
    <xf borderId="0" fillId="0" fontId="11" numFmtId="0" xfId="0" applyAlignment="1" applyFont="1">
      <alignment horizontal="left"/>
    </xf>
    <xf borderId="0" fillId="10" fontId="2" numFmtId="0" xfId="0" applyAlignment="1" applyFill="1" applyFont="1">
      <alignment/>
    </xf>
    <xf borderId="0" fillId="10" fontId="2" numFmtId="0" xfId="0" applyAlignment="1" applyFont="1">
      <alignment/>
    </xf>
    <xf borderId="0" fillId="0" fontId="2" numFmtId="0" xfId="0" applyAlignment="1" applyFont="1">
      <alignment/>
    </xf>
    <xf borderId="0" fillId="9" fontId="12" numFmtId="0" xfId="0" applyAlignment="1" applyFont="1">
      <alignment/>
    </xf>
    <xf borderId="0" fillId="11" fontId="11" numFmtId="0" xfId="0" applyAlignment="1" applyFill="1" applyFont="1">
      <alignment horizontal="left"/>
    </xf>
    <xf borderId="0" fillId="0" fontId="13" numFmtId="0" xfId="0" applyAlignment="1" applyFont="1">
      <alignment/>
    </xf>
    <xf borderId="0" fillId="0" fontId="2" numFmtId="0" xfId="0" applyAlignment="1" applyFont="1">
      <alignment/>
    </xf>
    <xf borderId="0" fillId="4" fontId="11" numFmtId="0" xfId="0" applyAlignment="1" applyFont="1">
      <alignment horizontal="left"/>
    </xf>
    <xf borderId="0" fillId="4" fontId="14" numFmtId="0" xfId="0" applyAlignment="1" applyFont="1">
      <alignment/>
    </xf>
    <xf borderId="0" fillId="4" fontId="15" numFmtId="0" xfId="0" applyAlignment="1" applyFont="1">
      <alignment/>
    </xf>
    <xf borderId="0" fillId="4" fontId="16" numFmtId="0" xfId="0" applyAlignment="1" applyFont="1">
      <alignment/>
    </xf>
    <xf borderId="0" fillId="7" fontId="4" numFmtId="0" xfId="0" applyAlignment="1" applyFont="1">
      <alignment/>
    </xf>
    <xf borderId="0" fillId="7" fontId="4" numFmtId="0" xfId="0" applyAlignment="1" applyFont="1">
      <alignment/>
    </xf>
    <xf borderId="0" fillId="6" fontId="2" numFmtId="0" xfId="0" applyAlignment="1" applyFont="1">
      <alignment/>
    </xf>
    <xf borderId="0" fillId="7"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www.nytimes.com/1986/02/25/obituaries/edwin-s-lowe-75-toy-manufacturer-popularized-bingo.html" TargetMode="External"/><Relationship Id="rId194" Type="http://schemas.openxmlformats.org/officeDocument/2006/relationships/hyperlink" Target="http://en.wikipedia.org/wiki/Edwin_S._Lowe" TargetMode="External"/><Relationship Id="rId193" Type="http://schemas.openxmlformats.org/officeDocument/2006/relationships/hyperlink" Target="http://www.yahtzeeonline.org/yahtzee-history.php" TargetMode="External"/><Relationship Id="rId192" Type="http://schemas.openxmlformats.org/officeDocument/2006/relationships/hyperlink" Target="http://www.scribd.com/doc/6047325/History-of-the-E-S-Lowe-Company-and-the-Chess-Sets-It-Sold" TargetMode="External"/><Relationship Id="rId191" Type="http://schemas.openxmlformats.org/officeDocument/2006/relationships/hyperlink" Target="http://inventors.about.com/library/inventors/blbingo.htm" TargetMode="External"/><Relationship Id="rId187" Type="http://schemas.openxmlformats.org/officeDocument/2006/relationships/hyperlink" Target="http://en.wikipedia.org/wiki/Q*bert" TargetMode="External"/><Relationship Id="rId186" Type="http://schemas.openxmlformats.org/officeDocument/2006/relationships/hyperlink" Target="http://1930s.com/pinball/feature5.html" TargetMode="External"/><Relationship Id="rId185" Type="http://schemas.openxmlformats.org/officeDocument/2006/relationships/hyperlink" Target="http://www.ipdb.org/machine.cgi?id=1254" TargetMode="External"/><Relationship Id="rId184" Type="http://schemas.openxmlformats.org/officeDocument/2006/relationships/hyperlink" Target="http://www.flippers.be/images/games/humptydumpty.jpg" TargetMode="External"/><Relationship Id="rId189" Type="http://schemas.openxmlformats.org/officeDocument/2006/relationships/hyperlink" Target="http://www.nashuatelegraph.com/csp/cms/sites/dt.common.streams.StreamServer.cls?STREAMOID=lQacaQdhEAOXTjXorl29OM$daE2N3K4ZzOUsqbU5sYt6YK0Vz3pDA9FQuh0x_WYgWCsjLu883Ygn4B49Lvm9bPe2QeMKQdVeZmXF$9l$4uCZ8QDXhaHEp3rvzXRJFdy0KqPHLoMevcTLo3h8xh70Y6N_U_CryOsw6FTOdKL_jpQ-&amp;CONTENTTYPE=image/jpeg" TargetMode="External"/><Relationship Id="rId188" Type="http://schemas.openxmlformats.org/officeDocument/2006/relationships/hyperlink" Target="http://articles.latimes.com/1986-02-27/local/me-11951_1_edwin-lowe" TargetMode="External"/><Relationship Id="rId183" Type="http://schemas.openxmlformats.org/officeDocument/2006/relationships/hyperlink" Target="http://www.ipdb.org/showpic.pl?id=129&amp;picno=16257" TargetMode="External"/><Relationship Id="rId182" Type="http://schemas.openxmlformats.org/officeDocument/2006/relationships/hyperlink" Target="https://www.youtube.com/watch?v=n9E7WxWP-7g" TargetMode="External"/><Relationship Id="rId181" Type="http://schemas.openxmlformats.org/officeDocument/2006/relationships/hyperlink" Target="https://docs.google.com/spreadsheets/d/1kRODCQkJSbkw1ci50zjec03FyNuwpo1nRwjofDPjxQA/edit" TargetMode="External"/><Relationship Id="rId180" Type="http://schemas.openxmlformats.org/officeDocument/2006/relationships/hyperlink" Target="http://www.mobygames.com/company/mylstar-electronics-inc" TargetMode="External"/><Relationship Id="rId176" Type="http://schemas.openxmlformats.org/officeDocument/2006/relationships/hyperlink" Target="http://www.playgroundprofessionals.com/encyclopedia/h/hasbro" TargetMode="External"/><Relationship Id="rId297" Type="http://schemas.openxmlformats.org/officeDocument/2006/relationships/hyperlink" Target="http://www.mattel.com/" TargetMode="External"/><Relationship Id="rId175" Type="http://schemas.openxmlformats.org/officeDocument/2006/relationships/hyperlink" Target="http://www.fundinguniverse.com/company-histories/hasbro-inc-history/" TargetMode="External"/><Relationship Id="rId296" Type="http://schemas.openxmlformats.org/officeDocument/2006/relationships/hyperlink" Target="http://img2.wikia.nocookie.net/__cb20110809224543/pixar/images/d/dc/Mattel_logo.jpg" TargetMode="External"/><Relationship Id="rId174" Type="http://schemas.openxmlformats.org/officeDocument/2006/relationships/hyperlink" Target="http://www.hasbro.com" TargetMode="External"/><Relationship Id="rId295" Type="http://schemas.openxmlformats.org/officeDocument/2006/relationships/hyperlink" Target="http://en.wikipedia.org/wiki/Elliot_Handler" TargetMode="External"/><Relationship Id="rId173" Type="http://schemas.openxmlformats.org/officeDocument/2006/relationships/hyperlink" Target="http://vignette4.wikia.nocookie.net/logopedia/images/a/ad/Hasbro_Logo_(2009)_with_the_TM_Symbol.png/revision/latest?cb=20151216161552" TargetMode="External"/><Relationship Id="rId294" Type="http://schemas.openxmlformats.org/officeDocument/2006/relationships/hyperlink" Target="http://corporate.mattel.com/about-us/elliot-handler/" TargetMode="External"/><Relationship Id="rId179" Type="http://schemas.openxmlformats.org/officeDocument/2006/relationships/hyperlink" Target="http://books.google.com/books?id=5x0EAAAAMBAJ&amp;pg=PA93&amp;lpg=PA93&amp;dq=meyer+gensberg+genco&amp;source=bl&amp;ots=GsblzfS8Ed&amp;sig=kpM0kV1ES8FEEtTis2zd6XWz7Ho&amp;hl=en&amp;sa=X&amp;ei=sq4mVKXPE9SyyATqrYD4BA&amp;ved=0CCIQ6AEwAA" TargetMode="External"/><Relationship Id="rId178" Type="http://schemas.openxmlformats.org/officeDocument/2006/relationships/hyperlink" Target="http://www.pinball-gallery.com/liens/david_gottlieb_dedication.jpg" TargetMode="External"/><Relationship Id="rId299" Type="http://schemas.openxmlformats.org/officeDocument/2006/relationships/hyperlink" Target="http://www.playgroundprofessionals.com/encyclopedia/m/mattel" TargetMode="External"/><Relationship Id="rId177" Type="http://schemas.openxmlformats.org/officeDocument/2006/relationships/hyperlink" Target="http://en.wikipedia.org/wiki/Hasbro" TargetMode="External"/><Relationship Id="rId298" Type="http://schemas.openxmlformats.org/officeDocument/2006/relationships/hyperlink" Target="http://www.fundinguniverse.com/company-histories/mattel-inc-history/" TargetMode="External"/><Relationship Id="rId198" Type="http://schemas.openxmlformats.org/officeDocument/2006/relationships/hyperlink" Target="https://upload.wikimedia.org/wikipedia/commons/thumb/8/80/Yahtzee_logo.svg/158px-Yahtzee_logo.svg.png" TargetMode="External"/><Relationship Id="rId197" Type="http://schemas.openxmlformats.org/officeDocument/2006/relationships/hyperlink" Target="https://img1.etsystatic.com/027/0/7399405/il_340x270.627227245_j6co.jpg" TargetMode="External"/><Relationship Id="rId196" Type="http://schemas.openxmlformats.org/officeDocument/2006/relationships/hyperlink" Target="http://boardgamegeek.com/image/799370/es-lowe" TargetMode="External"/><Relationship Id="rId195" Type="http://schemas.openxmlformats.org/officeDocument/2006/relationships/hyperlink" Target="http://cf.geekdo-images.com/images/pic799370_md.jpg" TargetMode="External"/><Relationship Id="rId199" Type="http://schemas.openxmlformats.org/officeDocument/2006/relationships/hyperlink" Target="http://www.toyassociation.org/TIA/Events/HOF/Inductees/Events2/Hall_of_Fame/Hall_of_Fame_Inductees.aspx?hkey=513da8d5-c0f8-423a-be33-9a720a8b9276" TargetMode="External"/><Relationship Id="rId150" Type="http://schemas.openxmlformats.org/officeDocument/2006/relationships/hyperlink" Target="http://i.ebayimg.com/00/s/MTIwMFgxNjAw/z/42sAAOxy~ilSOKHQ/$T2eC16NHJF4FFkt8RW8JBSOKHPRQww~~60_35.JPG" TargetMode="External"/><Relationship Id="rId271" Type="http://schemas.openxmlformats.org/officeDocument/2006/relationships/hyperlink" Target="http://en.wikipedia.org/wiki/Marvin_Glass_and_Associates" TargetMode="External"/><Relationship Id="rId392" Type="http://schemas.openxmlformats.org/officeDocument/2006/relationships/hyperlink" Target="http://en.wikipedia.org/wiki/Taito_Corporation" TargetMode="External"/><Relationship Id="rId270" Type="http://schemas.openxmlformats.org/officeDocument/2006/relationships/hyperlink" Target="http://books.google.com/books?id=CGnr3-sSEdMC&amp;pg=PA141&amp;lpg=PA141&amp;dq=%22lionel+weintraub%22+ideal&amp;source=bl&amp;ots=KweXoadtRc&amp;sig=Ik0V3S_bDnFUvW6Vyquktgx7zOs&amp;hl=en&amp;sa=X&amp;ei=kv0UVJmePPG1sQSjhoHQBw&amp;ved=0CDwQ6AEwBA" TargetMode="External"/><Relationship Id="rId391" Type="http://schemas.openxmlformats.org/officeDocument/2006/relationships/hyperlink" Target="http://www.taito.com/" TargetMode="External"/><Relationship Id="rId390" Type="http://schemas.openxmlformats.org/officeDocument/2006/relationships/hyperlink" Target="https://upload.wikimedia.org/wikipedia/en/5/5c/Taito_Corporation_%28old_logo%29.jpg" TargetMode="External"/><Relationship Id="rId1" Type="http://schemas.openxmlformats.org/officeDocument/2006/relationships/hyperlink" Target="http://www.wopc.co.uk/usa/nyccc/cohen.html" TargetMode="External"/><Relationship Id="rId2" Type="http://schemas.openxmlformats.org/officeDocument/2006/relationships/hyperlink" Target="http://whiteknucklecards.com/history/cohen.html" TargetMode="External"/><Relationship Id="rId3" Type="http://schemas.openxmlformats.org/officeDocument/2006/relationships/hyperlink" Target="http://en.wikipedia.org/wiki/Lewis_Cohen_%28cardmaker%29" TargetMode="External"/><Relationship Id="rId149" Type="http://schemas.openxmlformats.org/officeDocument/2006/relationships/hyperlink" Target="http://en.wikipedia.org/wiki/Hasbro" TargetMode="External"/><Relationship Id="rId4" Type="http://schemas.openxmlformats.org/officeDocument/2006/relationships/hyperlink" Target="http://www.whiteknucklecards.com/history/images/LICohenAce.jpg" TargetMode="External"/><Relationship Id="rId148" Type="http://schemas.openxmlformats.org/officeDocument/2006/relationships/hyperlink" Target="http://www.playgroundprofessionals.com/encyclopedia/h/hasbro" TargetMode="External"/><Relationship Id="rId269" Type="http://schemas.openxmlformats.org/officeDocument/2006/relationships/hyperlink" Target="http://static.giantbomb.com/uploads/scale_small/0/4527/1229430-marvin_glass_side_bar_flattened.jpg" TargetMode="External"/><Relationship Id="rId9" Type="http://schemas.openxmlformats.org/officeDocument/2006/relationships/hyperlink" Target="http://fortune.com/2015/07/15/photos-fao-schwarz-history-2/" TargetMode="External"/><Relationship Id="rId143" Type="http://schemas.openxmlformats.org/officeDocument/2006/relationships/hyperlink" Target="http://www.toyassociation.org/TIA/Events/HOF/Inductees/Events2/Hall_of_Fame/Hall_of_Fame_Inductees.aspx?hkey=513da8d5-c0f8-423a-be33-9a720a8b9276" TargetMode="External"/><Relationship Id="rId264" Type="http://schemas.openxmlformats.org/officeDocument/2006/relationships/hyperlink" Target="http://blog.chicagohistory.org/wp-content/uploads/i40329.jpg" TargetMode="External"/><Relationship Id="rId385" Type="http://schemas.openxmlformats.org/officeDocument/2006/relationships/hyperlink" Target="http://www.museumofplay.org/online-collections/search/index.php?q=dream+kitchen" TargetMode="External"/><Relationship Id="rId142" Type="http://schemas.openxmlformats.org/officeDocument/2006/relationships/hyperlink" Target="http://www.toyassociation.org/App_Themes/tia/images/HOF/hassenfeld.jpg" TargetMode="External"/><Relationship Id="rId263" Type="http://schemas.openxmlformats.org/officeDocument/2006/relationships/hyperlink" Target="http://info.sonicretro.org/images/thumb/6/6f/Sonic1USCart2.JPG/800px-Sonic1USCart2.JPG" TargetMode="External"/><Relationship Id="rId384" Type="http://schemas.openxmlformats.org/officeDocument/2006/relationships/hyperlink" Target="https://s-media-cache-ak0.pinimg.com/564x/0a/ca/c5/0acac587836d6504152ab28937b1292e.jpg" TargetMode="External"/><Relationship Id="rId141" Type="http://schemas.openxmlformats.org/officeDocument/2006/relationships/hyperlink" Target="http://arealamericanbook.files.wordpress.com/2014/03/merrillh-obit_blog.jpg" TargetMode="External"/><Relationship Id="rId262" Type="http://schemas.openxmlformats.org/officeDocument/2006/relationships/hyperlink" Target="http://realotakugamer.com/wp-content/uploads/2010/11/scope.jpg" TargetMode="External"/><Relationship Id="rId383" Type="http://schemas.openxmlformats.org/officeDocument/2006/relationships/hyperlink" Target="http://www.museumofplay.org/online-collections/images/Z000/Z00036/Z0003678.jpg" TargetMode="External"/><Relationship Id="rId140" Type="http://schemas.openxmlformats.org/officeDocument/2006/relationships/hyperlink" Target="http://www.museumofplay.org/online-collections/search/index.php?q=magnetix" TargetMode="External"/><Relationship Id="rId261" Type="http://schemas.openxmlformats.org/officeDocument/2006/relationships/hyperlink" Target="http://en.wikipedia.org/wiki/Sega" TargetMode="External"/><Relationship Id="rId382" Type="http://schemas.openxmlformats.org/officeDocument/2006/relationships/hyperlink" Target="http://www.dr-goop.com/toppermonstermaker/topperhistory" TargetMode="External"/><Relationship Id="rId5" Type="http://schemas.openxmlformats.org/officeDocument/2006/relationships/hyperlink" Target="http://www.wopc.co.uk/images/countries/usa/nyccc/li-cohen-1.jpg" TargetMode="External"/><Relationship Id="rId147" Type="http://schemas.openxmlformats.org/officeDocument/2006/relationships/hyperlink" Target="http://www.fundinguniverse.com/company-histories/hasbro-inc-history/" TargetMode="External"/><Relationship Id="rId268" Type="http://schemas.openxmlformats.org/officeDocument/2006/relationships/hyperlink" Target="http://blog.chicagohistory.org/index.php/2011/11/mmm-that-game-sounds-delicious/" TargetMode="External"/><Relationship Id="rId389" Type="http://schemas.openxmlformats.org/officeDocument/2006/relationships/hyperlink" Target="http://en.wikipedia.org/wiki/Michael_Kogan" TargetMode="External"/><Relationship Id="rId6" Type="http://schemas.openxmlformats.org/officeDocument/2006/relationships/hyperlink" Target="http://www.toyhalloffame.org/toys/playing-cards" TargetMode="External"/><Relationship Id="rId146" Type="http://schemas.openxmlformats.org/officeDocument/2006/relationships/hyperlink" Target="http://www.hasbro.com" TargetMode="External"/><Relationship Id="rId267" Type="http://schemas.openxmlformats.org/officeDocument/2006/relationships/hyperlink" Target="http://news.google.com/newspapers?id=RmhPAAAAIBAJ&amp;sjid=mSQEAAAAIBAJ&amp;dq=marvin-glass&amp;pg=7027%2C3996042" TargetMode="External"/><Relationship Id="rId388" Type="http://schemas.openxmlformats.org/officeDocument/2006/relationships/hyperlink" Target="http://books.google.com/books?id=5dCY1mp2R2gC&amp;pg=PR11&amp;lpg=PR11&amp;dq=kogan+fugu+plan&amp;source=bl&amp;ots=8NGARH8T2o&amp;sig=LxolAEDIPFjMyAeQy7ue-qH63cs&amp;hl=en&amp;sa=X&amp;ei=lKsmVIOIDpD_yQT3-YLgCQ&amp;ved=0CCAQ6AEwAA" TargetMode="External"/><Relationship Id="rId7" Type="http://schemas.openxmlformats.org/officeDocument/2006/relationships/hyperlink" Target="http://upload.wikimedia.org/wikipedia/en/thumb/a/a2/Frederick_August_Otto_Schwarz.jpg/150px-Frederick_August_Otto_Schwarz.jpg" TargetMode="External"/><Relationship Id="rId145" Type="http://schemas.openxmlformats.org/officeDocument/2006/relationships/hyperlink" Target="http://vignette4.wikia.nocookie.net/logopedia/images/a/ad/Hasbro_Logo_(2009)_with_the_TM_Symbol.png/revision/latest?cb=20151216161552" TargetMode="External"/><Relationship Id="rId266" Type="http://schemas.openxmlformats.org/officeDocument/2006/relationships/hyperlink" Target="http://secretfunspot.blogspot.com/2008/06/marvin-glass-legendary-toymaker.html" TargetMode="External"/><Relationship Id="rId387" Type="http://schemas.openxmlformats.org/officeDocument/2006/relationships/hyperlink" Target="http://en.wikipedia.org/wiki/Michael_Kogan" TargetMode="External"/><Relationship Id="rId8" Type="http://schemas.openxmlformats.org/officeDocument/2006/relationships/hyperlink" Target="http://www.toyassociation.org/TIA/Events/HOF/Inductees/Events2/Hall_of_Fame/Hall_of_Fame_Inductees.aspx?hkey=513da8d5-c0f8-423a-be33-9a720a8b9276" TargetMode="External"/><Relationship Id="rId144" Type="http://schemas.openxmlformats.org/officeDocument/2006/relationships/hyperlink" Target="http://www.riheritagehalloffame.org/inductees_detail.cfm?iid=162" TargetMode="External"/><Relationship Id="rId265" Type="http://schemas.openxmlformats.org/officeDocument/2006/relationships/hyperlink" Target="http://www.toyassociation.org/TIA/Events/HOF/Inductees/Events2/Hall_of_Fame/Hall_of_Fame_Inductees.aspx?hkey=513da8d5-c0f8-423a-be33-9a720a8b9276" TargetMode="External"/><Relationship Id="rId386" Type="http://schemas.openxmlformats.org/officeDocument/2006/relationships/hyperlink" Target="https://videogamehistorian.files.wordpress.com/2015/06/kogan.png?w=300&amp;h=300" TargetMode="External"/><Relationship Id="rId260" Type="http://schemas.openxmlformats.org/officeDocument/2006/relationships/hyperlink" Target="http://segaretro.org/Sega" TargetMode="External"/><Relationship Id="rId381" Type="http://schemas.openxmlformats.org/officeDocument/2006/relationships/hyperlink" Target="http://www.blippee.com/images/topper-logo.png" TargetMode="External"/><Relationship Id="rId380" Type="http://schemas.openxmlformats.org/officeDocument/2006/relationships/hyperlink" Target="http://en.wikipedia.org/wiki/Henry_Orenstein" TargetMode="External"/><Relationship Id="rId139" Type="http://schemas.openxmlformats.org/officeDocument/2006/relationships/hyperlink" Target="http://www.thefreelibrary.com/Rose+Art+Industries+Celebrates+Its+80th+Anniversary%3A+Lawrence+Rosen...-a097571939" TargetMode="External"/><Relationship Id="rId138" Type="http://schemas.openxmlformats.org/officeDocument/2006/relationships/hyperlink" Target="http://en.wikipedia.org/wiki/MEGA_Brands_America,_Inc." TargetMode="External"/><Relationship Id="rId259" Type="http://schemas.openxmlformats.org/officeDocument/2006/relationships/hyperlink" Target="http://www.fundinguniverse.com/company-histories/sega-of-america-inc-history/" TargetMode="External"/><Relationship Id="rId137" Type="http://schemas.openxmlformats.org/officeDocument/2006/relationships/hyperlink" Target="http://www.fundinguniverse.com/company-histories/rose-art-industries-history/" TargetMode="External"/><Relationship Id="rId258" Type="http://schemas.openxmlformats.org/officeDocument/2006/relationships/hyperlink" Target="http://www.sega.com/" TargetMode="External"/><Relationship Id="rId379" Type="http://schemas.openxmlformats.org/officeDocument/2006/relationships/hyperlink" Target="http://www.pokernews.com/news/2014/07/henry-orenstein-the-holocaust-survivor-and-inventor-poker-18711.htm" TargetMode="External"/><Relationship Id="rId132" Type="http://schemas.openxmlformats.org/officeDocument/2006/relationships/hyperlink" Target="http://en.wikipedia.org/wiki/Madame_Alexander" TargetMode="External"/><Relationship Id="rId253" Type="http://schemas.openxmlformats.org/officeDocument/2006/relationships/hyperlink" Target="http://www.dailyrecord.co.uk/news/local-news/toy-story-timpo-exhibition-opens-2569897" TargetMode="External"/><Relationship Id="rId374" Type="http://schemas.openxmlformats.org/officeDocument/2006/relationships/hyperlink" Target="http://www.museumofplay.org/online-collections/search/index.php?q=potato+head" TargetMode="External"/><Relationship Id="rId495" Type="http://schemas.openxmlformats.org/officeDocument/2006/relationships/hyperlink" Target="http://www.mastermindtoys.com/" TargetMode="External"/><Relationship Id="rId131" Type="http://schemas.openxmlformats.org/officeDocument/2006/relationships/hyperlink" Target="http://www.dollkind.com/images/cissy-doll9.jpg" TargetMode="External"/><Relationship Id="rId252" Type="http://schemas.openxmlformats.org/officeDocument/2006/relationships/hyperlink" Target="http://en.wikipedia.org/wiki/Timpo" TargetMode="External"/><Relationship Id="rId373" Type="http://schemas.openxmlformats.org/officeDocument/2006/relationships/hyperlink" Target="http://www.toyhalloffame.org/toys/mr-potato-head" TargetMode="External"/><Relationship Id="rId494" Type="http://schemas.openxmlformats.org/officeDocument/2006/relationships/hyperlink" Target="http://upload.mediatly.com/card_pictures/ea/6d/bc/ea6dbccb-083d-463c-a65e-f1fedaa46b9f.jpg" TargetMode="External"/><Relationship Id="rId130" Type="http://schemas.openxmlformats.org/officeDocument/2006/relationships/hyperlink" Target="http://www.museumofplay.org/online-collections/2/51/112.5664" TargetMode="External"/><Relationship Id="rId251" Type="http://schemas.openxmlformats.org/officeDocument/2006/relationships/hyperlink" Target="http://news.google.com/newspapers?nid=1683&amp;dat=20020206&amp;id=SrQaAAAAIBAJ&amp;sjid=lT8EAAAAIBAJ&amp;pg=5055,4737521" TargetMode="External"/><Relationship Id="rId372" Type="http://schemas.openxmlformats.org/officeDocument/2006/relationships/hyperlink" Target="http://en.wikipedia.org/wiki/Mr._Potato_Head" TargetMode="External"/><Relationship Id="rId493" Type="http://schemas.openxmlformats.org/officeDocument/2006/relationships/hyperlink" Target="http://en.wikipedia.org/wiki/MGA_Entertainment" TargetMode="External"/><Relationship Id="rId250" Type="http://schemas.openxmlformats.org/officeDocument/2006/relationships/hyperlink" Target="http://www.toyassociation.org/TIA/Events/HOF/Inductees/Events2/Hall_of_Fame/Hall_of_Fame_Inductees.aspx?hkey=513da8d5-c0f8-423a-be33-9a720a8b9276" TargetMode="External"/><Relationship Id="rId371" Type="http://schemas.openxmlformats.org/officeDocument/2006/relationships/hyperlink" Target="http://en.wikipedia.org/wiki/Mr._Potato_Head" TargetMode="External"/><Relationship Id="rId492" Type="http://schemas.openxmlformats.org/officeDocument/2006/relationships/hyperlink" Target="http://www.mgae.com/" TargetMode="External"/><Relationship Id="rId136" Type="http://schemas.openxmlformats.org/officeDocument/2006/relationships/hyperlink" Target="http://www.roseart.com/" TargetMode="External"/><Relationship Id="rId257" Type="http://schemas.openxmlformats.org/officeDocument/2006/relationships/hyperlink" Target="http://upload.wikimedia.org/wikipedia/commons/4/41/SEGA_logo.png" TargetMode="External"/><Relationship Id="rId378" Type="http://schemas.openxmlformats.org/officeDocument/2006/relationships/hyperlink" Target="http://tfwiki.net/wiki/Henry_Orenstein" TargetMode="External"/><Relationship Id="rId499" Type="http://schemas.openxmlformats.org/officeDocument/2006/relationships/hyperlink" Target="http://www.funrise.com/" TargetMode="External"/><Relationship Id="rId135" Type="http://schemas.openxmlformats.org/officeDocument/2006/relationships/hyperlink" Target="http://www.fairlandtoy.com/Rose%20Art%20Logo%20Grey%20New.jpg" TargetMode="External"/><Relationship Id="rId256" Type="http://schemas.openxmlformats.org/officeDocument/2006/relationships/hyperlink" Target="http://en.wikipedia.org/wiki/David_Rosen_%28business%29" TargetMode="External"/><Relationship Id="rId377" Type="http://schemas.openxmlformats.org/officeDocument/2006/relationships/hyperlink" Target="https://pnimg.net/w/articles/4/53b/60ddfe1307.jpg" TargetMode="External"/><Relationship Id="rId498" Type="http://schemas.openxmlformats.org/officeDocument/2006/relationships/hyperlink" Target="http://ww1.prweb.com/prfiles/2011/09/13/8901260/funrise_logo_NO%20METAL.png" TargetMode="External"/><Relationship Id="rId134" Type="http://schemas.openxmlformats.org/officeDocument/2006/relationships/hyperlink" Target="http://www.toyassociation.org/App_Themes/tia/images/events/hof/rosen.jpg" TargetMode="External"/><Relationship Id="rId255" Type="http://schemas.openxmlformats.org/officeDocument/2006/relationships/hyperlink" Target="http://www.seganerds.com/2014/03/16/know-your-history-the-rosen-report/" TargetMode="External"/><Relationship Id="rId376" Type="http://schemas.openxmlformats.org/officeDocument/2006/relationships/hyperlink" Target="http://www.babydollbemine.com/deluxe.htm" TargetMode="External"/><Relationship Id="rId497" Type="http://schemas.openxmlformats.org/officeDocument/2006/relationships/hyperlink" Target="http://www.toyassociation.org/TIA/Events/HOF/Inductees/Events2/Hall_of_Fame/Hall_of_Fame_Inductees.aspx?hkey=513da8d5-c0f8-423a-be33-9a720a8b9276" TargetMode="External"/><Relationship Id="rId133" Type="http://schemas.openxmlformats.org/officeDocument/2006/relationships/hyperlink" Target="http://obits.nj.com/obituaries/starledger/obituary.aspx?pid=151466719" TargetMode="External"/><Relationship Id="rId254" Type="http://schemas.openxmlformats.org/officeDocument/2006/relationships/hyperlink" Target="http://segaretro.org/images/f/fe/Davidrosen.jpg" TargetMode="External"/><Relationship Id="rId375" Type="http://schemas.openxmlformats.org/officeDocument/2006/relationships/hyperlink" Target="http://books.google.com/books?id=tOUJdHhF6-QC&amp;pg=PA17&amp;lpg=PA17&amp;dq=hassenfeld+doctor+kit+1930&amp;source=bl&amp;ots=ctXj593K-s&amp;sig=YiPGlZzW5vb8KPVxhpg7UzhPGxg&amp;hl=en&amp;sa=X&amp;ei=YTryU7fRKISdygSEvYKoDw&amp;ved=0CEYQ6AEwBQ" TargetMode="External"/><Relationship Id="rId496" Type="http://schemas.openxmlformats.org/officeDocument/2006/relationships/hyperlink" Target="http://www.iso.org/iso/arnie-rubin.gif" TargetMode="External"/><Relationship Id="rId172" Type="http://schemas.openxmlformats.org/officeDocument/2006/relationships/hyperlink" Target="http://en.wikipedia.org/wiki/Alan_G._Hassenfeld" TargetMode="External"/><Relationship Id="rId293" Type="http://schemas.openxmlformats.org/officeDocument/2006/relationships/hyperlink" Target="http://money.cnn.com/magazines/fsb/fsb_archive/2003/04/01/341015/index.htm" TargetMode="External"/><Relationship Id="rId171" Type="http://schemas.openxmlformats.org/officeDocument/2006/relationships/hyperlink" Target="http://investor.hasbro.com/directors.cfm" TargetMode="External"/><Relationship Id="rId292" Type="http://schemas.openxmlformats.org/officeDocument/2006/relationships/hyperlink" Target="http://www.tagieawards.com/nominees-and-recipients/handler-elliot" TargetMode="External"/><Relationship Id="rId170" Type="http://schemas.openxmlformats.org/officeDocument/2006/relationships/hyperlink" Target="http://www.tagieawards.com/nominees-and-recipients/hassenfeld-alan" TargetMode="External"/><Relationship Id="rId291" Type="http://schemas.openxmlformats.org/officeDocument/2006/relationships/hyperlink" Target="http://www.toyassociation.org/TIA/Events/HOF/Inductees/Events2/Hall_of_Fame/Hall_of_Fame_Inductees.aspx?hkey=513da8d5-c0f8-423a-be33-9a720a8b9276" TargetMode="External"/><Relationship Id="rId290" Type="http://schemas.openxmlformats.org/officeDocument/2006/relationships/hyperlink" Target="http://www.jta.org/2011/08/09/life-religion/the-eulogizer-elliot-handler-barbies-dad-and-more-on-alleged-mobster-francois-abutbul" TargetMode="External"/><Relationship Id="rId165" Type="http://schemas.openxmlformats.org/officeDocument/2006/relationships/hyperlink" Target="http://www.fundinguniverse.com/company-histories/hasbro-inc-history/" TargetMode="External"/><Relationship Id="rId286" Type="http://schemas.openxmlformats.org/officeDocument/2006/relationships/hyperlink" Target="http://www.creativeplaythings.com/images/global/logo.gif" TargetMode="External"/><Relationship Id="rId164" Type="http://schemas.openxmlformats.org/officeDocument/2006/relationships/hyperlink" Target="http://www.hasbro.com" TargetMode="External"/><Relationship Id="rId285" Type="http://schemas.openxmlformats.org/officeDocument/2006/relationships/hyperlink" Target="http://en.wikipedia.org/wiki/Frank_Caplan" TargetMode="External"/><Relationship Id="rId163" Type="http://schemas.openxmlformats.org/officeDocument/2006/relationships/hyperlink" Target="http://vignette4.wikia.nocookie.net/logopedia/images/a/ad/Hasbro_Logo_(2009)_with_the_TM_Symbol.png/revision/latest?cb=20151216161552" TargetMode="External"/><Relationship Id="rId284" Type="http://schemas.openxmlformats.org/officeDocument/2006/relationships/hyperlink" Target="http://books.google.com/books?id=KHtKPQAACAAJ&amp;dq=Frank+Caplan:+Champion+of+Child%E2%80%99s+Play&amp;hl=en&amp;sa=X&amp;ei=KbYVVLSlGZaQsQTOwIHADg&amp;ved=0CB8Q6AEwAA" TargetMode="External"/><Relationship Id="rId162" Type="http://schemas.openxmlformats.org/officeDocument/2006/relationships/hyperlink" Target="http://en.wikipedia.org/wiki/Stephen_D._Hassenfeld" TargetMode="External"/><Relationship Id="rId283" Type="http://schemas.openxmlformats.org/officeDocument/2006/relationships/hyperlink" Target="http://upload.wikimedia.org/wikipedia/commons/thumb/4/41/Frank-Theresa-Caplan.jpg/220px-Frank-Theresa-Caplan.jpg" TargetMode="External"/><Relationship Id="rId169" Type="http://schemas.openxmlformats.org/officeDocument/2006/relationships/hyperlink" Target="http://www.toyassociation.org/TIA/Events/HOF/Inductees/Events2/Hall_of_Fame/Hall_of_Fame_Inductees.aspx?hkey=513da8d5-c0f8-423a-be33-9a720a8b9276" TargetMode="External"/><Relationship Id="rId168" Type="http://schemas.openxmlformats.org/officeDocument/2006/relationships/hyperlink" Target="http://www.northeastern.edu/camd/cfa/wp-content/uploads/sites/10/2014/07/Alan-Hassenfeld.jpg" TargetMode="External"/><Relationship Id="rId289" Type="http://schemas.openxmlformats.org/officeDocument/2006/relationships/hyperlink" Target="http://www.creativeplaythings.com/images/product/product_image/83Willy-main-sm.jpg" TargetMode="External"/><Relationship Id="rId167" Type="http://schemas.openxmlformats.org/officeDocument/2006/relationships/hyperlink" Target="http://en.wikipedia.org/wiki/Hasbro" TargetMode="External"/><Relationship Id="rId288" Type="http://schemas.openxmlformats.org/officeDocument/2006/relationships/hyperlink" Target="http://upload.wikimedia.org/wikipedia/commons/thumb/d/d2/TCMI_Creative_Playthings_Four-Way_Blocks_1.jpg/300px-TCMI_Creative_Playthings_Four-Way_Blocks_1.jpg" TargetMode="External"/><Relationship Id="rId166" Type="http://schemas.openxmlformats.org/officeDocument/2006/relationships/hyperlink" Target="http://www.playgroundprofessionals.com/encyclopedia/h/hasbro" TargetMode="External"/><Relationship Id="rId287" Type="http://schemas.openxmlformats.org/officeDocument/2006/relationships/hyperlink" Target="http://www.creativeplaythings.com/" TargetMode="External"/><Relationship Id="rId161" Type="http://schemas.openxmlformats.org/officeDocument/2006/relationships/hyperlink" Target="http://www.toyassociation.org/TIA/Events/HOF/Inductees/Events2/Hall_of_Fame/Hall_of_Fame_Inductees.aspx?hkey=513da8d5-c0f8-423a-be33-9a720a8b9276" TargetMode="External"/><Relationship Id="rId282" Type="http://schemas.openxmlformats.org/officeDocument/2006/relationships/hyperlink" Target="http://www.nytimes.com/1988/09/30/obituaries/frank-caplan-77-toy-developer.html" TargetMode="External"/><Relationship Id="rId160" Type="http://schemas.openxmlformats.org/officeDocument/2006/relationships/hyperlink" Target="http://www.toyassociation.org/App_Themes/tia/images/HOF/shassenfeld.jpg" TargetMode="External"/><Relationship Id="rId281" Type="http://schemas.openxmlformats.org/officeDocument/2006/relationships/hyperlink" Target="http://www.youtube.com/watch?v=XCMLo-8yZF4" TargetMode="External"/><Relationship Id="rId280" Type="http://schemas.openxmlformats.org/officeDocument/2006/relationships/hyperlink" Target="http://www.womansday.com/life/10-totally-transformed-toys-82342" TargetMode="External"/><Relationship Id="rId159" Type="http://schemas.openxmlformats.org/officeDocument/2006/relationships/hyperlink" Target="http://www.nytimes.com/1989/06/27/obituaries/stephen-hassenfeld-is-dead-at-47-led-toy-company-to-no-1-spot.html" TargetMode="External"/><Relationship Id="rId154" Type="http://schemas.openxmlformats.org/officeDocument/2006/relationships/hyperlink" Target="http://www.museumofplay.org/online-collections/search/index.php?q=mr.+potato+head" TargetMode="External"/><Relationship Id="rId275" Type="http://schemas.openxmlformats.org/officeDocument/2006/relationships/hyperlink" Target="http://www.museumofplay.org/online-collections/1/6/112.5467" TargetMode="External"/><Relationship Id="rId396" Type="http://schemas.openxmlformats.org/officeDocument/2006/relationships/hyperlink" Target="http://www.nytimes.com/2012/04/11/technology/jack-tramiel-a-pioneer-in-computers-dies-at-83.html?_r=0" TargetMode="External"/><Relationship Id="rId153" Type="http://schemas.openxmlformats.org/officeDocument/2006/relationships/hyperlink" Target="http://www.toyhalloffame.org/toys/mr-potato-head" TargetMode="External"/><Relationship Id="rId274" Type="http://schemas.openxmlformats.org/officeDocument/2006/relationships/hyperlink" Target="http://www.neatstuff.net/space-robots/Mr-Machine-big-pic.jpg" TargetMode="External"/><Relationship Id="rId395" Type="http://schemas.openxmlformats.org/officeDocument/2006/relationships/hyperlink" Target="http://www.museumofplay.org/online-collections/search/index.php?q=space+invaders" TargetMode="External"/><Relationship Id="rId152" Type="http://schemas.openxmlformats.org/officeDocument/2006/relationships/hyperlink" Target="http://en.wikipedia.org/wiki/Mr._Potato_Head" TargetMode="External"/><Relationship Id="rId273" Type="http://schemas.openxmlformats.org/officeDocument/2006/relationships/hyperlink" Target="http://www.marvinglass.com/" TargetMode="External"/><Relationship Id="rId394" Type="http://schemas.openxmlformats.org/officeDocument/2006/relationships/hyperlink" Target="http://en.wikipedia.org/wiki/Space_Invaders" TargetMode="External"/><Relationship Id="rId151" Type="http://schemas.openxmlformats.org/officeDocument/2006/relationships/hyperlink" Target="http://en.wikipedia.org/wiki/Mr._Potato_Head" TargetMode="External"/><Relationship Id="rId272" Type="http://schemas.openxmlformats.org/officeDocument/2006/relationships/hyperlink" Target="http://www.seizetheplay.com/2009/03/incredbile-marvin-glass-associates.html" TargetMode="External"/><Relationship Id="rId393" Type="http://schemas.openxmlformats.org/officeDocument/2006/relationships/hyperlink" Target="http://www.system16.com/taito_history.php" TargetMode="External"/><Relationship Id="rId158" Type="http://schemas.openxmlformats.org/officeDocument/2006/relationships/hyperlink" Target="http://www.youtube.com/watch?v=WLL67CN2hnw" TargetMode="External"/><Relationship Id="rId279" Type="http://schemas.openxmlformats.org/officeDocument/2006/relationships/hyperlink" Target="http://www.museumofplay.org/online-collections/search/index.php?q=lite+brite" TargetMode="External"/><Relationship Id="rId157" Type="http://schemas.openxmlformats.org/officeDocument/2006/relationships/hyperlink" Target="http://www.museumofplay.org/online-collections/search/index.php?q=G.I.+Joe" TargetMode="External"/><Relationship Id="rId278" Type="http://schemas.openxmlformats.org/officeDocument/2006/relationships/hyperlink" Target="https://s-media-cache-ak0.pinimg.com/564x/28/6f/c8/286fc878c44c81d387b5d7f0d31a3267.jpg" TargetMode="External"/><Relationship Id="rId399" Type="http://schemas.openxmlformats.org/officeDocument/2006/relationships/hyperlink" Target="http://www.npr.org/2007/09/25/14661020/holocaust-survivors-honor-camp-liberator" TargetMode="External"/><Relationship Id="rId156" Type="http://schemas.openxmlformats.org/officeDocument/2006/relationships/hyperlink" Target="http://www.toyhalloffame.org/toys/gi-joe" TargetMode="External"/><Relationship Id="rId277" Type="http://schemas.openxmlformats.org/officeDocument/2006/relationships/hyperlink" Target="http://thisdoesntsuckblog.com/wp-content/uploads/2010/11/lite.jpg" TargetMode="External"/><Relationship Id="rId398" Type="http://schemas.openxmlformats.org/officeDocument/2006/relationships/hyperlink" Target="http://en.wikipedia.org/wiki/Jack_Tramiel" TargetMode="External"/><Relationship Id="rId155" Type="http://schemas.openxmlformats.org/officeDocument/2006/relationships/hyperlink" Target="http://upload.wikimedia.org/wikipedia/en/2/24/GIJoe_OriginalLineup.jpg" TargetMode="External"/><Relationship Id="rId276" Type="http://schemas.openxmlformats.org/officeDocument/2006/relationships/hyperlink" Target="http://www.youtube.com/watch?v=8WHQI5iKYfM" TargetMode="External"/><Relationship Id="rId397" Type="http://schemas.openxmlformats.org/officeDocument/2006/relationships/hyperlink" Target="http://www.atarimagazines.com/v3n10/jack_tramiel.JPG" TargetMode="External"/><Relationship Id="rId40" Type="http://schemas.openxmlformats.org/officeDocument/2006/relationships/hyperlink" Target="http://books.google.com/books?id=P3tN4i0ncusC&amp;pg=PA29&amp;lpg=PA29&amp;dq=carette+toy+jewish&amp;source=bl&amp;ots=3tdITjRJ5c&amp;sig=GgQU1IknBfV9MgXWGVgzknGYIts&amp;hl=en&amp;sa=X&amp;ei=PfsjVO8E0a3IBPv5gZgF&amp;ved=0CCsQ6AEwAQ" TargetMode="External"/><Relationship Id="rId42" Type="http://schemas.openxmlformats.org/officeDocument/2006/relationships/hyperlink" Target="http://upload.wikimedia.org/wikipedia/commons/c/cd/Joshua_Lionel_Cowen.jpg" TargetMode="External"/><Relationship Id="rId41" Type="http://schemas.openxmlformats.org/officeDocument/2006/relationships/hyperlink" Target="http://www.findagrave.com/cgi-bin/fg.cgi?page=gr&amp;GRid=35627571" TargetMode="External"/><Relationship Id="rId44" Type="http://schemas.openxmlformats.org/officeDocument/2006/relationships/hyperlink" Target="http://www.toyassociation.org/TIA/Events/HOF/Inductees/Events2/Hall_of_Fame/Hall_of_Fame_Inductees.aspx?hkey=513da8d5-c0f8-423a-be33-9a720a8b9276" TargetMode="External"/><Relationship Id="rId43" Type="http://schemas.openxmlformats.org/officeDocument/2006/relationships/hyperlink" Target="http://en.wikipedia.org/wiki/Joshua_Lionel_Cowen" TargetMode="External"/><Relationship Id="rId46" Type="http://schemas.openxmlformats.org/officeDocument/2006/relationships/hyperlink" Target="http://en.wikipedia.org/wiki/Joshua_Lionel_Cowen" TargetMode="External"/><Relationship Id="rId45" Type="http://schemas.openxmlformats.org/officeDocument/2006/relationships/hyperlink" Target="http://www.haaretz.com/news/features/this-day-in-jewish-history/.premium-1.545739" TargetMode="External"/><Relationship Id="rId509" Type="http://schemas.openxmlformats.org/officeDocument/2006/relationships/hyperlink" Target="http://www.patsoldhouseofantiques.com/toys_games/page%20-2/ants_in_the_pants.jpg" TargetMode="External"/><Relationship Id="rId508" Type="http://schemas.openxmlformats.org/officeDocument/2006/relationships/hyperlink" Target="http://www.chicagoreader.com/pdf/051118/051118_cover.pdf" TargetMode="External"/><Relationship Id="rId629" Type="http://schemas.openxmlformats.org/officeDocument/2006/relationships/hyperlink" Target="http://www.jakks.com/" TargetMode="External"/><Relationship Id="rId503" Type="http://schemas.openxmlformats.org/officeDocument/2006/relationships/hyperlink" Target="http://www.toyassociation.org/TIA/Events/HOF/Inductees/Events2/Hall_of_Fame/Hall_of_Fame_Inductees.aspx?hkey=513da8d5-c0f8-423a-be33-9a720a8b9276" TargetMode="External"/><Relationship Id="rId624" Type="http://schemas.openxmlformats.org/officeDocument/2006/relationships/hyperlink" Target="http://www.museumofplay.org/online-collections/1/36/112.52" TargetMode="External"/><Relationship Id="rId502" Type="http://schemas.openxmlformats.org/officeDocument/2006/relationships/hyperlink" Target="http://static.squarespace.com/static/53617a69e4b0a59d3a7843f1/t/5399eda6e4b09a5bd6c975b9/1402596787366/jeffrey-breslow.jpg?format=300w" TargetMode="External"/><Relationship Id="rId623" Type="http://schemas.openxmlformats.org/officeDocument/2006/relationships/hyperlink" Target="http://www.museumofplay.org/online-collections/images/Z007/Z00761/Z0076198.jpg" TargetMode="External"/><Relationship Id="rId501" Type="http://schemas.openxmlformats.org/officeDocument/2006/relationships/hyperlink" Target="http://www.museumofplay.org/online-collections/search/index.php?q=gazillion+bubbles" TargetMode="External"/><Relationship Id="rId622" Type="http://schemas.openxmlformats.org/officeDocument/2006/relationships/hyperlink" Target="http://en.wikipedia.org/wiki/Mego_Corporation" TargetMode="External"/><Relationship Id="rId500" Type="http://schemas.openxmlformats.org/officeDocument/2006/relationships/hyperlink" Target="http://www.toyhalloffame.org/toys/bubbles" TargetMode="External"/><Relationship Id="rId621" Type="http://schemas.openxmlformats.org/officeDocument/2006/relationships/hyperlink" Target="http://en.wikipedia.org/wiki/Mego_Corporation" TargetMode="External"/><Relationship Id="rId507" Type="http://schemas.openxmlformats.org/officeDocument/2006/relationships/hyperlink" Target="http://en.wikipedia.org/wiki/Big_Monster_Toys" TargetMode="External"/><Relationship Id="rId628" Type="http://schemas.openxmlformats.org/officeDocument/2006/relationships/hyperlink" Target="http://en.wikipedia.org/wiki/Jack_Friedman" TargetMode="External"/><Relationship Id="rId506" Type="http://schemas.openxmlformats.org/officeDocument/2006/relationships/hyperlink" Target="http://www.bmttoys.com/bmt/index.html" TargetMode="External"/><Relationship Id="rId627" Type="http://schemas.openxmlformats.org/officeDocument/2006/relationships/hyperlink" Target="http://www.toyassociation.org/TIA/Events/HOF/Inductees/Events2/Hall_of_Fame/Hall_of_Fame_Inductees.aspx?hkey=513da8d5-c0f8-423a-be33-9a720a8b9276" TargetMode="External"/><Relationship Id="rId505" Type="http://schemas.openxmlformats.org/officeDocument/2006/relationships/hyperlink" Target="http://hmcdesign.com/2014/wordpress/wp-content/uploads/2014/03/hmc_port_LRG_G4-640x350.jpg" TargetMode="External"/><Relationship Id="rId626" Type="http://schemas.openxmlformats.org/officeDocument/2006/relationships/hyperlink" Target="http://www.gamasutra.com/db_area/images/news2001/28372/jack.jpg" TargetMode="External"/><Relationship Id="rId504" Type="http://schemas.openxmlformats.org/officeDocument/2006/relationships/hyperlink" Target="http://www.tagieawards.com/nominees-and-recipients/2014/5/19/breslow-jeffrey" TargetMode="External"/><Relationship Id="rId625" Type="http://schemas.openxmlformats.org/officeDocument/2006/relationships/hyperlink" Target="http://www.legacy.com/obituaries/latimes/obituary.aspx?n=jack-friedman&amp;pid=142513390" TargetMode="External"/><Relationship Id="rId48" Type="http://schemas.openxmlformats.org/officeDocument/2006/relationships/hyperlink" Target="http://www.lionel.com" TargetMode="External"/><Relationship Id="rId47" Type="http://schemas.openxmlformats.org/officeDocument/2006/relationships/hyperlink" Target="https://www.google.com/search?q=lionel+electric+trains+logo&amp;client=firefox-a&amp;hs=yS6&amp;rls=org.mozilla:en-US:official&amp;channel=sb&amp;source=lnms&amp;tbm=isch&amp;sa=X&amp;ei=E8YdVIuFK9OeyATlkYKIBA&amp;ved=0CAgQ_AUoAQ&amp;biw=733&amp;bih=421" TargetMode="External"/><Relationship Id="rId49" Type="http://schemas.openxmlformats.org/officeDocument/2006/relationships/hyperlink" Target="http://www.fundinguniverse.com/company-histories/lionel-l-l-c-history/" TargetMode="External"/><Relationship Id="rId620" Type="http://schemas.openxmlformats.org/officeDocument/2006/relationships/hyperlink" Target="http://www.northjersey.com/news/business/creator-needs-toys-r-us-1.839044?page=all" TargetMode="External"/><Relationship Id="rId31" Type="http://schemas.openxmlformats.org/officeDocument/2006/relationships/hyperlink" Target="http://upload.wikimedia.org/wikipedia/en/thumb/0/04/Spears-games-brand.jpg/338px-Spears-games-brand.jpg" TargetMode="External"/><Relationship Id="rId30" Type="http://schemas.openxmlformats.org/officeDocument/2006/relationships/hyperlink" Target="http://archive.is/m4NZA" TargetMode="External"/><Relationship Id="rId33" Type="http://schemas.openxmlformats.org/officeDocument/2006/relationships/hyperlink" Target="http://translate.google.com/translate?hl=en&amp;sl=de&amp;u=http://de.wikipedia.org/wiki/Spear-Spiele&amp;prev=/search%3Fq%3Djakob%2Bwolf%2Bspier%26client%3Dfirefox-a%26hs%3DBvF%26rls%3Dorg.mozilla:en-US:official%26channel%3Dsb" TargetMode="External"/><Relationship Id="rId32" Type="http://schemas.openxmlformats.org/officeDocument/2006/relationships/hyperlink" Target="http://www.wopc.co.uk/games/spears/" TargetMode="External"/><Relationship Id="rId35" Type="http://schemas.openxmlformats.org/officeDocument/2006/relationships/hyperlink" Target="http://www.wopc.co.uk/assets/images/subjects/games/spears/old-maid-box.jpg" TargetMode="External"/><Relationship Id="rId34" Type="http://schemas.openxmlformats.org/officeDocument/2006/relationships/hyperlink" Target="http://en.wikipedia.org/wiki/J._W._Spear_%26_Sons" TargetMode="External"/><Relationship Id="rId619" Type="http://schemas.openxmlformats.org/officeDocument/2006/relationships/hyperlink" Target="http://www.people.com/people/archive/article/0,,20066267,00.html" TargetMode="External"/><Relationship Id="rId618" Type="http://schemas.openxmlformats.org/officeDocument/2006/relationships/hyperlink" Target="http://www.tagieawards.com/nominees-and-recipients/abrams-marty" TargetMode="External"/><Relationship Id="rId613" Type="http://schemas.openxmlformats.org/officeDocument/2006/relationships/hyperlink" Target="http://www.toysrus.com/shop/index.jsp?categoryId=2255956" TargetMode="External"/><Relationship Id="rId612" Type="http://schemas.openxmlformats.org/officeDocument/2006/relationships/hyperlink" Target="http://img2.wikia.nocookie.net/__cb20131114075701/lalaloopsyland/images/a/a8/Toys-R-Us-Logo.png" TargetMode="External"/><Relationship Id="rId611" Type="http://schemas.openxmlformats.org/officeDocument/2006/relationships/hyperlink" Target="http://www.entrepreneur.com/article/197660" TargetMode="External"/><Relationship Id="rId610" Type="http://schemas.openxmlformats.org/officeDocument/2006/relationships/hyperlink" Target="http://www.toyassociation.org/TIA/Events/HOF/Inductees/Events2/Hall_of_Fame/Hall_of_Fame_Inductees.aspx?hkey=513da8d5-c0f8-423a-be33-9a720a8b9276" TargetMode="External"/><Relationship Id="rId617" Type="http://schemas.openxmlformats.org/officeDocument/2006/relationships/hyperlink" Target="http://static.squarespace.com/static/53617a69e4b0a59d3a7843f1/t/537a9189e4b0a4617eab50bf/1400541578634/marty-abrams.jpg" TargetMode="External"/><Relationship Id="rId616" Type="http://schemas.openxmlformats.org/officeDocument/2006/relationships/hyperlink" Target="http://en.wikipedia.org/wiki/Toys_%22R%22_Us" TargetMode="External"/><Relationship Id="rId615" Type="http://schemas.openxmlformats.org/officeDocument/2006/relationships/hyperlink" Target="http://www.playgroundprofessionals.com/encyclopedia/t/toys-r-us" TargetMode="External"/><Relationship Id="rId614" Type="http://schemas.openxmlformats.org/officeDocument/2006/relationships/hyperlink" Target="http://www.fundinguniverse.com/company-histories/toys-r-us-inc-history/" TargetMode="External"/><Relationship Id="rId37" Type="http://schemas.openxmlformats.org/officeDocument/2006/relationships/hyperlink" Target="http://www.museumofplay.org/online-collections/images/Z008/Z00847/Z0084724.jpg" TargetMode="External"/><Relationship Id="rId36" Type="http://schemas.openxmlformats.org/officeDocument/2006/relationships/hyperlink" Target="http://www.wopc.co.uk/images/subjects/games/spears-happy-families-3.jpg" TargetMode="External"/><Relationship Id="rId39" Type="http://schemas.openxmlformats.org/officeDocument/2006/relationships/hyperlink" Target="http://web.comhem.se/steamengines/" TargetMode="External"/><Relationship Id="rId38" Type="http://schemas.openxmlformats.org/officeDocument/2006/relationships/hyperlink" Target="http://atca-club.org/article12.php" TargetMode="External"/><Relationship Id="rId20" Type="http://schemas.openxmlformats.org/officeDocument/2006/relationships/hyperlink" Target="http://en.wikipedia.org/wiki/Bing_%28company%29" TargetMode="External"/><Relationship Id="rId22" Type="http://schemas.openxmlformats.org/officeDocument/2006/relationships/hyperlink" Target="http://www.brightontoymuseum.co.uk/wiki/Category:Bing" TargetMode="External"/><Relationship Id="rId21" Type="http://schemas.openxmlformats.org/officeDocument/2006/relationships/hyperlink" Target="http://www.bing-museum.de/spielzeugmuseum-freinsheim---bing-museum.php" TargetMode="External"/><Relationship Id="rId24" Type="http://schemas.openxmlformats.org/officeDocument/2006/relationships/hyperlink" Target="http://www.gebrbing.com/english/about/default.html" TargetMode="External"/><Relationship Id="rId23" Type="http://schemas.openxmlformats.org/officeDocument/2006/relationships/hyperlink" Target="http://upload.wikimedia.org/wikipedia/commons/thumb/9/9a/Bing_Werke_logo_1924.svg/600px-Bing_Werke_logo_1924.svg.png" TargetMode="External"/><Relationship Id="rId409" Type="http://schemas.openxmlformats.org/officeDocument/2006/relationships/hyperlink" Target="http://articles.sun-sentinel.com/1988-12-18/news/8803120636_1_toy-drive-water-pistols-children" TargetMode="External"/><Relationship Id="rId404" Type="http://schemas.openxmlformats.org/officeDocument/2006/relationships/hyperlink" Target="http://upload.wikimedia.org/wikipedia/commons/8/84/C64c_system.jpg" TargetMode="External"/><Relationship Id="rId525" Type="http://schemas.openxmlformats.org/officeDocument/2006/relationships/hyperlink" Target="http://www.knex.com/" TargetMode="External"/><Relationship Id="rId646" Type="http://schemas.openxmlformats.org/officeDocument/2006/relationships/hyperlink" Target="http://en.wikipedia.org/wiki/Toys_%22R%22_Us" TargetMode="External"/><Relationship Id="rId403" Type="http://schemas.openxmlformats.org/officeDocument/2006/relationships/hyperlink" Target="http://en.wikipedia.org/wiki/Commodore_International" TargetMode="External"/><Relationship Id="rId524" Type="http://schemas.openxmlformats.org/officeDocument/2006/relationships/hyperlink" Target="http://www.toynews-online.biz/cimages/28e737a3fad78ecf1a24131012b6865b.jpg?940" TargetMode="External"/><Relationship Id="rId645" Type="http://schemas.openxmlformats.org/officeDocument/2006/relationships/hyperlink" Target="http://www.playgroundprofessionals.com/encyclopedia/t/toys-r-us" TargetMode="External"/><Relationship Id="rId402" Type="http://schemas.openxmlformats.org/officeDocument/2006/relationships/hyperlink" Target="http://www.fundinguniverse.com/company-histories/commodore-international-ltd-history/" TargetMode="External"/><Relationship Id="rId523" Type="http://schemas.openxmlformats.org/officeDocument/2006/relationships/hyperlink" Target="http://en.wikipedia.org/wiki/K%27Nex" TargetMode="External"/><Relationship Id="rId644" Type="http://schemas.openxmlformats.org/officeDocument/2006/relationships/hyperlink" Target="http://www.fundinguniverse.com/company-histories/toys-r-us-inc-history/" TargetMode="External"/><Relationship Id="rId401" Type="http://schemas.openxmlformats.org/officeDocument/2006/relationships/hyperlink" Target="http://upload.wikimedia.org/wikipedia/en/7/74/Commodore196x.svg" TargetMode="External"/><Relationship Id="rId522" Type="http://schemas.openxmlformats.org/officeDocument/2006/relationships/hyperlink" Target="http://www.toyassociation.org/TIA/Events/HOF/2012_Nominees/Events2/Hall_of_Fame/2012_Nominees.aspx" TargetMode="External"/><Relationship Id="rId643" Type="http://schemas.openxmlformats.org/officeDocument/2006/relationships/hyperlink" Target="http://www.toysrus.com/shop/index.jsp?categoryId=2255956" TargetMode="External"/><Relationship Id="rId408" Type="http://schemas.openxmlformats.org/officeDocument/2006/relationships/hyperlink" Target="https://cf.geekdo-images.com/images/pic935645_t.jpg" TargetMode="External"/><Relationship Id="rId529" Type="http://schemas.openxmlformats.org/officeDocument/2006/relationships/hyperlink" Target="http://www.knexusergroup.org.uk/acatalog/K63030.jpg" TargetMode="External"/><Relationship Id="rId407" Type="http://schemas.openxmlformats.org/officeDocument/2006/relationships/hyperlink" Target="http://www.giftsanddec.com/article/464381-obituary-fred-kroll-toy-inventor" TargetMode="External"/><Relationship Id="rId528" Type="http://schemas.openxmlformats.org/officeDocument/2006/relationships/hyperlink" Target="http://www.knexusergroup.org.uk/acatalog/K63030.jpg" TargetMode="External"/><Relationship Id="rId649" Type="http://schemas.openxmlformats.org/officeDocument/2006/relationships/hyperlink" Target="http://www.trbimg.com/img-5381e1d8/turbine/la-me-don-levine-20140525" TargetMode="External"/><Relationship Id="rId406" Type="http://schemas.openxmlformats.org/officeDocument/2006/relationships/hyperlink" Target="http://www.megomuseum.com/" TargetMode="External"/><Relationship Id="rId527" Type="http://schemas.openxmlformats.org/officeDocument/2006/relationships/hyperlink" Target="http://en.wikipedia.org/wiki/K%27Nex" TargetMode="External"/><Relationship Id="rId648" Type="http://schemas.openxmlformats.org/officeDocument/2006/relationships/hyperlink" Target="http://www.huffingtonpost.com/2014/05/24/gi-joe-death_n_5384957.html" TargetMode="External"/><Relationship Id="rId405" Type="http://schemas.openxmlformats.org/officeDocument/2006/relationships/hyperlink" Target="http://reboxyourmego.com/mc.jpg" TargetMode="External"/><Relationship Id="rId526" Type="http://schemas.openxmlformats.org/officeDocument/2006/relationships/hyperlink" Target="http://www.knex.com/info/history-of-KNEX/" TargetMode="External"/><Relationship Id="rId647" Type="http://schemas.openxmlformats.org/officeDocument/2006/relationships/hyperlink" Target="http://en.wikipedia.org/wiki/Harold_von_Braunhut" TargetMode="External"/><Relationship Id="rId26" Type="http://schemas.openxmlformats.org/officeDocument/2006/relationships/hyperlink" Target="http://www.gebrbing.com/english/default.html" TargetMode="External"/><Relationship Id="rId25" Type="http://schemas.openxmlformats.org/officeDocument/2006/relationships/hyperlink" Target="http://en.wikipedia.org/wiki/Bing_%28company%29" TargetMode="External"/><Relationship Id="rId28" Type="http://schemas.openxmlformats.org/officeDocument/2006/relationships/hyperlink" Target="http://mokotoys.com/" TargetMode="External"/><Relationship Id="rId27" Type="http://schemas.openxmlformats.org/officeDocument/2006/relationships/hyperlink" Target="http://www.dream-tintoys.com/index.php?page=detail&amp;nr=817" TargetMode="External"/><Relationship Id="rId400" Type="http://schemas.openxmlformats.org/officeDocument/2006/relationships/hyperlink" Target="http://en.wikipedia.org/wiki/Jack_Tramiel" TargetMode="External"/><Relationship Id="rId521" Type="http://schemas.openxmlformats.org/officeDocument/2006/relationships/hyperlink" Target="http://fm.cnbc.com/applications/cnbc.com/resources/img/editorial/2012/06/14/47814139-100-million-dollar-ideas-knex.jpg" TargetMode="External"/><Relationship Id="rId642" Type="http://schemas.openxmlformats.org/officeDocument/2006/relationships/hyperlink" Target="http://img2.wikia.nocookie.net/__cb20131114075701/lalaloopsyland/images/a/a8/Toys-R-Us-Logo.png" TargetMode="External"/><Relationship Id="rId29" Type="http://schemas.openxmlformats.org/officeDocument/2006/relationships/hyperlink" Target="http://www.mokolesneymatchbox.com/Articles/moko-lesney-history.html" TargetMode="External"/><Relationship Id="rId520" Type="http://schemas.openxmlformats.org/officeDocument/2006/relationships/hyperlink" Target="http://www.museumofplay.org/online-collections/3/49/104.1465" TargetMode="External"/><Relationship Id="rId641" Type="http://schemas.openxmlformats.org/officeDocument/2006/relationships/hyperlink" Target="http://www.toyassociation.org/TIA/Events/HOF/Inductees/Events2/Hall_of_Fame/Hall_of_Fame_Inductees.aspx?hkey=513da8d5-c0f8-423a-be33-9a720a8b9276" TargetMode="External"/><Relationship Id="rId640" Type="http://schemas.openxmlformats.org/officeDocument/2006/relationships/hyperlink" Target="http://www.fundinguniverse.com/company-histories/pez-candy-inc-history/" TargetMode="External"/><Relationship Id="rId11" Type="http://schemas.openxmlformats.org/officeDocument/2006/relationships/hyperlink" Target="http://en.wikipedia.org/wiki/Frederick_August_Otto_Schwarz" TargetMode="External"/><Relationship Id="rId10" Type="http://schemas.openxmlformats.org/officeDocument/2006/relationships/hyperlink" Target="http://www.charmcityhistory.com/2014/06/baltimores-own-toy-story-schwarz-and.html" TargetMode="External"/><Relationship Id="rId13" Type="http://schemas.openxmlformats.org/officeDocument/2006/relationships/hyperlink" Target="http://www.fao.com/home/index.jsp" TargetMode="External"/><Relationship Id="rId12" Type="http://schemas.openxmlformats.org/officeDocument/2006/relationships/hyperlink" Target="http://www.fao.com/images/header1.jpg" TargetMode="External"/><Relationship Id="rId519" Type="http://schemas.openxmlformats.org/officeDocument/2006/relationships/hyperlink" Target="https://img0.etsystatic.com/000/0/5220158/il_570xN.71323692.jpg" TargetMode="External"/><Relationship Id="rId514" Type="http://schemas.openxmlformats.org/officeDocument/2006/relationships/hyperlink" Target="http://www.tagieawards.com/nominees-and-recipients/goldfarb-eddie" TargetMode="External"/><Relationship Id="rId635" Type="http://schemas.openxmlformats.org/officeDocument/2006/relationships/hyperlink" Target="http://www.toyassociation.org/TIA/Events/HOF/Inductees/Events2/Hall_of_Fame/Hall_of_Fame_Inductees.aspx?hkey=513da8d5-c0f8-423a-be33-9a720a8b9276" TargetMode="External"/><Relationship Id="rId513" Type="http://schemas.openxmlformats.org/officeDocument/2006/relationships/hyperlink" Target="http://www.toyassociation.org/TIA/Events/HOF/Inductees/Events2/Hall_of_Fame/Hall_of_Fame_Inductees.aspx?hkey=513da8d5-c0f8-423a-be33-9a720a8b9276" TargetMode="External"/><Relationship Id="rId634" Type="http://schemas.openxmlformats.org/officeDocument/2006/relationships/hyperlink" Target="https://en.wikipedia.org/wiki/Conrad_Hubert" TargetMode="External"/><Relationship Id="rId512" Type="http://schemas.openxmlformats.org/officeDocument/2006/relationships/hyperlink" Target="http://static.squarespace.com/static/53617a69e4b0a59d3a7843f1/t/537be640e4b05e70b37017e0/1400628801031/eddie-goldfarb.jpg?format=300w" TargetMode="External"/><Relationship Id="rId633" Type="http://schemas.openxmlformats.org/officeDocument/2006/relationships/hyperlink" Target="http://www.nndb.com/people/439/000169929/" TargetMode="External"/><Relationship Id="rId511" Type="http://schemas.openxmlformats.org/officeDocument/2006/relationships/hyperlink" Target="http://www.museumofplay.org/online-collections/search/index.php?q=hot+wheels" TargetMode="External"/><Relationship Id="rId632" Type="http://schemas.openxmlformats.org/officeDocument/2006/relationships/hyperlink" Target="https://cdn3.whatculture.com/images/2014/05/Superstars.jpg" TargetMode="External"/><Relationship Id="rId518" Type="http://schemas.openxmlformats.org/officeDocument/2006/relationships/hyperlink" Target="http://www.museumofplay.org/online-collections/1/6/111.416" TargetMode="External"/><Relationship Id="rId639" Type="http://schemas.openxmlformats.org/officeDocument/2006/relationships/hyperlink" Target="http://www.nytimes.com/2010/01/05/business/05allina.html" TargetMode="External"/><Relationship Id="rId517" Type="http://schemas.openxmlformats.org/officeDocument/2006/relationships/hyperlink" Target="http://www.modernkiddo.com/images/vkm118_kerplunk.png" TargetMode="External"/><Relationship Id="rId638" Type="http://schemas.openxmlformats.org/officeDocument/2006/relationships/hyperlink" Target="http://www.museumofplay.org/online-collections/search/index.php?q=mousetrap" TargetMode="External"/><Relationship Id="rId516" Type="http://schemas.openxmlformats.org/officeDocument/2006/relationships/hyperlink" Target="http://cf.collectorsweekly.com/uploads/2011/10/teeth.jpg" TargetMode="External"/><Relationship Id="rId637" Type="http://schemas.openxmlformats.org/officeDocument/2006/relationships/hyperlink" Target="http://en.wikipedia.org/wiki/Ideal_Toy_Company" TargetMode="External"/><Relationship Id="rId515" Type="http://schemas.openxmlformats.org/officeDocument/2006/relationships/hyperlink" Target="http://tdn.com/lifestyles/meet-eddy-goldfarb-toy-genius/article_ff2b1e0d-44e0-5f3a-ab82-5d15d23e9715.html" TargetMode="External"/><Relationship Id="rId636" Type="http://schemas.openxmlformats.org/officeDocument/2006/relationships/hyperlink" Target="http://upload.wikimedia.org/wikipedia/en/5/5d/Ideal_later_logo.jpg" TargetMode="External"/><Relationship Id="rId15" Type="http://schemas.openxmlformats.org/officeDocument/2006/relationships/hyperlink" Target="http://en.wikipedia.org/wiki/FAO_Schwarz" TargetMode="External"/><Relationship Id="rId14" Type="http://schemas.openxmlformats.org/officeDocument/2006/relationships/hyperlink" Target="http://www.playgroundprofessionals.com/encyclopedia/f/fao-schwarz" TargetMode="External"/><Relationship Id="rId17" Type="http://schemas.openxmlformats.org/officeDocument/2006/relationships/hyperlink" Target="http://www.fao.com/shop/index.jsp?categoryId=11534102" TargetMode="External"/><Relationship Id="rId16" Type="http://schemas.openxmlformats.org/officeDocument/2006/relationships/hyperlink" Target="https://fortunedotcom.files.wordpress.com/2015/07/ap_7305220399.jpg?quality=80&amp;w=1024&amp;h=693" TargetMode="External"/><Relationship Id="rId19" Type="http://schemas.openxmlformats.org/officeDocument/2006/relationships/hyperlink" Target="https://www.facebook.com/permalink.php?story_fbid=519324094765035&amp;id=250446571672651" TargetMode="External"/><Relationship Id="rId510" Type="http://schemas.openxmlformats.org/officeDocument/2006/relationships/hyperlink" Target="http://www.toyhalloffame.org/toys/hot-wheels" TargetMode="External"/><Relationship Id="rId631" Type="http://schemas.openxmlformats.org/officeDocument/2006/relationships/hyperlink" Target="http://en.wikipedia.org/wiki/Jakks_Pacific" TargetMode="External"/><Relationship Id="rId18" Type="http://schemas.openxmlformats.org/officeDocument/2006/relationships/hyperlink" Target="http://www.binghoehle.de/docs/22ignaz_Bing.jpg" TargetMode="External"/><Relationship Id="rId630" Type="http://schemas.openxmlformats.org/officeDocument/2006/relationships/hyperlink" Target="http://www.fundinguniverse.com/company-histories/jakks-pacific-inc-history/" TargetMode="External"/><Relationship Id="rId84" Type="http://schemas.openxmlformats.org/officeDocument/2006/relationships/hyperlink" Target="http://www.museumofplay.org/online-collections/images/Z005/Z00553/Z0055377.jpg" TargetMode="External"/><Relationship Id="rId83" Type="http://schemas.openxmlformats.org/officeDocument/2006/relationships/hyperlink" Target="http://en.wikipedia.org/wiki/Louis_Marx_and_Company" TargetMode="External"/><Relationship Id="rId86" Type="http://schemas.openxmlformats.org/officeDocument/2006/relationships/hyperlink" Target="http://www.toyhalloffame.org/toys/big-wheel" TargetMode="External"/><Relationship Id="rId85" Type="http://schemas.openxmlformats.org/officeDocument/2006/relationships/hyperlink" Target="http://originalbigwheel.us/images/OBW1.jpg" TargetMode="External"/><Relationship Id="rId88" Type="http://schemas.openxmlformats.org/officeDocument/2006/relationships/hyperlink" Target="http://www.youtube.com/watch?v=9PS_L9s-Xtk" TargetMode="External"/><Relationship Id="rId87" Type="http://schemas.openxmlformats.org/officeDocument/2006/relationships/hyperlink" Target="http://www.museumofplay.org/online-collections/1/33/110.3745" TargetMode="External"/><Relationship Id="rId89" Type="http://schemas.openxmlformats.org/officeDocument/2006/relationships/hyperlink" Target="http://www.theoldrobots.com/images61/RockEm-70.JPG" TargetMode="External"/><Relationship Id="rId709" Type="http://schemas.openxmlformats.org/officeDocument/2006/relationships/hyperlink" Target="http://en.wikipedia.org/wiki/Richard_Dansky" TargetMode="External"/><Relationship Id="rId708" Type="http://schemas.openxmlformats.org/officeDocument/2006/relationships/hyperlink" Target="http://news.google.com/newspapers?nid=1291&amp;dat=19790715&amp;id=2PRTAAAAIBAJ&amp;sjid=q4wDAAAAIBAJ&amp;pg=3097,2341627" TargetMode="External"/><Relationship Id="rId707" Type="http://schemas.openxmlformats.org/officeDocument/2006/relationships/hyperlink" Target="http://articles.sun-sentinel.com/2007-10-26/news/0710260033_1_mr-klein-bally-manufacturing-mccarty" TargetMode="External"/><Relationship Id="rId706" Type="http://schemas.openxmlformats.org/officeDocument/2006/relationships/hyperlink" Target="http://amusingthezillion.com/tag/alvin-g-co/" TargetMode="External"/><Relationship Id="rId80" Type="http://schemas.openxmlformats.org/officeDocument/2006/relationships/hyperlink" Target="http://en.wikipedia.org/wiki/Louis_Marx" TargetMode="External"/><Relationship Id="rId82" Type="http://schemas.openxmlformats.org/officeDocument/2006/relationships/hyperlink" Target="http://www.collectorsweekly.com/toys/marx" TargetMode="External"/><Relationship Id="rId81" Type="http://schemas.openxmlformats.org/officeDocument/2006/relationships/hyperlink" Target="http://upload.wikimedia.org/wikipedia/en/f/fe/Marx-logo.jpg" TargetMode="External"/><Relationship Id="rId701" Type="http://schemas.openxmlformats.org/officeDocument/2006/relationships/hyperlink" Target="http://www.jta.org/1924/02/28/archive/leo-schlesinger-hebrew-technical-school-founder-dies" TargetMode="External"/><Relationship Id="rId700" Type="http://schemas.openxmlformats.org/officeDocument/2006/relationships/hyperlink" Target="http://www.historytoy.com/company-story-firm-chronicle-description-corporate-history-profile-Schuco" TargetMode="External"/><Relationship Id="rId705" Type="http://schemas.openxmlformats.org/officeDocument/2006/relationships/hyperlink" Target="https://www.youtube.com/watch?v=clsGVAB5znU" TargetMode="External"/><Relationship Id="rId704" Type="http://schemas.openxmlformats.org/officeDocument/2006/relationships/hyperlink" Target="http://www.vendingtimes.com/ME2/dirmod.asp?sid=&amp;nm=Music+%26+Games+Features&amp;type=Publishing&amp;mod=Publications%3A%3AArticle&amp;mid=8F3A7027421841978F18BE895F87F791&amp;tier=4&amp;id=C7E9BB04F42C495E99C47F5F44445187" TargetMode="External"/><Relationship Id="rId703" Type="http://schemas.openxmlformats.org/officeDocument/2006/relationships/hyperlink" Target="http://patch.com/illinois/elmhurst/death-notice-hospital-and-pinball-pioneer-alvin-j-gottlieb-formerly-of-elmhurst" TargetMode="External"/><Relationship Id="rId702" Type="http://schemas.openxmlformats.org/officeDocument/2006/relationships/hyperlink" Target="http://query.nytimes.com/mem/archive-free/pdf?res=9E07E4DF103DE433A25751C0A9609C94649ED7CF" TargetMode="External"/><Relationship Id="rId73" Type="http://schemas.openxmlformats.org/officeDocument/2006/relationships/hyperlink" Target="http://upload.wikimedia.org/wikipedia/en/5/5d/Ideal_later_logo.jpg" TargetMode="External"/><Relationship Id="rId72" Type="http://schemas.openxmlformats.org/officeDocument/2006/relationships/hyperlink" Target="http://www.toyassociation.org/TIA/Events/HOF/Inductees/Events2/Hall_of_Fame/Hall_of_Fame_Inductees.aspx?hkey=513da8d5-c0f8-423a-be33-9a720a8b9276" TargetMode="External"/><Relationship Id="rId75" Type="http://schemas.openxmlformats.org/officeDocument/2006/relationships/hyperlink" Target="https://www.google.com/search?q=lionel+electric+trains+logo&amp;client=firefox-a&amp;hs=yS6&amp;rls=org.mozilla:en-US:official&amp;channel=sb&amp;source=lnms&amp;tbm=isch&amp;sa=X&amp;ei=E8YdVIuFK9OeyATlkYKIBA&amp;ved=0CAgQ_AUoAQ&amp;biw=733&amp;bih=421" TargetMode="External"/><Relationship Id="rId74" Type="http://schemas.openxmlformats.org/officeDocument/2006/relationships/hyperlink" Target="http://www.findagrave.com/cgi-bin/fg.cgi?page=gr&amp;GRid=4150" TargetMode="External"/><Relationship Id="rId77" Type="http://schemas.openxmlformats.org/officeDocument/2006/relationships/hyperlink" Target="http://books.google.com/books?id=ml_ZepYWGdkC&amp;pg=PA215&amp;lpg=PA215&amp;dq=louis+marx+time+magazine+article&amp;source=bl&amp;ots=n8Z3wgVDYY&amp;sig=kfQkn1NFJG04mh5sRBjVlGzhKos&amp;hl=en&amp;sa=X&amp;ei=u9_7U7SDI8PloASvm4LwAQ&amp;ved=0CEIQ6AEwBA" TargetMode="External"/><Relationship Id="rId76" Type="http://schemas.openxmlformats.org/officeDocument/2006/relationships/hyperlink" Target="http://www.toyassociation.org/TIA/Events/HOF/Inductees/Events2/Hall_of_Fame/Hall_of_Fame_Inductees.aspx?hkey=513da8d5-c0f8-423a-be33-9a720a8b9276" TargetMode="External"/><Relationship Id="rId79" Type="http://schemas.openxmlformats.org/officeDocument/2006/relationships/hyperlink" Target="http://books.google.com/books?id=65bvTT-YTEIC&amp;pg=PA96&amp;dq=hank+greenberg+reluctant+hero&amp;hl=en&amp;sa=X&amp;ei=JrQdVJSTBtWpyATdw4DIAw&amp;ved=0CB8Q6AEwAA" TargetMode="External"/><Relationship Id="rId78" Type="http://schemas.openxmlformats.org/officeDocument/2006/relationships/hyperlink" Target="http://www.grandoldtoys.com/toydb_Detail.php?id=323" TargetMode="External"/><Relationship Id="rId71" Type="http://schemas.openxmlformats.org/officeDocument/2006/relationships/hyperlink" Target="http://www.museumofplay.org/online-collections/search/index.php?q=teddy+bear" TargetMode="External"/><Relationship Id="rId70" Type="http://schemas.openxmlformats.org/officeDocument/2006/relationships/hyperlink" Target="http://www.toyhalloffame.org/toys/teddy-bear" TargetMode="External"/><Relationship Id="rId62" Type="http://schemas.openxmlformats.org/officeDocument/2006/relationships/hyperlink" Target="http://www.wikitree.com/photo.php/c/c0/Michtom-image.jpg" TargetMode="External"/><Relationship Id="rId61" Type="http://schemas.openxmlformats.org/officeDocument/2006/relationships/hyperlink" Target="http://www.byranbear.com/images/mitchtom.jpg" TargetMode="External"/><Relationship Id="rId64" Type="http://schemas.openxmlformats.org/officeDocument/2006/relationships/hyperlink" Target="https://www.jewishvirtuallibrary.org/jsource/biography/Michtoms.html" TargetMode="External"/><Relationship Id="rId63" Type="http://schemas.openxmlformats.org/officeDocument/2006/relationships/hyperlink" Target="http://books.google.com/books?id=xvGhQoNT27IC&amp;pg=PA279&amp;lpg=PA279&amp;dq=rose+michtom+teddy+bear+died&amp;source=bl&amp;ots=sXT6WTAeWP&amp;sig=eyo2ihET-KE2iETUTzJlg1Xl3Oc&amp;hl=en&amp;sa=X&amp;ei=gBM7VODgM_G1sQSo-YDADw&amp;ved=0CD8Q6AEwBjgU" TargetMode="External"/><Relationship Id="rId66" Type="http://schemas.openxmlformats.org/officeDocument/2006/relationships/hyperlink" Target="http://upload.wikimedia.org/wikipedia/en/5/5d/Ideal_later_logo.jpg" TargetMode="External"/><Relationship Id="rId65" Type="http://schemas.openxmlformats.org/officeDocument/2006/relationships/hyperlink" Target="http://en.wikipedia.org/wiki/Morris_Michtom" TargetMode="External"/><Relationship Id="rId68" Type="http://schemas.openxmlformats.org/officeDocument/2006/relationships/hyperlink" Target="https://symonsez.files.wordpress.com/2008/11/1stteddybear.jpg" TargetMode="External"/><Relationship Id="rId67" Type="http://schemas.openxmlformats.org/officeDocument/2006/relationships/hyperlink" Target="http://en.wikipedia.org/wiki/Ideal_Toy_Company" TargetMode="External"/><Relationship Id="rId609" Type="http://schemas.openxmlformats.org/officeDocument/2006/relationships/hyperlink" Target="http://i.dailymail.co.uk/i/pix/2015/07/09/11/2A5EA3F200000578-3154699-Charles_Lazarus_pictured_founded_Toys_R_Us_in_1948-a-13_1436439589265.jpg" TargetMode="External"/><Relationship Id="rId608" Type="http://schemas.openxmlformats.org/officeDocument/2006/relationships/hyperlink" Target="http://www.planetdiecast.com/hwdphotos/uploads/4190/357/Corgi_Batmobile_1966_Matte_Black_2.jpg" TargetMode="External"/><Relationship Id="rId607" Type="http://schemas.openxmlformats.org/officeDocument/2006/relationships/hyperlink" Target="http://archive.worldofdragon.org/index.php?title=1933_-_1983_Mettoy" TargetMode="External"/><Relationship Id="rId60" Type="http://schemas.openxmlformats.org/officeDocument/2006/relationships/hyperlink" Target="https://symonsez.files.wordpress.com/2008/11/1stteddybear.jpg" TargetMode="External"/><Relationship Id="rId602" Type="http://schemas.openxmlformats.org/officeDocument/2006/relationships/hyperlink" Target="http://www.batmobile.free.fr/English/Mettoy_Factory/Swansea_Factory.htm" TargetMode="External"/><Relationship Id="rId601" Type="http://schemas.openxmlformats.org/officeDocument/2006/relationships/hyperlink" Target="http://archive.worldofdragon.org/index.php?title=1933_-_1983_Mettoy" TargetMode="External"/><Relationship Id="rId600" Type="http://schemas.openxmlformats.org/officeDocument/2006/relationships/hyperlink" Target="http://en.wikipedia.org/wiki/Mettoy" TargetMode="External"/><Relationship Id="rId606" Type="http://schemas.openxmlformats.org/officeDocument/2006/relationships/hyperlink" Target="http://www.museumofchildhood.org.uk/collections/british-toy-making-project/toy-manufacturers/the-mettoy-company-plc" TargetMode="External"/><Relationship Id="rId605" Type="http://schemas.openxmlformats.org/officeDocument/2006/relationships/hyperlink" Target="http://www.corgi.co.uk/" TargetMode="External"/><Relationship Id="rId604" Type="http://schemas.openxmlformats.org/officeDocument/2006/relationships/hyperlink" Target="http://www.typewriters.ch/images/Katz_Arthur_1974_ext_paphotos_co_uk.jpg" TargetMode="External"/><Relationship Id="rId603" Type="http://schemas.openxmlformats.org/officeDocument/2006/relationships/hyperlink" Target="http://en.wikipedia.org/wiki/Corgi_Toys" TargetMode="External"/><Relationship Id="rId69" Type="http://schemas.openxmlformats.org/officeDocument/2006/relationships/hyperlink" Target="https://s-media-cache-ak0.pinimg.com/736x/0c/b9/b7/0cb9b7f506bbd7ff0babe986556ee703.jpg" TargetMode="External"/><Relationship Id="rId51" Type="http://schemas.openxmlformats.org/officeDocument/2006/relationships/hyperlink" Target="http://en.wikipedia.org/wiki/Lionel_Corporation" TargetMode="External"/><Relationship Id="rId50" Type="http://schemas.openxmlformats.org/officeDocument/2006/relationships/hyperlink" Target="http://www.playgroundprofessionals.com/encyclopedia/l/lionel-llc" TargetMode="External"/><Relationship Id="rId53" Type="http://schemas.openxmlformats.org/officeDocument/2006/relationships/hyperlink" Target="http://www.toyhalloffame.org/toys/lionel-trains" TargetMode="External"/><Relationship Id="rId52" Type="http://schemas.openxmlformats.org/officeDocument/2006/relationships/hyperlink" Target="http://www.museumofplay.org/online-collections/images/Z006/Z00685/Z0068566.jpg" TargetMode="External"/><Relationship Id="rId55" Type="http://schemas.openxmlformats.org/officeDocument/2006/relationships/hyperlink" Target="http://www.youtube.com/watch?v=gDbdO0rYYVY" TargetMode="External"/><Relationship Id="rId54" Type="http://schemas.openxmlformats.org/officeDocument/2006/relationships/hyperlink" Target="http://www.museumofplay.org/online-collections/search/index.php?q=lionel+trains" TargetMode="External"/><Relationship Id="rId57" Type="http://schemas.openxmlformats.org/officeDocument/2006/relationships/hyperlink" Target="http://www.angelfire.com/biz/toysoldierhq/Tcohn.html" TargetMode="External"/><Relationship Id="rId56" Type="http://schemas.openxmlformats.org/officeDocument/2006/relationships/hyperlink" Target="http://www.youtube.com/watch?v=0RTcaJmoYLI" TargetMode="External"/><Relationship Id="rId712" Type="http://schemas.openxmlformats.org/officeDocument/2006/relationships/drawing" Target="../drawings/drawing1.xml"/><Relationship Id="rId711" Type="http://schemas.openxmlformats.org/officeDocument/2006/relationships/hyperlink" Target="http://www.nytimes.com/2015/03/11/business/isaac-heller-co-founder-of-remco-and-toymaker-to-a-generation-dies-at-88.html" TargetMode="External"/><Relationship Id="rId710" Type="http://schemas.openxmlformats.org/officeDocument/2006/relationships/hyperlink" Target="http://www.haaretz.com/beta/1.646474" TargetMode="External"/><Relationship Id="rId59" Type="http://schemas.openxmlformats.org/officeDocument/2006/relationships/hyperlink" Target="http://en.wikipedia.org/wiki/Ideal_Toy_Company" TargetMode="External"/><Relationship Id="rId58" Type="http://schemas.openxmlformats.org/officeDocument/2006/relationships/hyperlink" Target="http://upload.wikimedia.org/wikipedia/en/5/5d/Ideal_later_logo.jpg" TargetMode="External"/><Relationship Id="rId590" Type="http://schemas.openxmlformats.org/officeDocument/2006/relationships/hyperlink" Target="http://globalgamejam.org/sites/default/files/styles/responsive_large__normal/public/field_news_story_image_video/GlobalGameJam2013_Welcome.png?itok=YruR-6k7" TargetMode="External"/><Relationship Id="rId107" Type="http://schemas.openxmlformats.org/officeDocument/2006/relationships/hyperlink" Target="http://www.fundinguniverse.com/company-histories/pressman-toy-corporation-history/" TargetMode="External"/><Relationship Id="rId228" Type="http://schemas.openxmlformats.org/officeDocument/2006/relationships/hyperlink" Target="http://www.ipdb.org/showpic.pl?id=923&amp;picno=46183" TargetMode="External"/><Relationship Id="rId349" Type="http://schemas.openxmlformats.org/officeDocument/2006/relationships/hyperlink" Target="http://www.playgroundprofessionals.com/encyclopedia/k/kenner" TargetMode="External"/><Relationship Id="rId106" Type="http://schemas.openxmlformats.org/officeDocument/2006/relationships/hyperlink" Target="http://www.pressmantoy.com/wp-content/themes/Goliath/img/logo_pressman-min.png" TargetMode="External"/><Relationship Id="rId227" Type="http://schemas.openxmlformats.org/officeDocument/2006/relationships/hyperlink" Target="http://gameroomantiques.com/GencoPinballModels.htm" TargetMode="External"/><Relationship Id="rId348" Type="http://schemas.openxmlformats.org/officeDocument/2006/relationships/hyperlink" Target="http://www2.cincinnati.com/blogs/ourhistory/2013/01/24/remember-kenner-it-made-christmas-toys-fun/" TargetMode="External"/><Relationship Id="rId469" Type="http://schemas.openxmlformats.org/officeDocument/2006/relationships/hyperlink" Target="http://www.arcade-history.com/?n=berzerk&amp;page=detail&amp;id=236" TargetMode="External"/><Relationship Id="rId105" Type="http://schemas.openxmlformats.org/officeDocument/2006/relationships/hyperlink" Target="http://en.wikipedia.org/wiki/Lynn_Pressman_Raymond" TargetMode="External"/><Relationship Id="rId226" Type="http://schemas.openxmlformats.org/officeDocument/2006/relationships/hyperlink" Target="http://www.ipdb.org/showpic.pl?id=923&amp;picno=46183" TargetMode="External"/><Relationship Id="rId347" Type="http://schemas.openxmlformats.org/officeDocument/2006/relationships/hyperlink" Target="http://www.kennercollector.com/downloads/KENLOG.JPG" TargetMode="External"/><Relationship Id="rId468" Type="http://schemas.openxmlformats.org/officeDocument/2006/relationships/hyperlink" Target="http://thedoteaters.com/tde/wp-content/uploads/2013/03/berzerk_cab.png" TargetMode="External"/><Relationship Id="rId589" Type="http://schemas.openxmlformats.org/officeDocument/2006/relationships/hyperlink" Target="https://pbs.twimg.com/profile_images/1352632237/TwitterPic.jpg" TargetMode="External"/><Relationship Id="rId104" Type="http://schemas.openxmlformats.org/officeDocument/2006/relationships/hyperlink" Target="http://jewishcurrents.org/july-22-pressman-toys-11145" TargetMode="External"/><Relationship Id="rId225" Type="http://schemas.openxmlformats.org/officeDocument/2006/relationships/hyperlink" Target="http://www.arcade-history.com/images/cabinetmini160/18731.jpg" TargetMode="External"/><Relationship Id="rId346" Type="http://schemas.openxmlformats.org/officeDocument/2006/relationships/hyperlink" Target="http://www.kennercollector.com/" TargetMode="External"/><Relationship Id="rId467" Type="http://schemas.openxmlformats.org/officeDocument/2006/relationships/hyperlink" Target="http://thedoteaters.com/tde/wp-content/uploads/2013/03/berzerk_cab.png" TargetMode="External"/><Relationship Id="rId588" Type="http://schemas.openxmlformats.org/officeDocument/2006/relationships/hyperlink" Target="http://en.wikipedia.org/wiki/Activision" TargetMode="External"/><Relationship Id="rId109" Type="http://schemas.openxmlformats.org/officeDocument/2006/relationships/hyperlink" Target="http://ecx.images-amazon.com/images/I/819GA4X8BVL._SX300_.gif" TargetMode="External"/><Relationship Id="rId108" Type="http://schemas.openxmlformats.org/officeDocument/2006/relationships/hyperlink" Target="http://en.wikipedia.org/wiki/Pressman_Toy_Corporation" TargetMode="External"/><Relationship Id="rId229" Type="http://schemas.openxmlformats.org/officeDocument/2006/relationships/hyperlink" Target="http://gameroomantiques.com/GencoPinballModels.htm" TargetMode="External"/><Relationship Id="rId220" Type="http://schemas.openxmlformats.org/officeDocument/2006/relationships/hyperlink" Target="http://www.bmigaming.com/Images/tripleaction-1948.jpg" TargetMode="External"/><Relationship Id="rId341" Type="http://schemas.openxmlformats.org/officeDocument/2006/relationships/hyperlink" Target="http://www.toyhalloffame.org/toys/play-doh" TargetMode="External"/><Relationship Id="rId462" Type="http://schemas.openxmlformats.org/officeDocument/2006/relationships/hyperlink" Target="http://www.sternpinball.com/about" TargetMode="External"/><Relationship Id="rId583" Type="http://schemas.openxmlformats.org/officeDocument/2006/relationships/hyperlink" Target="http://kotaku.com/5559201/a-delightful-chat-with-the-most-hated-man-in-video-games" TargetMode="External"/><Relationship Id="rId340" Type="http://schemas.openxmlformats.org/officeDocument/2006/relationships/hyperlink" Target="https://c2.staticflickr.com/4/3471/3838268091_0d5308d949.jpg" TargetMode="External"/><Relationship Id="rId461" Type="http://schemas.openxmlformats.org/officeDocument/2006/relationships/hyperlink" Target="http://en.wikipedia.org/wiki/Stern_%28game_company%29" TargetMode="External"/><Relationship Id="rId582" Type="http://schemas.openxmlformats.org/officeDocument/2006/relationships/hyperlink" Target="http://cdn.geekwire.com/wp-content/uploads/2014/05/bobby-kotick-portrait.jpg" TargetMode="External"/><Relationship Id="rId460" Type="http://schemas.openxmlformats.org/officeDocument/2006/relationships/hyperlink" Target="http://www.mobygames.com/images/i/38/43/619643.jpeg" TargetMode="External"/><Relationship Id="rId581" Type="http://schemas.openxmlformats.org/officeDocument/2006/relationships/hyperlink" Target="http://en.wikipedia.org/wiki/Global_Game_Jam" TargetMode="External"/><Relationship Id="rId580" Type="http://schemas.openxmlformats.org/officeDocument/2006/relationships/hyperlink" Target="http://globalgamejam.org/" TargetMode="External"/><Relationship Id="rId103" Type="http://schemas.openxmlformats.org/officeDocument/2006/relationships/hyperlink" Target="http://graphics8.nytimes.com/images/2009/08/02/business/Lynn_Pressman_190.jpg" TargetMode="External"/><Relationship Id="rId224" Type="http://schemas.openxmlformats.org/officeDocument/2006/relationships/hyperlink" Target="http://gameroomantiques.com/GencoPinballModels.htm" TargetMode="External"/><Relationship Id="rId345" Type="http://schemas.openxmlformats.org/officeDocument/2006/relationships/hyperlink" Target="http://www.playgroundprofessionals.com/encyclopedia/k/kenner" TargetMode="External"/><Relationship Id="rId466" Type="http://schemas.openxmlformats.org/officeDocument/2006/relationships/hyperlink" Target="http://www.mopinball.com/me/meteor.html" TargetMode="External"/><Relationship Id="rId587" Type="http://schemas.openxmlformats.org/officeDocument/2006/relationships/hyperlink" Target="http://www.fundinguniverse.com/company-histories/activision-inc-history/" TargetMode="External"/><Relationship Id="rId102" Type="http://schemas.openxmlformats.org/officeDocument/2006/relationships/hyperlink" Target="http://www.nytimes.com/2009/08/02/business/02pressman.html" TargetMode="External"/><Relationship Id="rId223" Type="http://schemas.openxmlformats.org/officeDocument/2006/relationships/hyperlink" Target="http://www.pinballnews.com/shows/expo2006/index6.html" TargetMode="External"/><Relationship Id="rId344" Type="http://schemas.openxmlformats.org/officeDocument/2006/relationships/hyperlink" Target="http://www.kennercollector.com/wp-content/uploads/2010/09/Joseph-L.-Steiner.jpg" TargetMode="External"/><Relationship Id="rId465" Type="http://schemas.openxmlformats.org/officeDocument/2006/relationships/hyperlink" Target="http://mirror2.ipdb.org/images/1580/1580f4.jpg" TargetMode="External"/><Relationship Id="rId586" Type="http://schemas.openxmlformats.org/officeDocument/2006/relationships/hyperlink" Target="http://www.activisionblizzard.com/" TargetMode="External"/><Relationship Id="rId101" Type="http://schemas.openxmlformats.org/officeDocument/2006/relationships/hyperlink" Target="http://www.museumofplay.org/online-collections/search/index.php?q=chinese+checkers" TargetMode="External"/><Relationship Id="rId222" Type="http://schemas.openxmlformats.org/officeDocument/2006/relationships/hyperlink" Target="http://en.wikipedia.org/wiki/Genco" TargetMode="External"/><Relationship Id="rId343" Type="http://schemas.openxmlformats.org/officeDocument/2006/relationships/hyperlink" Target="http://articles.latimes.com/2002/may/15/local/me-passings15.1" TargetMode="External"/><Relationship Id="rId464" Type="http://schemas.openxmlformats.org/officeDocument/2006/relationships/hyperlink" Target="http://dnok91peocsw3.cloudfront.net/product/326141-610x610-1359988738-primary.png" TargetMode="External"/><Relationship Id="rId585" Type="http://schemas.openxmlformats.org/officeDocument/2006/relationships/hyperlink" Target="http://img2.wikia.nocookie.net/__cb20120810161320/spiderman/images/9/9e/Activision-logo.jpg" TargetMode="External"/><Relationship Id="rId100" Type="http://schemas.openxmlformats.org/officeDocument/2006/relationships/hyperlink" Target="http://ecx.images-amazon.com/images/I/819GA4X8BVL._SX300_.gif" TargetMode="External"/><Relationship Id="rId221" Type="http://schemas.openxmlformats.org/officeDocument/2006/relationships/hyperlink" Target="http://www.ipdb.org/showpic.pl?id=923&amp;picno=46183" TargetMode="External"/><Relationship Id="rId342" Type="http://schemas.openxmlformats.org/officeDocument/2006/relationships/hyperlink" Target="http://freepages.genealogy.rootsweb.ancestry.com/~prohel/names/misc/steiner1.html" TargetMode="External"/><Relationship Id="rId463" Type="http://schemas.openxmlformats.org/officeDocument/2006/relationships/hyperlink" Target="http://en.wikipedia.org/wiki/Stern_%28game_company%29" TargetMode="External"/><Relationship Id="rId584" Type="http://schemas.openxmlformats.org/officeDocument/2006/relationships/hyperlink" Target="http://en.wikipedia.org/wiki/Robert_Kotick" TargetMode="External"/><Relationship Id="rId217" Type="http://schemas.openxmlformats.org/officeDocument/2006/relationships/hyperlink" Target="http://www.ipdb.org/showpic.pl?id=923&amp;picno=46183" TargetMode="External"/><Relationship Id="rId338" Type="http://schemas.openxmlformats.org/officeDocument/2006/relationships/hyperlink" Target="http://www.playgroundprofessionals.com/encyclopedia/k/kenner" TargetMode="External"/><Relationship Id="rId459" Type="http://schemas.openxmlformats.org/officeDocument/2006/relationships/hyperlink" Target="http://gamearchive.askey.org/Pinball/Oldies/cmotm_samstern.html" TargetMode="External"/><Relationship Id="rId216" Type="http://schemas.openxmlformats.org/officeDocument/2006/relationships/hyperlink" Target="http://en.wikipedia.org/wiki/Steve_Kordek" TargetMode="External"/><Relationship Id="rId337" Type="http://schemas.openxmlformats.org/officeDocument/2006/relationships/hyperlink" Target="http://www.kennercollector.com/downloads/KENLOG.JPG" TargetMode="External"/><Relationship Id="rId458" Type="http://schemas.openxmlformats.org/officeDocument/2006/relationships/hyperlink" Target="http://www.pinballnews.com/comment/sterndesign.html" TargetMode="External"/><Relationship Id="rId579" Type="http://schemas.openxmlformats.org/officeDocument/2006/relationships/hyperlink" Target="http://ggj.s3.amazonaws.com/global_game_jam_logo.jpg" TargetMode="External"/><Relationship Id="rId215" Type="http://schemas.openxmlformats.org/officeDocument/2006/relationships/hyperlink" Target="http://ahavasisraelgr.org/images/stories/sermons/2012/Notable_Deaths-5772.pdf" TargetMode="External"/><Relationship Id="rId336" Type="http://schemas.openxmlformats.org/officeDocument/2006/relationships/hyperlink" Target="http://www.playgroundprofessionals.com/encyclopedia/k/kenner" TargetMode="External"/><Relationship Id="rId457" Type="http://schemas.openxmlformats.org/officeDocument/2006/relationships/hyperlink" Target="http://www.8-bitcentral.com/blog/2013/7800berzerk.html" TargetMode="External"/><Relationship Id="rId578" Type="http://schemas.openxmlformats.org/officeDocument/2006/relationships/hyperlink" Target="http://www.northeastern.edu/camd/gamedesign/wp-content/uploads/sites/6/2013/09/MG_6678-1-392x261.jpg" TargetMode="External"/><Relationship Id="rId699" Type="http://schemas.openxmlformats.org/officeDocument/2006/relationships/hyperlink" Target="http://www.historytoy.com/company-story-firm-chronicle-description-corporate-history-profile-Moskowitz-Max-Nuremberg" TargetMode="External"/><Relationship Id="rId214" Type="http://schemas.openxmlformats.org/officeDocument/2006/relationships/hyperlink" Target="http://content-cache.knowledgeplex.org/ksg/cache/assets/4948/3183/3183757.html" TargetMode="External"/><Relationship Id="rId335" Type="http://schemas.openxmlformats.org/officeDocument/2006/relationships/hyperlink" Target="http://www.kennercollector.com/wp-content/uploads/2010/09/Philip-Steiner.jpg" TargetMode="External"/><Relationship Id="rId456" Type="http://schemas.openxmlformats.org/officeDocument/2006/relationships/hyperlink" Target="http://www.sternpinball.com/upload/games/203/photos/Resize.ashx.jpeg" TargetMode="External"/><Relationship Id="rId577" Type="http://schemas.openxmlformats.org/officeDocument/2006/relationships/hyperlink" Target="http://www.42entertainment.com/work/yearzero" TargetMode="External"/><Relationship Id="rId698" Type="http://schemas.openxmlformats.org/officeDocument/2006/relationships/hyperlink" Target="http://www.historytoy.com/company-story-firm-chronicle-description-corporate-history-profile-Distler" TargetMode="External"/><Relationship Id="rId219" Type="http://schemas.openxmlformats.org/officeDocument/2006/relationships/hyperlink" Target="http://www.bmigaming.com/Images/tripleaction-1948.jpg" TargetMode="External"/><Relationship Id="rId218" Type="http://schemas.openxmlformats.org/officeDocument/2006/relationships/hyperlink" Target="http://gameroomantiques.com/GencoPinballModels.htm" TargetMode="External"/><Relationship Id="rId339" Type="http://schemas.openxmlformats.org/officeDocument/2006/relationships/hyperlink" Target="http://en.wikipedia.org/wiki/Kenner_Products" TargetMode="External"/><Relationship Id="rId330" Type="http://schemas.openxmlformats.org/officeDocument/2006/relationships/hyperlink" Target="http://www.playgroundprofessionals.com/encyclopedia/k/kenner" TargetMode="External"/><Relationship Id="rId451" Type="http://schemas.openxmlformats.org/officeDocument/2006/relationships/hyperlink" Target="https://lh5.googleusercontent.com/-ZEUH9E9p7Wk/AAAAAAAAAAI/AAAAAAAAAxA/xEzfg8XPiIo/photo.jpg" TargetMode="External"/><Relationship Id="rId572" Type="http://schemas.openxmlformats.org/officeDocument/2006/relationships/hyperlink" Target="http://www.lostremote.com/files/2012/09/c7e83ef8-1d89-4199-8a98-f54878b18796.jpeg" TargetMode="External"/><Relationship Id="rId693" Type="http://schemas.openxmlformats.org/officeDocument/2006/relationships/hyperlink" Target="http://newjerseyhills.com/observer-tribune/news/chester-township-businessman-goes-wow-over-rough-world-of-toys/article_f0c558f2-cc5d-11e1-885b-0019bb2963f4.html" TargetMode="External"/><Relationship Id="rId450" Type="http://schemas.openxmlformats.org/officeDocument/2006/relationships/hyperlink" Target="http://www.politics.hu/20140425/rubiks-cube-one-of-worlds-greatest-hungarian-inventions-says-president/" TargetMode="External"/><Relationship Id="rId571" Type="http://schemas.openxmlformats.org/officeDocument/2006/relationships/hyperlink" Target="http://en.wikipedia.org/wiki/Elan_Lee" TargetMode="External"/><Relationship Id="rId692" Type="http://schemas.openxmlformats.org/officeDocument/2006/relationships/hyperlink" Target="http://www.globaltoynews.com/2011/03/the-kohner-brothers-an-appreciation.html" TargetMode="External"/><Relationship Id="rId570" Type="http://schemas.openxmlformats.org/officeDocument/2006/relationships/hyperlink" Target="https://pbs.twimg.com/profile_images/3755266524/83d1795fad2fb8057a1b05fb958445f4_400x400.jpeg" TargetMode="External"/><Relationship Id="rId691" Type="http://schemas.openxmlformats.org/officeDocument/2006/relationships/hyperlink" Target="http://www.fundinguniverse.com/company-histories/knowledge-universe-inc-history/" TargetMode="External"/><Relationship Id="rId690" Type="http://schemas.openxmlformats.org/officeDocument/2006/relationships/hyperlink" Target="http://www.toyassociation.org/TIA/Events/HOF/Inductees/Events2/Hall_of_Fame/Hall_of_Fame_Inductees.aspx?hkey=513da8d5-c0f8-423a-be33-9a720a8b9276" TargetMode="External"/><Relationship Id="rId213" Type="http://schemas.openxmlformats.org/officeDocument/2006/relationships/hyperlink" Target="http://www.pinrepair.com/topcast/topcast_show23.pdf" TargetMode="External"/><Relationship Id="rId334" Type="http://schemas.openxmlformats.org/officeDocument/2006/relationships/hyperlink" Target="http://articles.orlandosentinel.com/1993-11-27/news/9311270190_1_spirograph-kenner-steiner" TargetMode="External"/><Relationship Id="rId455" Type="http://schemas.openxmlformats.org/officeDocument/2006/relationships/hyperlink" Target="http://www.toyhalloffame.org/toys/rubiks-cube" TargetMode="External"/><Relationship Id="rId576" Type="http://schemas.openxmlformats.org/officeDocument/2006/relationships/hyperlink" Target="http://en.wikipedia.org/wiki/The_Beast_(game)" TargetMode="External"/><Relationship Id="rId697" Type="http://schemas.openxmlformats.org/officeDocument/2006/relationships/hyperlink" Target="http://investing.businessweek.com/research/stocks/private/person.asp?personId=1537722&amp;privcapId=1004688&amp;previousCapId=29433&amp;previousTitle=HESKA%20CORP" TargetMode="External"/><Relationship Id="rId212" Type="http://schemas.openxmlformats.org/officeDocument/2006/relationships/hyperlink" Target="http://www.pinballnews.com/shows/expo2006/index6.html" TargetMode="External"/><Relationship Id="rId333" Type="http://schemas.openxmlformats.org/officeDocument/2006/relationships/hyperlink" Target="http://en.wikipedia.org/wiki/Kenner_Products" TargetMode="External"/><Relationship Id="rId454" Type="http://schemas.openxmlformats.org/officeDocument/2006/relationships/hyperlink" Target="http://www.speedcubing.com/ton/images/Rubik%27s%2004%20Ideal%201980%20%20clone%20type%20cube%20Square%20logo%20sticker.jpg" TargetMode="External"/><Relationship Id="rId575" Type="http://schemas.openxmlformats.org/officeDocument/2006/relationships/hyperlink" Target="http://en.wikipedia.org/wiki/Microsoft" TargetMode="External"/><Relationship Id="rId696" Type="http://schemas.openxmlformats.org/officeDocument/2006/relationships/hyperlink" Target="http://tandgcon.com/len-fuhrer-83-toy-industry-leader-for-over-50-years/" TargetMode="External"/><Relationship Id="rId211" Type="http://schemas.openxmlformats.org/officeDocument/2006/relationships/hyperlink" Target="http://gamasutra.com/db_area/images/news2001/40404/sk.jpg" TargetMode="External"/><Relationship Id="rId332" Type="http://schemas.openxmlformats.org/officeDocument/2006/relationships/hyperlink" Target="http://www.playgroundprofessionals.com/encyclopedia/k/kenner" TargetMode="External"/><Relationship Id="rId453" Type="http://schemas.openxmlformats.org/officeDocument/2006/relationships/hyperlink" Target="http://www.rubiks.com/" TargetMode="External"/><Relationship Id="rId574" Type="http://schemas.openxmlformats.org/officeDocument/2006/relationships/hyperlink" Target="http://www.fundinguniverse.com/company-histories/microsoft-corporation-history/" TargetMode="External"/><Relationship Id="rId695" Type="http://schemas.openxmlformats.org/officeDocument/2006/relationships/hyperlink" Target="http://www.legacy.com/obituaries/wickedlocal-wellesley/obituary.aspx?pid=167255544" TargetMode="External"/><Relationship Id="rId210" Type="http://schemas.openxmlformats.org/officeDocument/2006/relationships/hyperlink" Target="http://www.nytimes.com/2012/02/24/business/steve-kordek-innovator-of-pinball-game-dies-at-100.html?_r=0" TargetMode="External"/><Relationship Id="rId331" Type="http://schemas.openxmlformats.org/officeDocument/2006/relationships/hyperlink" Target="http://www.kennercollector.com/downloads/KENLOG.JPG" TargetMode="External"/><Relationship Id="rId452" Type="http://schemas.openxmlformats.org/officeDocument/2006/relationships/hyperlink" Target="http://www.rubiks.com/history" TargetMode="External"/><Relationship Id="rId573" Type="http://schemas.openxmlformats.org/officeDocument/2006/relationships/hyperlink" Target="http://www.microsoft.com/en-us/default.aspx" TargetMode="External"/><Relationship Id="rId694" Type="http://schemas.openxmlformats.org/officeDocument/2006/relationships/hyperlink" Target="http://www.thefreelibrary.com/Action+Products+Names+Marvin+Smollar+to+Board+of+Directors%3B...-a065090506" TargetMode="External"/><Relationship Id="rId370" Type="http://schemas.openxmlformats.org/officeDocument/2006/relationships/hyperlink" Target="http://en.wikipedia.org/wiki/Mr._Potato_Head" TargetMode="External"/><Relationship Id="rId491" Type="http://schemas.openxmlformats.org/officeDocument/2006/relationships/hyperlink" Target="https://upload.wikimedia.org/wikipedia/en/2/27/MGA_Entertainment_Logo.png" TargetMode="External"/><Relationship Id="rId490" Type="http://schemas.openxmlformats.org/officeDocument/2006/relationships/hyperlink" Target="http://en.wikipedia.org/wiki/Isaac_Larian" TargetMode="External"/><Relationship Id="rId129" Type="http://schemas.openxmlformats.org/officeDocument/2006/relationships/hyperlink" Target="http://www.dollkind.com/images/madalice.gif" TargetMode="External"/><Relationship Id="rId128" Type="http://schemas.openxmlformats.org/officeDocument/2006/relationships/hyperlink" Target="http://www.dollkind.com/madame-alexander-doll.shtml" TargetMode="External"/><Relationship Id="rId249" Type="http://schemas.openxmlformats.org/officeDocument/2006/relationships/hyperlink" Target="http://www.toyassociation.org/App_Themes/tia/images/HOF/kasch.jpg" TargetMode="External"/><Relationship Id="rId127" Type="http://schemas.openxmlformats.org/officeDocument/2006/relationships/hyperlink" Target="http://www.tabletmag.com/jewish-life-and-religion/131508/the-woman-behind-the-dolls" TargetMode="External"/><Relationship Id="rId248" Type="http://schemas.openxmlformats.org/officeDocument/2006/relationships/hyperlink" Target="http://news.google.com/newspapers?nid=1368&amp;dat=19720629&amp;id=K5lRAAAAIBAJ&amp;sjid=YBEEAAAAIBAJ&amp;pg=7327,3910878" TargetMode="External"/><Relationship Id="rId369" Type="http://schemas.openxmlformats.org/officeDocument/2006/relationships/hyperlink" Target="http://www.lernell.com/" TargetMode="External"/><Relationship Id="rId126" Type="http://schemas.openxmlformats.org/officeDocument/2006/relationships/hyperlink" Target="http://www.madamealexander.com" TargetMode="External"/><Relationship Id="rId247" Type="http://schemas.openxmlformats.org/officeDocument/2006/relationships/hyperlink" Target="http://thedoteaters.com/?bitstory=colecovision" TargetMode="External"/><Relationship Id="rId368" Type="http://schemas.openxmlformats.org/officeDocument/2006/relationships/hyperlink" Target="http://www.lernell.com/lernellfront.jpg" TargetMode="External"/><Relationship Id="rId489" Type="http://schemas.openxmlformats.org/officeDocument/2006/relationships/hyperlink" Target="http://www.forbes.com/profile/isaac-larian/" TargetMode="External"/><Relationship Id="rId121" Type="http://schemas.openxmlformats.org/officeDocument/2006/relationships/hyperlink" Target="http://jwa.org/womenofvalor/alexander" TargetMode="External"/><Relationship Id="rId242" Type="http://schemas.openxmlformats.org/officeDocument/2006/relationships/hyperlink" Target="http://www.coleco.vision/" TargetMode="External"/><Relationship Id="rId363" Type="http://schemas.openxmlformats.org/officeDocument/2006/relationships/hyperlink" Target="http://ww1.prweb.com/prfiles/2011/02/08/2459414/cardinallogorgb.jpg" TargetMode="External"/><Relationship Id="rId484" Type="http://schemas.openxmlformats.org/officeDocument/2006/relationships/hyperlink" Target="https://speakerdata.s3.amazonaws.com/photo/image/811269/daniel-okrent_custom-0d192ba206742edead0bfcdd4435bdb8d0957812-s6-c30.jpg" TargetMode="External"/><Relationship Id="rId120" Type="http://schemas.openxmlformats.org/officeDocument/2006/relationships/hyperlink" Target="http://www.jewishvirtuallibrary.org/jsource/biography/BAlexander.html" TargetMode="External"/><Relationship Id="rId241" Type="http://schemas.openxmlformats.org/officeDocument/2006/relationships/hyperlink" Target="http://upload.wikimedia.org/wikipedia/commons/thumb/c/c9/Coleco_logo.svg/330px-Coleco_logo.svg.png" TargetMode="External"/><Relationship Id="rId362" Type="http://schemas.openxmlformats.org/officeDocument/2006/relationships/hyperlink" Target="http://toydreamers.blogspot.com/search/label/Cardinal%20Industries" TargetMode="External"/><Relationship Id="rId483" Type="http://schemas.openxmlformats.org/officeDocument/2006/relationships/hyperlink" Target="http://en.wikipedia.org/wiki/Daniel_Okrent" TargetMode="External"/><Relationship Id="rId240" Type="http://schemas.openxmlformats.org/officeDocument/2006/relationships/hyperlink" Target="http://www.jewishledger.com/2011/09/q-a-with-arnold-greenberg-founder-of-the-maurice-greenberg-center-for-judaic-studies/" TargetMode="External"/><Relationship Id="rId361" Type="http://schemas.openxmlformats.org/officeDocument/2006/relationships/hyperlink" Target="http://www.toyassociation.org/TIA/Events/HOF/Inductees/Events2/Hall_of_Fame/Hall_of_Fame_Inductees.aspx?hkey=513da8d5-c0f8-423a-be33-9a720a8b9276" TargetMode="External"/><Relationship Id="rId482" Type="http://schemas.openxmlformats.org/officeDocument/2006/relationships/hyperlink" Target="http://www.vanityfair.com/online/daily/2008/03/qa-fantasy-base" TargetMode="External"/><Relationship Id="rId360" Type="http://schemas.openxmlformats.org/officeDocument/2006/relationships/hyperlink" Target="http://www.toyassociation.org/App_Themes/tia/images/events/hof/berger.jpg" TargetMode="External"/><Relationship Id="rId481" Type="http://schemas.openxmlformats.org/officeDocument/2006/relationships/hyperlink" Target="https://speakerdata.s3.amazonaws.com/photo/image/811269/daniel-okrent_custom-0d192ba206742edead0bfcdd4435bdb8d0957812-s6-c30.jpg" TargetMode="External"/><Relationship Id="rId125" Type="http://schemas.openxmlformats.org/officeDocument/2006/relationships/hyperlink" Target="http://www.kahnlucas.com/" TargetMode="External"/><Relationship Id="rId246" Type="http://schemas.openxmlformats.org/officeDocument/2006/relationships/hyperlink" Target="http://www.coleco.vision/" TargetMode="External"/><Relationship Id="rId367" Type="http://schemas.openxmlformats.org/officeDocument/2006/relationships/hyperlink" Target="http://en.wikipedia.org/wiki/George_Lerner" TargetMode="External"/><Relationship Id="rId488" Type="http://schemas.openxmlformats.org/officeDocument/2006/relationships/hyperlink" Target="http://www.jewishjournal.com/iranianamericanjews/item/bratz_toymaker_isaac_larian_living_the_american_dream/" TargetMode="External"/><Relationship Id="rId124" Type="http://schemas.openxmlformats.org/officeDocument/2006/relationships/hyperlink" Target="http://www.businesswire.com/news/home/20120626005253/en/Kahn-Lucas-Acquires-Madame-Alexander-Doll-Brands" TargetMode="External"/><Relationship Id="rId245" Type="http://schemas.openxmlformats.org/officeDocument/2006/relationships/hyperlink" Target="https://upload.wikimedia.org/wikipedia/commons/thumb/c/c1/Telstar.jpg/200px-Telstar.jpg" TargetMode="External"/><Relationship Id="rId366" Type="http://schemas.openxmlformats.org/officeDocument/2006/relationships/hyperlink" Target="http://www.tagieawards.com/nominees-and-recipients/lerner-george" TargetMode="External"/><Relationship Id="rId487" Type="http://schemas.openxmlformats.org/officeDocument/2006/relationships/hyperlink" Target="http://www.forbes.com/sites/abrambrown/2013/10/30/the-toy-mogul-who-became-a-billionaire-through-his-fight-to-the-death-with-barbie/" TargetMode="External"/><Relationship Id="rId123" Type="http://schemas.openxmlformats.org/officeDocument/2006/relationships/hyperlink" Target="https://www.madamealexander.com/skin/frontend/enterprise/hellonikola/images/logo.png" TargetMode="External"/><Relationship Id="rId244" Type="http://schemas.openxmlformats.org/officeDocument/2006/relationships/hyperlink" Target="http://en.wikipedia.org/wiki/Coleco" TargetMode="External"/><Relationship Id="rId365" Type="http://schemas.openxmlformats.org/officeDocument/2006/relationships/hyperlink" Target="http://image2.findagrave.com/photos250/photos/2013/148/111439957_136988193592.jpg" TargetMode="External"/><Relationship Id="rId486" Type="http://schemas.openxmlformats.org/officeDocument/2006/relationships/hyperlink" Target="https://pbs.twimg.com/profile_images/1089031872/Isaac_Portrait_B.jpg" TargetMode="External"/><Relationship Id="rId122" Type="http://schemas.openxmlformats.org/officeDocument/2006/relationships/hyperlink" Target="http://en.wikipedia.org/wiki/Madame_Alexander" TargetMode="External"/><Relationship Id="rId243" Type="http://schemas.openxmlformats.org/officeDocument/2006/relationships/hyperlink" Target="http://thedoteaters.com/?bitstory=colecovision" TargetMode="External"/><Relationship Id="rId364" Type="http://schemas.openxmlformats.org/officeDocument/2006/relationships/hyperlink" Target="http://www.cardinalgames.com/" TargetMode="External"/><Relationship Id="rId485" Type="http://schemas.openxmlformats.org/officeDocument/2006/relationships/hyperlink" Target="http://www.danielokrent.com/" TargetMode="External"/><Relationship Id="rId95" Type="http://schemas.openxmlformats.org/officeDocument/2006/relationships/hyperlink" Target="http://www.pressmantoy.com/wp-content/themes/Goliath/img/logo_pressman-min.png" TargetMode="External"/><Relationship Id="rId94" Type="http://schemas.openxmlformats.org/officeDocument/2006/relationships/hyperlink" Target="http://www.toyassociation.org/TIA/Events/HOF/Inductees/Events2/Hall_of_Fame/Hall_of_Fame_Inductees.aspx?hkey=513da8d5-c0f8-423a-be33-9a720a8b9276" TargetMode="External"/><Relationship Id="rId97" Type="http://schemas.openxmlformats.org/officeDocument/2006/relationships/hyperlink" Target="http://www.fundinguniverse.com/company-histories/pressman-toy-corporation-history/" TargetMode="External"/><Relationship Id="rId96" Type="http://schemas.openxmlformats.org/officeDocument/2006/relationships/hyperlink" Target="http://catalog.pressmantoy.com/" TargetMode="External"/><Relationship Id="rId99" Type="http://schemas.openxmlformats.org/officeDocument/2006/relationships/hyperlink" Target="http://en.wikipedia.org/wiki/Pressman_Toy_Corporation" TargetMode="External"/><Relationship Id="rId480" Type="http://schemas.openxmlformats.org/officeDocument/2006/relationships/hyperlink" Target="http://www.museumofplay.org/online-collections/search/index.php?q=tickle+me+elmo" TargetMode="External"/><Relationship Id="rId98" Type="http://schemas.openxmlformats.org/officeDocument/2006/relationships/hyperlink" Target="http://tandgcon.com/business-of-play/goliath-games-acquires-pressman-toy-an-interview" TargetMode="External"/><Relationship Id="rId91" Type="http://schemas.openxmlformats.org/officeDocument/2006/relationships/hyperlink" Target="http://www.youtube.com/watch?v=uPEnig5DHAc" TargetMode="External"/><Relationship Id="rId90" Type="http://schemas.openxmlformats.org/officeDocument/2006/relationships/hyperlink" Target="http://www.museumofplay.org/online-collections/3/49/97.465" TargetMode="External"/><Relationship Id="rId93" Type="http://schemas.openxmlformats.org/officeDocument/2006/relationships/hyperlink" Target="http://www.toyassociation.org/App_Themes/tia/images/events/hof/pressman.jpg" TargetMode="External"/><Relationship Id="rId92" Type="http://schemas.openxmlformats.org/officeDocument/2006/relationships/hyperlink" Target="http://en.wikipedia.org/wiki/Rock_%27Em_Sock_%27Em_Robots" TargetMode="External"/><Relationship Id="rId118" Type="http://schemas.openxmlformats.org/officeDocument/2006/relationships/hyperlink" Target="http://jwa.org/sites/jwa.org/files/mediaobjects/AlexanderBeatrice.jpg" TargetMode="External"/><Relationship Id="rId239" Type="http://schemas.openxmlformats.org/officeDocument/2006/relationships/hyperlink" Target="http://www.colecovisionzone.com/photos/coleco/Greenberg/colecovision%20arnold%20greenberg%202.jpg" TargetMode="External"/><Relationship Id="rId117" Type="http://schemas.openxmlformats.org/officeDocument/2006/relationships/hyperlink" Target="http://www.nytimes.com/1990/10/05/obituaries/beatrice-behrman-95-doll-maker-known-as-madame-alexander.html" TargetMode="External"/><Relationship Id="rId238" Type="http://schemas.openxmlformats.org/officeDocument/2006/relationships/hyperlink" Target="http://www.vectis.co.uk/AuctionImages/365/600_l.jpg" TargetMode="External"/><Relationship Id="rId359" Type="http://schemas.openxmlformats.org/officeDocument/2006/relationships/hyperlink" Target="http://www.toyassociation.org/PressRoom2/News/2014_News/Leslie_Berger__Founder_of_Cardinal_Industries__Dies_at_95.aspx" TargetMode="External"/><Relationship Id="rId116" Type="http://schemas.openxmlformats.org/officeDocument/2006/relationships/hyperlink" Target="http://en.wikipedia.org/wiki/Pressman_Toy_Corporation" TargetMode="External"/><Relationship Id="rId237" Type="http://schemas.openxmlformats.org/officeDocument/2006/relationships/hyperlink" Target="http://www.gracesguide.co.uk/Trix" TargetMode="External"/><Relationship Id="rId358" Type="http://schemas.openxmlformats.org/officeDocument/2006/relationships/hyperlink" Target="http://en.wikipedia.org/wiki/Kenner_Products" TargetMode="External"/><Relationship Id="rId479" Type="http://schemas.openxmlformats.org/officeDocument/2006/relationships/hyperlink" Target="http://upload.wikimedia.org/wikipedia/en/thumb/e/e3/Tickle_me_elmo.jpg/200px-Tickle_me_elmo.jpg" TargetMode="External"/><Relationship Id="rId115" Type="http://schemas.openxmlformats.org/officeDocument/2006/relationships/hyperlink" Target="http://www.fundinguniverse.com/company-histories/pressman-toy-corporation-history/" TargetMode="External"/><Relationship Id="rId236" Type="http://schemas.openxmlformats.org/officeDocument/2006/relationships/hyperlink" Target="http://en.wikipedia.org/wiki/Trix_%28company%29" TargetMode="External"/><Relationship Id="rId357" Type="http://schemas.openxmlformats.org/officeDocument/2006/relationships/hyperlink" Target="http://www.playgroundprofessionals.com/encyclopedia/k/kenner" TargetMode="External"/><Relationship Id="rId478" Type="http://schemas.openxmlformats.org/officeDocument/2006/relationships/hyperlink" Target="http://www.museumofplay.org/online-collections/images/Z005/Z00586/Z0058670.jpg" TargetMode="External"/><Relationship Id="rId599" Type="http://schemas.openxmlformats.org/officeDocument/2006/relationships/hyperlink" Target="http://www.typewriters.ch/images/Katz_Arthur_1974_ext_paphotos_co_uk.jpg" TargetMode="External"/><Relationship Id="rId119" Type="http://schemas.openxmlformats.org/officeDocument/2006/relationships/hyperlink" Target="http://www.toyassociation.org/TIA/Events/HOF/Inductees/Events2/Hall_of_Fame/Hall_of_Fame_Inductees.aspx?hkey=513da8d5-c0f8-423a-be33-9a720a8b9276" TargetMode="External"/><Relationship Id="rId110" Type="http://schemas.openxmlformats.org/officeDocument/2006/relationships/hyperlink" Target="http://www.legacy.com/obituaries/nytimes/obituary.aspx?n=william-m-pressman&amp;pid=110154182" TargetMode="External"/><Relationship Id="rId231" Type="http://schemas.openxmlformats.org/officeDocument/2006/relationships/hyperlink" Target="http://www.pinballrescue.net/Images/door_chicago.jpg" TargetMode="External"/><Relationship Id="rId352" Type="http://schemas.openxmlformats.org/officeDocument/2006/relationships/hyperlink" Target="http://www.museumofplay.org/online-collections/search/index.php?q=easy+bake+oven" TargetMode="External"/><Relationship Id="rId473" Type="http://schemas.openxmlformats.org/officeDocument/2006/relationships/hyperlink" Target="http://1.bp.blogspot.com/_S7TurMwfxag/S6ll4k6_qEI/AAAAAAAAAXg/_EPZolms0SM/s400/Larry_Greenberg_Greg_check.jpg" TargetMode="External"/><Relationship Id="rId594" Type="http://schemas.openxmlformats.org/officeDocument/2006/relationships/hyperlink" Target="http://www.antiquestradegazette.com/news/2012/nov/07/tipp-and-co-the-real-toy-story-/" TargetMode="External"/><Relationship Id="rId230" Type="http://schemas.openxmlformats.org/officeDocument/2006/relationships/hyperlink" Target="http://en.wikipedia.org/wiki/Chicago_Coin" TargetMode="External"/><Relationship Id="rId351" Type="http://schemas.openxmlformats.org/officeDocument/2006/relationships/hyperlink" Target="http://www.museumofplay.org/online-collections/images/Z002/Z00226/Z0022607.jpg" TargetMode="External"/><Relationship Id="rId472" Type="http://schemas.openxmlformats.org/officeDocument/2006/relationships/hyperlink" Target="http://upload.wikimedia.org/wikipedia/en/thumb/e/e3/Tickle_me_elmo.jpg/200px-Tickle_me_elmo.jpg" TargetMode="External"/><Relationship Id="rId593" Type="http://schemas.openxmlformats.org/officeDocument/2006/relationships/hyperlink" Target="http://www.typewriters.ch/images/Ullmann_Philipp_kl.jpg" TargetMode="External"/><Relationship Id="rId350" Type="http://schemas.openxmlformats.org/officeDocument/2006/relationships/hyperlink" Target="http://en.wikipedia.org/wiki/Kenner_Products" TargetMode="External"/><Relationship Id="rId471" Type="http://schemas.openxmlformats.org/officeDocument/2006/relationships/hyperlink" Target="http://www.museumofplay.org/blog/play-stuff/2012/04/the-path-to-toy-invention-greg-hyman/" TargetMode="External"/><Relationship Id="rId592" Type="http://schemas.openxmlformats.org/officeDocument/2006/relationships/hyperlink" Target="http://en.wikipedia.org/wiki/Global_Game_Jam" TargetMode="External"/><Relationship Id="rId470" Type="http://schemas.openxmlformats.org/officeDocument/2006/relationships/hyperlink" Target="http://www.geni.com/people/Lawrence-Greenberg/6000000017518906088" TargetMode="External"/><Relationship Id="rId591" Type="http://schemas.openxmlformats.org/officeDocument/2006/relationships/hyperlink" Target="http://globalgamejam.org/" TargetMode="External"/><Relationship Id="rId114" Type="http://schemas.openxmlformats.org/officeDocument/2006/relationships/hyperlink" Target="http://www.pressmantoy.com/wp-content/themes/Goliath/img/logo_pressman-min.png" TargetMode="External"/><Relationship Id="rId235" Type="http://schemas.openxmlformats.org/officeDocument/2006/relationships/hyperlink" Target="https://www.trixtrains.com/" TargetMode="External"/><Relationship Id="rId356" Type="http://schemas.openxmlformats.org/officeDocument/2006/relationships/hyperlink" Target="http://www.kennercollector.com/downloads/KENLOG.JPG" TargetMode="External"/><Relationship Id="rId477" Type="http://schemas.openxmlformats.org/officeDocument/2006/relationships/hyperlink" Target="http://www.museumofplay.org/blog/play-stuff/2012/04/the-path-to-toy-invention-greg-hyman/" TargetMode="External"/><Relationship Id="rId598" Type="http://schemas.openxmlformats.org/officeDocument/2006/relationships/hyperlink" Target="http://www.independent.co.uk/arts-entertainment/obituary-arthur-katz-1108922.html" TargetMode="External"/><Relationship Id="rId113" Type="http://schemas.openxmlformats.org/officeDocument/2006/relationships/hyperlink" Target="http://en.wikipedia.org/wiki/Pressman_Toy_Corporation" TargetMode="External"/><Relationship Id="rId234" Type="http://schemas.openxmlformats.org/officeDocument/2006/relationships/hyperlink" Target="http://www.brightontoymuseum.co.uk/w/images/TrixTwin_CoronationScot.jpg" TargetMode="External"/><Relationship Id="rId355" Type="http://schemas.openxmlformats.org/officeDocument/2006/relationships/hyperlink" Target="http://www.playgroundprofessionals.com/encyclopedia/k/kenner" TargetMode="External"/><Relationship Id="rId476" Type="http://schemas.openxmlformats.org/officeDocument/2006/relationships/hyperlink" Target="http://www.museumofplay.org/blog/play-stuff/2012/04/the-path-to-toy-invention-greg-hyman/" TargetMode="External"/><Relationship Id="rId597" Type="http://schemas.openxmlformats.org/officeDocument/2006/relationships/hyperlink" Target="http://en.wikipedia.org/wiki/Corgi_Toys" TargetMode="External"/><Relationship Id="rId112" Type="http://schemas.openxmlformats.org/officeDocument/2006/relationships/hyperlink" Target="http://www.fundinguniverse.com/company-histories/pressman-toy-corporation-history/" TargetMode="External"/><Relationship Id="rId233" Type="http://schemas.openxmlformats.org/officeDocument/2006/relationships/hyperlink" Target="http://www.trix-twin.co.uk/Trixpeople.htm" TargetMode="External"/><Relationship Id="rId354" Type="http://schemas.openxmlformats.org/officeDocument/2006/relationships/hyperlink" Target="http://ak-cache.legacy.net/legacy/images/Cobrands/NYTimes/Photos/NYT-1000596281-STEINERR.1_012848.jpg" TargetMode="External"/><Relationship Id="rId475" Type="http://schemas.openxmlformats.org/officeDocument/2006/relationships/hyperlink" Target="http://1.bp.blogspot.com/_S7TurMwfxag/S6ll4k6_qEI/AAAAAAAAAXg/_EPZolms0SM/s400/Larry_Greenberg_Greg_check.jpg" TargetMode="External"/><Relationship Id="rId596" Type="http://schemas.openxmlformats.org/officeDocument/2006/relationships/hyperlink" Target="http://www.batmobile.free.fr/English/Mettoy_Factory/Swansea_Factory.htm" TargetMode="External"/><Relationship Id="rId111" Type="http://schemas.openxmlformats.org/officeDocument/2006/relationships/hyperlink" Target="http://www.pressmantoy.com/wp-content/themes/Goliath/img/logo_pressman-min.png" TargetMode="External"/><Relationship Id="rId232" Type="http://schemas.openxmlformats.org/officeDocument/2006/relationships/hyperlink" Target="http://www.trix-twin.co.uk/Trixpeople_files/image035.jpg" TargetMode="External"/><Relationship Id="rId353" Type="http://schemas.openxmlformats.org/officeDocument/2006/relationships/hyperlink" Target="http://www.legacy.com/obituaries/nytimes/obituary.aspx?pid=168174342" TargetMode="External"/><Relationship Id="rId474" Type="http://schemas.openxmlformats.org/officeDocument/2006/relationships/hyperlink" Target="http://toydreamers.blogspot.com/2010_03_01_archive.html" TargetMode="External"/><Relationship Id="rId595" Type="http://schemas.openxmlformats.org/officeDocument/2006/relationships/hyperlink" Target="http://www.typewriters.ch/images/Ullmann_Philipp_kl.jpg" TargetMode="External"/><Relationship Id="rId305" Type="http://schemas.openxmlformats.org/officeDocument/2006/relationships/hyperlink" Target="http://jwa.org/encyclopedia/article/handler-ruth-mosko" TargetMode="External"/><Relationship Id="rId426" Type="http://schemas.openxmlformats.org/officeDocument/2006/relationships/hyperlink" Target="http://www.playgroundprofessionals.com/encyclopedia/k/reuben-klamer" TargetMode="External"/><Relationship Id="rId547" Type="http://schemas.openxmlformats.org/officeDocument/2006/relationships/hyperlink" Target="http://parade.condenast.com/38172/mitchalbom/100829-keeping-a-pinball-wizards-dream-alive/" TargetMode="External"/><Relationship Id="rId668" Type="http://schemas.openxmlformats.org/officeDocument/2006/relationships/hyperlink" Target="http://www.museumofplay.org/online-collections/3/49/97.465" TargetMode="External"/><Relationship Id="rId304" Type="http://schemas.openxmlformats.org/officeDocument/2006/relationships/hyperlink" Target="http://www.toyassociation.org/TIA/Events/HOF/Inductees/Events2/Hall_of_Fame/Hall_of_Fame_Inductees.aspx?hkey=513da8d5-c0f8-423a-be33-9a720a8b9276" TargetMode="External"/><Relationship Id="rId425" Type="http://schemas.openxmlformats.org/officeDocument/2006/relationships/hyperlink" Target="http://www.tagieawards.com/nominees-and-recipients/klamer-reuben" TargetMode="External"/><Relationship Id="rId546" Type="http://schemas.openxmlformats.org/officeDocument/2006/relationships/hyperlink" Target="http://www.sternpinball.com/" TargetMode="External"/><Relationship Id="rId667" Type="http://schemas.openxmlformats.org/officeDocument/2006/relationships/hyperlink" Target="http://www.museumofplay.org/online-collections/search/index.php?q=lite+brite" TargetMode="External"/><Relationship Id="rId303" Type="http://schemas.openxmlformats.org/officeDocument/2006/relationships/hyperlink" Target="http://i.telegraph.co.uk/multimedia/archive/01956/handler_1956627b.jpg" TargetMode="External"/><Relationship Id="rId424" Type="http://schemas.openxmlformats.org/officeDocument/2006/relationships/hyperlink" Target="http://www.toyassociation.org/TIA/Events/HOF/Inductees/Events2/Hall_of_Fame/Hall_of_Fame_Inductees.aspx?hkey=513da8d5-c0f8-423a-be33-9a720a8b9276" TargetMode="External"/><Relationship Id="rId545" Type="http://schemas.openxmlformats.org/officeDocument/2006/relationships/hyperlink" Target="http://www.pinballnews.com/news/newwebsite2.jpg" TargetMode="External"/><Relationship Id="rId666" Type="http://schemas.openxmlformats.org/officeDocument/2006/relationships/hyperlink" Target="http://www.postbulletin.com/life/lifestyles/antiques-collectibles-sand-pails-can-hold-memories/article_ce9e2a7f-dbc4-5986-a0d4-021fb1aa3647.html" TargetMode="External"/><Relationship Id="rId302" Type="http://schemas.openxmlformats.org/officeDocument/2006/relationships/hyperlink" Target="http://www.findagrave.com/cgi-bin/fg.cgi?page=gr&amp;GRid=6377504" TargetMode="External"/><Relationship Id="rId423" Type="http://schemas.openxmlformats.org/officeDocument/2006/relationships/hyperlink" Target="http://www.dispatch.com/content/graphics/2012/09/15/life-guy-art-g12jat28-1life-guy-crr1.jpg" TargetMode="External"/><Relationship Id="rId544" Type="http://schemas.openxmlformats.org/officeDocument/2006/relationships/hyperlink" Target="http://www.nytimes.com/2008/04/25/us/25pinball.html?ex=1366862400&amp;en=cf20500b61a66ca3&amp;ei=5124&amp;partner=permalink&amp;exprod=permalink&amp;_r=0" TargetMode="External"/><Relationship Id="rId665" Type="http://schemas.openxmlformats.org/officeDocument/2006/relationships/hyperlink" Target="http://nwpassage.com/Risky-Business" TargetMode="External"/><Relationship Id="rId309" Type="http://schemas.openxmlformats.org/officeDocument/2006/relationships/hyperlink" Target="http://www.fundinguniverse.com/company-histories/mattel-inc-history/" TargetMode="External"/><Relationship Id="rId308" Type="http://schemas.openxmlformats.org/officeDocument/2006/relationships/hyperlink" Target="http://img2.wikia.nocookie.net/__cb20110809224543/pixar/images/d/dc/Mattel_logo.jpg" TargetMode="External"/><Relationship Id="rId429" Type="http://schemas.openxmlformats.org/officeDocument/2006/relationships/hyperlink" Target="http://www.gonecountryantiques.com/pictures/1960-Milton-Bradley-The-Game-of-Life%281%29.jpg" TargetMode="External"/><Relationship Id="rId307" Type="http://schemas.openxmlformats.org/officeDocument/2006/relationships/hyperlink" Target="http://en.wikipedia.org/wiki/Ruth_Handler" TargetMode="External"/><Relationship Id="rId428" Type="http://schemas.openxmlformats.org/officeDocument/2006/relationships/hyperlink" Target="http://en.wikipedia.org/wiki/Reuben_Klamer" TargetMode="External"/><Relationship Id="rId549" Type="http://schemas.openxmlformats.org/officeDocument/2006/relationships/hyperlink" Target="http://www.sternpinball.com/" TargetMode="External"/><Relationship Id="rId306" Type="http://schemas.openxmlformats.org/officeDocument/2006/relationships/hyperlink" Target="http://www.pbs.org/wgbh/theymadeamerica/whomade/handler_hi.html" TargetMode="External"/><Relationship Id="rId427" Type="http://schemas.openxmlformats.org/officeDocument/2006/relationships/hyperlink" Target="http://sandiegojewishworld.com/2008-SDJW-Quarter%204/20081223-jewish-tuesday304.html" TargetMode="External"/><Relationship Id="rId548" Type="http://schemas.openxmlformats.org/officeDocument/2006/relationships/hyperlink" Target="http://en.wikipedia.org/wiki/Stern_%28game_company%29" TargetMode="External"/><Relationship Id="rId669" Type="http://schemas.openxmlformats.org/officeDocument/2006/relationships/hyperlink" Target="http://www.youtube.com/watch?v=uPEnig5DHAc" TargetMode="External"/><Relationship Id="rId660" Type="http://schemas.openxmlformats.org/officeDocument/2006/relationships/hyperlink" Target="http://www.fundinguniverse.com/company-histories/toys-r-us-inc-history/" TargetMode="External"/><Relationship Id="rId301" Type="http://schemas.openxmlformats.org/officeDocument/2006/relationships/hyperlink" Target="http://wiki.wildberries.ru/img/2013/04/KGrHqRHJDYFfZoKRjBQWQrh0QQ60_3.jpg" TargetMode="External"/><Relationship Id="rId422" Type="http://schemas.openxmlformats.org/officeDocument/2006/relationships/hyperlink" Target="http://www.museumofplay.org/online-collections/search/index.php?q=simon" TargetMode="External"/><Relationship Id="rId543" Type="http://schemas.openxmlformats.org/officeDocument/2006/relationships/hyperlink" Target="http://www.engadget.com/2014/01/09/stern-interview/" TargetMode="External"/><Relationship Id="rId664" Type="http://schemas.openxmlformats.org/officeDocument/2006/relationships/hyperlink" Target="http://www.tagieawards.com/nominees-and-recipients/meyer-burt" TargetMode="External"/><Relationship Id="rId300" Type="http://schemas.openxmlformats.org/officeDocument/2006/relationships/hyperlink" Target="http://en.wikipedia.org/wiki/Mattel" TargetMode="External"/><Relationship Id="rId421" Type="http://schemas.openxmlformats.org/officeDocument/2006/relationships/hyperlink" Target="http://upload.wikimedia.org/wikipedia/commons/thumb/9/99/OriginalSimon.jpg/200px-OriginalSimon.jpg" TargetMode="External"/><Relationship Id="rId542" Type="http://schemas.openxmlformats.org/officeDocument/2006/relationships/hyperlink" Target="http://www.nytimes.com/slideshow/2008/04/25/us/0425-PINBALL_index.html" TargetMode="External"/><Relationship Id="rId663" Type="http://schemas.openxmlformats.org/officeDocument/2006/relationships/hyperlink" Target="http://news.google.com/newspapers?nid=1300&amp;dat=19660331&amp;id=SPJUAAAAIBAJ&amp;sjid=X5MDAAAAIBAJ&amp;pg=3125,5548912" TargetMode="External"/><Relationship Id="rId420" Type="http://schemas.openxmlformats.org/officeDocument/2006/relationships/hyperlink" Target="http://en.wikipedia.org/wiki/Simon_%28game%29" TargetMode="External"/><Relationship Id="rId541" Type="http://schemas.openxmlformats.org/officeDocument/2006/relationships/hyperlink" Target="http://www.sternpinball.com/" TargetMode="External"/><Relationship Id="rId662" Type="http://schemas.openxmlformats.org/officeDocument/2006/relationships/hyperlink" Target="http://en.wikipedia.org/wiki/Toys_%22R%22_Us" TargetMode="External"/><Relationship Id="rId540" Type="http://schemas.openxmlformats.org/officeDocument/2006/relationships/hyperlink" Target="http://www.atari2600homebrew.com/uploads/1/1/0/7/11070919/7508098.jpg" TargetMode="External"/><Relationship Id="rId661" Type="http://schemas.openxmlformats.org/officeDocument/2006/relationships/hyperlink" Target="http://www.playgroundprofessionals.com/encyclopedia/t/toys-r-us" TargetMode="External"/><Relationship Id="rId415" Type="http://schemas.openxmlformats.org/officeDocument/2006/relationships/hyperlink" Target="http://ieeexplore.ieee.org/xpl/articleDetails.jsp?arnumber=6776536" TargetMode="External"/><Relationship Id="rId536" Type="http://schemas.openxmlformats.org/officeDocument/2006/relationships/hyperlink" Target="http://upload.wikimedia.org/wikipedia/commons/4/4a/Logo_2013_Google.png" TargetMode="External"/><Relationship Id="rId657" Type="http://schemas.openxmlformats.org/officeDocument/2006/relationships/hyperlink" Target="http://www.toyassociation.org/TIA/Events/HOF/Inductees/Events2/Hall_of_Fame/Hall_of_Fame_Inductees.aspx?hkey=513da8d5-c0f8-423a-be33-9a720a8b9276" TargetMode="External"/><Relationship Id="rId414" Type="http://schemas.openxmlformats.org/officeDocument/2006/relationships/hyperlink" Target="http://www.ralphbaer.com/images/rhb3a.jpg" TargetMode="External"/><Relationship Id="rId535" Type="http://schemas.openxmlformats.org/officeDocument/2006/relationships/hyperlink" Target="http://en.wikipedia.org/wiki/Noah_Falstein" TargetMode="External"/><Relationship Id="rId656" Type="http://schemas.openxmlformats.org/officeDocument/2006/relationships/hyperlink" Target="http://2.bp.blogspot.com/-Ct2V6jRAh8g/UG8irfba1rI/AAAAAAAADsg/mWgELVMtwJA/s1600/101_2923.JPG" TargetMode="External"/><Relationship Id="rId413" Type="http://schemas.openxmlformats.org/officeDocument/2006/relationships/hyperlink" Target="http://4.bp.blogspot.com/_1I7KiCuAU4k/SXVmeQfjW6I/AAAAAAAAEW8/xtR58oYmRLs/s1600-h/hungry_hungry_hippos.jpg" TargetMode="External"/><Relationship Id="rId534" Type="http://schemas.openxmlformats.org/officeDocument/2006/relationships/hyperlink" Target="http://www.theinspiracy.com/uploads/4/1/5/5/4155681/1336689614.jpg" TargetMode="External"/><Relationship Id="rId655" Type="http://schemas.openxmlformats.org/officeDocument/2006/relationships/hyperlink" Target="http://www.museumofplay.org/online-collections/1/12/113.6280" TargetMode="External"/><Relationship Id="rId412" Type="http://schemas.openxmlformats.org/officeDocument/2006/relationships/hyperlink" Target="http://www.groovyjuice.com/images/products/1335_image.jpg" TargetMode="External"/><Relationship Id="rId533" Type="http://schemas.openxmlformats.org/officeDocument/2006/relationships/hyperlink" Target="http://www.mundogamers.com/new/app/webroot/uploaded/Karateka_cover.jpg" TargetMode="External"/><Relationship Id="rId654" Type="http://schemas.openxmlformats.org/officeDocument/2006/relationships/hyperlink" Target="http://www.museumofplay.org/online-collections/images/Z009/Z00913/Z0091370.jpg" TargetMode="External"/><Relationship Id="rId419" Type="http://schemas.openxmlformats.org/officeDocument/2006/relationships/hyperlink" Target="http://en.wikipedia.org/wiki/Magnavox_Odyssey" TargetMode="External"/><Relationship Id="rId418" Type="http://schemas.openxmlformats.org/officeDocument/2006/relationships/hyperlink" Target="http://www.ralphbaer.com/images/rhb3a.jpg" TargetMode="External"/><Relationship Id="rId539" Type="http://schemas.openxmlformats.org/officeDocument/2006/relationships/hyperlink" Target="http://en.wikipedia.org/wiki/Google" TargetMode="External"/><Relationship Id="rId417" Type="http://schemas.openxmlformats.org/officeDocument/2006/relationships/hyperlink" Target="http://en.wikipedia.org/wiki/Ralph_H._Baer" TargetMode="External"/><Relationship Id="rId538" Type="http://schemas.openxmlformats.org/officeDocument/2006/relationships/hyperlink" Target="http://www.fundinguniverse.com/company-histories/google-inc-history/" TargetMode="External"/><Relationship Id="rId659" Type="http://schemas.openxmlformats.org/officeDocument/2006/relationships/hyperlink" Target="http://www.toysrus.com/shop/index.jsp?categoryId=2255956" TargetMode="External"/><Relationship Id="rId416" Type="http://schemas.openxmlformats.org/officeDocument/2006/relationships/hyperlink" Target="http://www.ralphbaer.com/" TargetMode="External"/><Relationship Id="rId537" Type="http://schemas.openxmlformats.org/officeDocument/2006/relationships/hyperlink" Target="https://www.google.com/about/company/" TargetMode="External"/><Relationship Id="rId658" Type="http://schemas.openxmlformats.org/officeDocument/2006/relationships/hyperlink" Target="http://img2.wikia.nocookie.net/__cb20131114075701/lalaloopsyland/images/a/a8/Toys-R-Us-Logo.png" TargetMode="External"/><Relationship Id="rId411" Type="http://schemas.openxmlformats.org/officeDocument/2006/relationships/hyperlink" Target="http://lifeinlegacy.com/2003/0809/KrollFred.jpg" TargetMode="External"/><Relationship Id="rId532" Type="http://schemas.openxmlformats.org/officeDocument/2006/relationships/hyperlink" Target="http://en.wikipedia.org/wiki/Smoking_Car_Productions" TargetMode="External"/><Relationship Id="rId653" Type="http://schemas.openxmlformats.org/officeDocument/2006/relationships/hyperlink" Target="http://www.playgroundprofessionals.com/encyclopedia/h/hasbro" TargetMode="External"/><Relationship Id="rId410" Type="http://schemas.openxmlformats.org/officeDocument/2006/relationships/hyperlink" Target="http://books.google.es/books?id=H9kSRbYITlYC&amp;pg=PT26&amp;dq=fred+kroll&amp;hl=en&amp;sa=X&amp;ei=GedEVNi0J6ac7gbrjoCQAQ&amp;redir_esc=y" TargetMode="External"/><Relationship Id="rId531" Type="http://schemas.openxmlformats.org/officeDocument/2006/relationships/hyperlink" Target="http://en.wikipedia.org/wiki/Jordan_Mechner" TargetMode="External"/><Relationship Id="rId652" Type="http://schemas.openxmlformats.org/officeDocument/2006/relationships/hyperlink" Target="http://www.fundinguniverse.com/company-histories/hasbro-inc-history/" TargetMode="External"/><Relationship Id="rId530" Type="http://schemas.openxmlformats.org/officeDocument/2006/relationships/hyperlink" Target="http://almostnerdy.com/wp-content/uploads/2012/02/jordanmechner_23290_screen.jpg" TargetMode="External"/><Relationship Id="rId651" Type="http://schemas.openxmlformats.org/officeDocument/2006/relationships/hyperlink" Target="http://grantland.com/hollywood-prospectus/don-levine-gi-joe-obituary/" TargetMode="External"/><Relationship Id="rId650" Type="http://schemas.openxmlformats.org/officeDocument/2006/relationships/hyperlink" Target="http://www.washingtonpost.com/world/national-security/cia-hatched-plan-to-make-demon-toy-to-counter-bin-laden-influence/2014/06/19/cb3d571c-f0d0-11e3-914c-1fbd0614e2d4_story.html" TargetMode="External"/><Relationship Id="rId206" Type="http://schemas.openxmlformats.org/officeDocument/2006/relationships/hyperlink" Target="http://en.wikipedia.org/wiki/Chicago_Coin" TargetMode="External"/><Relationship Id="rId327" Type="http://schemas.openxmlformats.org/officeDocument/2006/relationships/hyperlink" Target="http://ecx.images-amazon.com/images/I/51w7qLiwoRL._SY300_.jpg" TargetMode="External"/><Relationship Id="rId448" Type="http://schemas.openxmlformats.org/officeDocument/2006/relationships/hyperlink" Target="http://www.cnn.com/2012/10/10/tech/rubiks-cube-inventor" TargetMode="External"/><Relationship Id="rId569" Type="http://schemas.openxmlformats.org/officeDocument/2006/relationships/hyperlink" Target="http://www.realityonthenorm.info/images/games/10.gif" TargetMode="External"/><Relationship Id="rId205" Type="http://schemas.openxmlformats.org/officeDocument/2006/relationships/hyperlink" Target="http://www.chicagocoin.com/" TargetMode="External"/><Relationship Id="rId326" Type="http://schemas.openxmlformats.org/officeDocument/2006/relationships/hyperlink" Target="http://unclemilton.com/" TargetMode="External"/><Relationship Id="rId447" Type="http://schemas.openxmlformats.org/officeDocument/2006/relationships/hyperlink" Target="https://lh5.googleusercontent.com/-ZEUH9E9p7Wk/AAAAAAAAAAI/AAAAAAAAAxA/xEzfg8XPiIo/photo.jpg" TargetMode="External"/><Relationship Id="rId568" Type="http://schemas.openxmlformats.org/officeDocument/2006/relationships/hyperlink" Target="http://en.wikipedia.org/wiki/Wadjet_Eye_Games" TargetMode="External"/><Relationship Id="rId689" Type="http://schemas.openxmlformats.org/officeDocument/2006/relationships/hyperlink" Target="http://www.israel21c.org/culture/rummikub-is-the-chairman-of-the-board/" TargetMode="External"/><Relationship Id="rId204" Type="http://schemas.openxmlformats.org/officeDocument/2006/relationships/hyperlink" Target="http://www.pinballrescue.net/Images/door_chicago.jpg" TargetMode="External"/><Relationship Id="rId325" Type="http://schemas.openxmlformats.org/officeDocument/2006/relationships/hyperlink" Target="https://mcneilldesigns.files.wordpress.com/2011/01/milton.jpg" TargetMode="External"/><Relationship Id="rId446" Type="http://schemas.openxmlformats.org/officeDocument/2006/relationships/hyperlink" Target="http://www.playgroundprofessionals.com/encyclopedia/t/theora-design" TargetMode="External"/><Relationship Id="rId567" Type="http://schemas.openxmlformats.org/officeDocument/2006/relationships/hyperlink" Target="http://adventure-game.wikia.com/wiki/Dave_Gilbert" TargetMode="External"/><Relationship Id="rId688" Type="http://schemas.openxmlformats.org/officeDocument/2006/relationships/hyperlink" Target="http://www.haaretz.com/print-edition/business/hertzano-family-plays-with-hasbro-again-1.115812" TargetMode="External"/><Relationship Id="rId203" Type="http://schemas.openxmlformats.org/officeDocument/2006/relationships/hyperlink" Target="http://en.wikipedia.org/wiki/Chicago_Coin" TargetMode="External"/><Relationship Id="rId324" Type="http://schemas.openxmlformats.org/officeDocument/2006/relationships/hyperlink" Target="http://money.cnn.com/magazines/fsb/fsb_archive/2002/11/01/331972/" TargetMode="External"/><Relationship Id="rId445" Type="http://schemas.openxmlformats.org/officeDocument/2006/relationships/hyperlink" Target="http://theoradesign.com/assets/images/B2/001001B.jpg" TargetMode="External"/><Relationship Id="rId566" Type="http://schemas.openxmlformats.org/officeDocument/2006/relationships/hyperlink" Target="http://www.wadjeteyegames.com/" TargetMode="External"/><Relationship Id="rId687" Type="http://schemas.openxmlformats.org/officeDocument/2006/relationships/hyperlink" Target="http://www.tnelson.demon.co.uk/mastermind/history.html" TargetMode="External"/><Relationship Id="rId209" Type="http://schemas.openxmlformats.org/officeDocument/2006/relationships/hyperlink" Target="http://www.pinballrescue.net/Images/door_chicago.jpg" TargetMode="External"/><Relationship Id="rId208" Type="http://schemas.openxmlformats.org/officeDocument/2006/relationships/hyperlink" Target="http://en.wikipedia.org/wiki/Chicago_Coin" TargetMode="External"/><Relationship Id="rId329" Type="http://schemas.openxmlformats.org/officeDocument/2006/relationships/hyperlink" Target="http://www.toyassociation.org/TIA/Events/HOF/Inductees/Events2/Hall_of_Fame/Hall_of_Fame_Inductees.aspx?hkey=513da8d5-c0f8-423a-be33-9a720a8b9276" TargetMode="External"/><Relationship Id="rId207" Type="http://schemas.openxmlformats.org/officeDocument/2006/relationships/hyperlink" Target="http://www.geni.com/people/Samuel-Wolberg/4433325470510015458" TargetMode="External"/><Relationship Id="rId328" Type="http://schemas.openxmlformats.org/officeDocument/2006/relationships/hyperlink" Target="http://www.kennercollector.com/wp-content/uploads/2010/09/Albert-Steiner.jpg" TargetMode="External"/><Relationship Id="rId449" Type="http://schemas.openxmlformats.org/officeDocument/2006/relationships/hyperlink" Target="http://israeljewishnews.blogspot.com/2009/02/mozel-tov-professor-rubik-rubiks-360.html" TargetMode="External"/><Relationship Id="rId440" Type="http://schemas.openxmlformats.org/officeDocument/2006/relationships/hyperlink" Target="http://www.museumofplay.org/online-collections/search/index.php?q=troll+doll" TargetMode="External"/><Relationship Id="rId561" Type="http://schemas.openxmlformats.org/officeDocument/2006/relationships/hyperlink" Target="http://www.mobygames.com/game/deus-ex" TargetMode="External"/><Relationship Id="rId682" Type="http://schemas.openxmlformats.org/officeDocument/2006/relationships/hyperlink" Target="http://njmonthly.com/articles/lifestyle/people/funny-business%20-%202.html" TargetMode="External"/><Relationship Id="rId560" Type="http://schemas.openxmlformats.org/officeDocument/2006/relationships/hyperlink" Target="http://www.sjgames.com/toon/img/toon-lg.jpg" TargetMode="External"/><Relationship Id="rId681" Type="http://schemas.openxmlformats.org/officeDocument/2006/relationships/hyperlink" Target="http://money.cnn.com/galleries/2011/smallbusiness/1110/gallery.christmas_hot_toys/" TargetMode="External"/><Relationship Id="rId680" Type="http://schemas.openxmlformats.org/officeDocument/2006/relationships/hyperlink" Target="http://news.google.com/newspapers?nid=1291&amp;dat=19861109&amp;id=qxdVAAAAIBAJ&amp;sjid=gpMDAAAAIBAJ&amp;pg=5763,2701661" TargetMode="External"/><Relationship Id="rId202" Type="http://schemas.openxmlformats.org/officeDocument/2006/relationships/hyperlink" Target="http://www.playgroundprofessionals.com/encyclopedia/f/fisher-price" TargetMode="External"/><Relationship Id="rId323" Type="http://schemas.openxmlformats.org/officeDocument/2006/relationships/hyperlink" Target="http://www.debbieschlussel.com/32134/milton-levine-ant-farm-inventor-wwii-vet-proud-jewish-american/" TargetMode="External"/><Relationship Id="rId444" Type="http://schemas.openxmlformats.org/officeDocument/2006/relationships/hyperlink" Target="http://www.playgroundprofessionals.com/encyclopedia/t/theora-design" TargetMode="External"/><Relationship Id="rId565" Type="http://schemas.openxmlformats.org/officeDocument/2006/relationships/hyperlink" Target="http://www.wadjeteyegames.com/wp-content/themes/wadjet/images/logo.png" TargetMode="External"/><Relationship Id="rId686" Type="http://schemas.openxmlformats.org/officeDocument/2006/relationships/hyperlink" Target="http://books.google.com/books?id=JrslMKTgSZwC&amp;pg=PA442&amp;lpg=PA442&amp;dq=Mordecai+Meirowitz&amp;source=bl&amp;ots=Vt7A4QMSKG&amp;sig=wlZcvzeEyAvPCxXxq3572lBY1QY&amp;hl=en&amp;sa=X&amp;ei=eh4fVMWkKNS3yASvxoLICg&amp;ved=0CHUQ6AEwDg" TargetMode="External"/><Relationship Id="rId201" Type="http://schemas.openxmlformats.org/officeDocument/2006/relationships/hyperlink" Target="http://www.fundinguniverse.com/company-histories/fisher-price-inc-history/" TargetMode="External"/><Relationship Id="rId322" Type="http://schemas.openxmlformats.org/officeDocument/2006/relationships/hyperlink" Target="http://d3trabu2dfbdfb.cloudfront.net/8/3/837913_300x300_1.jpeg" TargetMode="External"/><Relationship Id="rId443" Type="http://schemas.openxmlformats.org/officeDocument/2006/relationships/hyperlink" Target="http://www.mastermindtoys.com/" TargetMode="External"/><Relationship Id="rId564" Type="http://schemas.openxmlformats.org/officeDocument/2006/relationships/hyperlink" Target="http://www.gamasutra.com/view/feature/1816/are_there_any_jews_in_the_.php" TargetMode="External"/><Relationship Id="rId685" Type="http://schemas.openxmlformats.org/officeDocument/2006/relationships/hyperlink" Target="http://www.jewishscenemagazine.com/2013/11/a-toy-story/" TargetMode="External"/><Relationship Id="rId200" Type="http://schemas.openxmlformats.org/officeDocument/2006/relationships/hyperlink" Target="http://www.nndb.com/people/228/000178691/" TargetMode="External"/><Relationship Id="rId321" Type="http://schemas.openxmlformats.org/officeDocument/2006/relationships/hyperlink" Target="http://articles.latimes.com/2011/jan/26/local/la-me-milton-levine-20110126" TargetMode="External"/><Relationship Id="rId442" Type="http://schemas.openxmlformats.org/officeDocument/2006/relationships/hyperlink" Target="http://tandgcon.com/business-of-play/theora-design-recognized-with-tagie-lifetime-achievement-award" TargetMode="External"/><Relationship Id="rId563" Type="http://schemas.openxmlformats.org/officeDocument/2006/relationships/hyperlink" Target="http://www.rockpapershotgun.com/2014/03/31/interview-dave-gilbert-on-adventures-blackwell-pixels/" TargetMode="External"/><Relationship Id="rId684" Type="http://schemas.openxmlformats.org/officeDocument/2006/relationships/hyperlink" Target="http://www.wickedcooltoys.com/" TargetMode="External"/><Relationship Id="rId320" Type="http://schemas.openxmlformats.org/officeDocument/2006/relationships/hyperlink" Target="http://www.museumofplay.org/online-collections/search/index.php?q=magic+8+ball" TargetMode="External"/><Relationship Id="rId441" Type="http://schemas.openxmlformats.org/officeDocument/2006/relationships/hyperlink" Target="http://www.tagieawards.com/nominees-and-recipients/coster-theo-and-ora" TargetMode="External"/><Relationship Id="rId562" Type="http://schemas.openxmlformats.org/officeDocument/2006/relationships/hyperlink" Target="http://www.adventurecorner.de/images/davegilbert_header.jpg" TargetMode="External"/><Relationship Id="rId683" Type="http://schemas.openxmlformats.org/officeDocument/2006/relationships/hyperlink" Target="http://njmonthly.com/articles/lifestyle/people/funny-business%20-%202.html" TargetMode="External"/><Relationship Id="rId316" Type="http://schemas.openxmlformats.org/officeDocument/2006/relationships/hyperlink" Target="http://i1.wp.com/libapps.libraries.uc.edu/liblog/wp-content/uploads/2012/02/bookman.jpg?w=591" TargetMode="External"/><Relationship Id="rId437" Type="http://schemas.openxmlformats.org/officeDocument/2006/relationships/hyperlink" Target="http://www.fundinguniverse.com/company-histories/russ-berrie-and-company-inc-history/" TargetMode="External"/><Relationship Id="rId558" Type="http://schemas.openxmlformats.org/officeDocument/2006/relationships/hyperlink" Target="http://en.wikipedia.org/wiki/Junction_Point_Studios" TargetMode="External"/><Relationship Id="rId679" Type="http://schemas.openxmlformats.org/officeDocument/2006/relationships/hyperlink" Target="http://www.playgroundprofessionals.com/encyclopedia/h/hasbro" TargetMode="External"/><Relationship Id="rId315" Type="http://schemas.openxmlformats.org/officeDocument/2006/relationships/hyperlink" Target="http://www.jewornotjew.com/img/people/a/abe_bookman.jpg" TargetMode="External"/><Relationship Id="rId436" Type="http://schemas.openxmlformats.org/officeDocument/2006/relationships/hyperlink" Target="http://media.marketwire.com/attachments/201403/231338_logo.jpg" TargetMode="External"/><Relationship Id="rId557" Type="http://schemas.openxmlformats.org/officeDocument/2006/relationships/hyperlink" Target="http://www.giantbomb.com/junction-point-studios/3010-6886/" TargetMode="External"/><Relationship Id="rId678" Type="http://schemas.openxmlformats.org/officeDocument/2006/relationships/hyperlink" Target="http://www.fundinguniverse.com/company-histories/hasbro-inc-history/" TargetMode="External"/><Relationship Id="rId314" Type="http://schemas.openxmlformats.org/officeDocument/2006/relationships/hyperlink" Target="http://www.museumofplay.org/online-collections/search/index.php?q=barbie" TargetMode="External"/><Relationship Id="rId435" Type="http://schemas.openxmlformats.org/officeDocument/2006/relationships/hyperlink" Target="http://www.toyassociation.org/TIA/Events/HOF/Inductees/Events2/Hall_of_Fame/Hall_of_Fame_Inductees.aspx?hkey=513da8d5-c0f8-423a-be33-9a720a8b9276" TargetMode="External"/><Relationship Id="rId556" Type="http://schemas.openxmlformats.org/officeDocument/2006/relationships/hyperlink" Target="http://www.mcvuk.com/cimages/d91b87fb4396e2efa3e075bfe00b219e.png" TargetMode="External"/><Relationship Id="rId677" Type="http://schemas.openxmlformats.org/officeDocument/2006/relationships/hyperlink" Target="http://atca-club.org/article12.php" TargetMode="External"/><Relationship Id="rId313" Type="http://schemas.openxmlformats.org/officeDocument/2006/relationships/hyperlink" Target="http://www.toyhalloffame.org/toys/barbie" TargetMode="External"/><Relationship Id="rId434" Type="http://schemas.openxmlformats.org/officeDocument/2006/relationships/hyperlink" Target="http://russellberriefoundation.org/files/2015/12/photo_russ.jpg" TargetMode="External"/><Relationship Id="rId555" Type="http://schemas.openxmlformats.org/officeDocument/2006/relationships/hyperlink" Target="http://en.wikipedia.org/wiki/Warren_Spector" TargetMode="External"/><Relationship Id="rId676" Type="http://schemas.openxmlformats.org/officeDocument/2006/relationships/hyperlink" Target="http://www.tagieawards.com/presenters/levy-richard" TargetMode="External"/><Relationship Id="rId319" Type="http://schemas.openxmlformats.org/officeDocument/2006/relationships/hyperlink" Target="http://www.baronbob.com/images/custom/magiceightballboxmain.jpg" TargetMode="External"/><Relationship Id="rId318" Type="http://schemas.openxmlformats.org/officeDocument/2006/relationships/hyperlink" Target="http://i1.wp.com/libapps.libraries.uc.edu/liblog/wp-content/uploads/2012/02/8ball-original.jpg?w=245" TargetMode="External"/><Relationship Id="rId439" Type="http://schemas.openxmlformats.org/officeDocument/2006/relationships/hyperlink" Target="https://upload.wikimedia.org/wikipedia/en/thumb/9/93/Wizard_troll_doll-low_res.jpg/220px-Wizard_troll_doll-low_res.jpg" TargetMode="External"/><Relationship Id="rId317" Type="http://schemas.openxmlformats.org/officeDocument/2006/relationships/hyperlink" Target="http://magazine.uc.edu/famousalumni/designers/magic8.html" TargetMode="External"/><Relationship Id="rId438" Type="http://schemas.openxmlformats.org/officeDocument/2006/relationships/hyperlink" Target="https://s-media-cache-ak0.pinimg.com/736x/96/71/d2/9671d2926aaaab52f42f2971d2b6fdd0.jpg" TargetMode="External"/><Relationship Id="rId559" Type="http://schemas.openxmlformats.org/officeDocument/2006/relationships/hyperlink" Target="http://en.wikipedia.org/wiki/Toon_%28role-playing_game%29" TargetMode="External"/><Relationship Id="rId550" Type="http://schemas.openxmlformats.org/officeDocument/2006/relationships/hyperlink" Target="http://www.videoamusement.com/wp-content/uploads/2014/08/harley-pinball.jpg" TargetMode="External"/><Relationship Id="rId671" Type="http://schemas.openxmlformats.org/officeDocument/2006/relationships/hyperlink" Target="http://thebiggamehunter.com/inventors/sid-sackson/" TargetMode="External"/><Relationship Id="rId670" Type="http://schemas.openxmlformats.org/officeDocument/2006/relationships/hyperlink" Target="http://en.wikipedia.org/wiki/Rock_%27Em_Sock_%27Em_Robots" TargetMode="External"/><Relationship Id="rId312" Type="http://schemas.openxmlformats.org/officeDocument/2006/relationships/hyperlink" Target="https://changingfacesofbarbie.files.wordpress.com/2015/04/cropped-original-barbie-doll.jpg" TargetMode="External"/><Relationship Id="rId433" Type="http://schemas.openxmlformats.org/officeDocument/2006/relationships/hyperlink" Target="http://www.nytimes.com/2002/12/27/business/russell-berrie-69-founder-of-a-toy-and-gift-company.html" TargetMode="External"/><Relationship Id="rId554" Type="http://schemas.openxmlformats.org/officeDocument/2006/relationships/hyperlink" Target="http://www.mobygames.com/developer/sheet/view/developerId,127/" TargetMode="External"/><Relationship Id="rId675" Type="http://schemas.openxmlformats.org/officeDocument/2006/relationships/hyperlink" Target="http://www.playgroundprofessionals.com/encyclopedia/c/coleco" TargetMode="External"/><Relationship Id="rId311" Type="http://schemas.openxmlformats.org/officeDocument/2006/relationships/hyperlink" Target="http://en.wikipedia.org/wiki/Mattel" TargetMode="External"/><Relationship Id="rId432" Type="http://schemas.openxmlformats.org/officeDocument/2006/relationships/hyperlink" Target="https://s-media-cache-ak0.pinimg.com/236x/c9/ec/e6/c9ece6c4bd384e93f6d26e528afa0f21.jpg" TargetMode="External"/><Relationship Id="rId553" Type="http://schemas.openxmlformats.org/officeDocument/2006/relationships/hyperlink" Target="http://www.redbull.co.uk/cs/userfiles/image/WarrenSpector_casual.jpg" TargetMode="External"/><Relationship Id="rId674" Type="http://schemas.openxmlformats.org/officeDocument/2006/relationships/hyperlink" Target="http://www.fundinguniverse.com/company-histories/toy-biz-inc-history/" TargetMode="External"/><Relationship Id="rId310" Type="http://schemas.openxmlformats.org/officeDocument/2006/relationships/hyperlink" Target="http://www.playgroundprofessionals.com/encyclopedia/m/mattel" TargetMode="External"/><Relationship Id="rId431" Type="http://schemas.openxmlformats.org/officeDocument/2006/relationships/hyperlink" Target="http://www.museumofplay.org/online-collections/3/48/108.6136" TargetMode="External"/><Relationship Id="rId552" Type="http://schemas.openxmlformats.org/officeDocument/2006/relationships/hyperlink" Target="http://www.ipdb.org/machine.cgi?id=6046" TargetMode="External"/><Relationship Id="rId673" Type="http://schemas.openxmlformats.org/officeDocument/2006/relationships/hyperlink" Target="https://en.wikipedia.org/wiki/Isaac_Perlmutter" TargetMode="External"/><Relationship Id="rId430" Type="http://schemas.openxmlformats.org/officeDocument/2006/relationships/hyperlink" Target="http://www.toyhalloffame.org/toys/game-life" TargetMode="External"/><Relationship Id="rId551" Type="http://schemas.openxmlformats.org/officeDocument/2006/relationships/hyperlink" Target="http://cdn.arstechnica.net/wp-content/uploads/2013/09/stern-star-trek-intro.jpg" TargetMode="External"/><Relationship Id="rId672" Type="http://schemas.openxmlformats.org/officeDocument/2006/relationships/hyperlink" Target="http://railwaypages.com/manufacturer-histori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9.14"/>
    <col customWidth="1" min="2" max="2" width="8.86"/>
    <col customWidth="1" min="3" max="3" width="23.43"/>
    <col customWidth="1" min="4" max="5" width="11.86"/>
    <col customWidth="1" min="6" max="6" width="13.0"/>
    <col customWidth="1" min="7" max="7" width="21.0"/>
    <col customWidth="1" min="8" max="8" width="81.14"/>
    <col customWidth="1" min="11" max="11" width="20.14"/>
    <col customWidth="1" min="13" max="13" width="27.71"/>
    <col customWidth="1" min="14" max="14" width="19.14"/>
    <col customWidth="1" min="20" max="20" width="20.43"/>
    <col customWidth="1" min="21" max="21" width="11.71"/>
    <col customWidth="1" min="24" max="24" width="20.57"/>
    <col customWidth="1" min="26" max="26" width="17.86"/>
    <col customWidth="1" min="27" max="27" width="19.86"/>
    <col customWidth="1" min="28" max="28" width="24.43"/>
    <col customWidth="1" min="29" max="29" width="19.14"/>
    <col customWidth="1" min="30" max="30" width="30.86"/>
    <col customWidth="1" min="37" max="37" width="23.29"/>
  </cols>
  <sheetData>
    <row r="1">
      <c r="A1" s="1"/>
      <c r="B1" s="2" t="s">
        <v>0</v>
      </c>
      <c r="C1" s="2" t="s">
        <v>1</v>
      </c>
      <c r="D1" s="3"/>
      <c r="E1" s="3" t="s">
        <v>2</v>
      </c>
      <c r="F1" s="4" t="s">
        <v>3</v>
      </c>
      <c r="G1" s="2" t="s">
        <v>4</v>
      </c>
      <c r="H1" s="5" t="s">
        <v>5</v>
      </c>
      <c r="I1" s="5" t="s">
        <v>6</v>
      </c>
      <c r="J1" s="2" t="s">
        <v>7</v>
      </c>
      <c r="K1" s="2" t="s">
        <v>8</v>
      </c>
      <c r="L1" s="6" t="s">
        <v>9</v>
      </c>
      <c r="M1" s="7" t="s">
        <v>10</v>
      </c>
      <c r="N1" s="2" t="s">
        <v>11</v>
      </c>
      <c r="O1" s="2"/>
      <c r="P1" s="2" t="s">
        <v>12</v>
      </c>
      <c r="Q1" s="2" t="s">
        <v>13</v>
      </c>
      <c r="R1" s="2" t="s">
        <v>14</v>
      </c>
      <c r="S1" s="8" t="s">
        <v>15</v>
      </c>
      <c r="T1" s="8" t="s">
        <v>16</v>
      </c>
      <c r="U1" s="9" t="s">
        <v>17</v>
      </c>
      <c r="V1" s="5" t="s">
        <v>18</v>
      </c>
      <c r="W1" s="5" t="s">
        <v>16</v>
      </c>
      <c r="X1" s="5" t="s">
        <v>19</v>
      </c>
      <c r="Y1" s="9" t="s">
        <v>20</v>
      </c>
      <c r="Z1" s="5" t="s">
        <v>21</v>
      </c>
      <c r="AA1" s="5" t="s">
        <v>22</v>
      </c>
      <c r="AB1" s="5" t="s">
        <v>23</v>
      </c>
      <c r="AC1" s="5" t="s">
        <v>24</v>
      </c>
      <c r="AD1" s="5" t="s">
        <v>25</v>
      </c>
      <c r="AE1" s="9" t="s">
        <v>5</v>
      </c>
      <c r="AF1" s="7" t="s">
        <v>26</v>
      </c>
      <c r="AG1" s="7" t="s">
        <v>27</v>
      </c>
      <c r="AH1" s="7" t="s">
        <v>28</v>
      </c>
      <c r="AI1" s="7" t="s">
        <v>29</v>
      </c>
      <c r="AJ1" s="10" t="s">
        <v>17</v>
      </c>
      <c r="AK1" s="7" t="s">
        <v>30</v>
      </c>
      <c r="AL1" s="7" t="s">
        <v>29</v>
      </c>
      <c r="AM1" s="7" t="s">
        <v>16</v>
      </c>
      <c r="AN1" s="10" t="s">
        <v>17</v>
      </c>
      <c r="AO1" s="7" t="s">
        <v>31</v>
      </c>
      <c r="AP1" s="7" t="s">
        <v>32</v>
      </c>
      <c r="AQ1" s="7" t="s">
        <v>33</v>
      </c>
      <c r="AR1" s="7" t="s">
        <v>34</v>
      </c>
      <c r="AS1" s="7" t="s">
        <v>34</v>
      </c>
      <c r="AT1" s="7" t="s">
        <v>30</v>
      </c>
      <c r="AU1" s="7" t="s">
        <v>29</v>
      </c>
      <c r="AV1" s="10" t="s">
        <v>17</v>
      </c>
      <c r="AW1" s="7" t="s">
        <v>31</v>
      </c>
      <c r="AX1" s="7" t="s">
        <v>32</v>
      </c>
      <c r="AY1" s="7" t="s">
        <v>33</v>
      </c>
      <c r="AZ1" s="7" t="s">
        <v>34</v>
      </c>
      <c r="BA1" s="7" t="s">
        <v>34</v>
      </c>
    </row>
    <row r="2">
      <c r="A2" s="11" t="s">
        <v>35</v>
      </c>
      <c r="B2" s="12"/>
      <c r="C2" s="12" t="s">
        <v>36</v>
      </c>
      <c r="D2" s="13"/>
      <c r="E2" s="13"/>
      <c r="F2" s="14"/>
      <c r="G2" s="15"/>
      <c r="H2" s="12"/>
      <c r="I2" s="12"/>
      <c r="J2" s="12"/>
      <c r="K2" s="15"/>
      <c r="L2" s="12"/>
      <c r="M2" s="12"/>
      <c r="N2" s="15"/>
      <c r="O2" s="15"/>
      <c r="P2" s="12"/>
      <c r="Q2" s="12"/>
      <c r="R2" s="15"/>
      <c r="S2" s="15"/>
      <c r="T2" s="15"/>
      <c r="U2" s="12"/>
      <c r="V2" s="12"/>
      <c r="W2" s="12"/>
      <c r="X2" s="12"/>
      <c r="Y2" s="15"/>
      <c r="Z2" s="15"/>
      <c r="AA2" s="15"/>
      <c r="AB2" s="15"/>
      <c r="AC2" s="15"/>
      <c r="AD2" s="15"/>
      <c r="AE2" s="12"/>
      <c r="AF2" s="15"/>
      <c r="AG2" s="15"/>
      <c r="AH2" s="12"/>
      <c r="AI2" s="15"/>
      <c r="AJ2" s="15"/>
      <c r="AK2" s="15"/>
      <c r="AL2" s="15"/>
      <c r="AM2" s="15"/>
      <c r="AN2" s="15"/>
      <c r="AO2" s="15"/>
      <c r="AP2" s="15"/>
      <c r="AQ2" s="15"/>
      <c r="AR2" s="15"/>
      <c r="AS2" s="15"/>
      <c r="AT2" s="16"/>
      <c r="AU2" s="16"/>
      <c r="AV2" s="16"/>
      <c r="AW2" s="16"/>
      <c r="AX2" s="16"/>
      <c r="AY2" s="16"/>
      <c r="AZ2" s="16"/>
      <c r="BA2" s="16"/>
      <c r="BB2" s="17"/>
      <c r="BC2" s="17"/>
      <c r="BD2" s="17"/>
      <c r="BE2" s="17"/>
      <c r="BF2" s="17"/>
      <c r="BG2" s="17"/>
      <c r="BH2" s="17"/>
    </row>
    <row r="3">
      <c r="A3" s="2" t="s">
        <v>37</v>
      </c>
      <c r="B3" s="18"/>
      <c r="C3" s="6" t="s">
        <v>38</v>
      </c>
      <c r="D3" s="13"/>
      <c r="E3" s="13"/>
      <c r="F3" s="14"/>
      <c r="G3" s="15"/>
      <c r="H3" s="12"/>
      <c r="I3" s="12"/>
      <c r="J3" s="12"/>
      <c r="K3" s="15"/>
      <c r="L3" s="12"/>
      <c r="M3" s="12"/>
      <c r="N3" s="15"/>
      <c r="O3" s="15"/>
      <c r="P3" s="12"/>
      <c r="Q3" s="12"/>
      <c r="R3" s="15"/>
      <c r="S3" s="15"/>
      <c r="T3" s="15"/>
      <c r="U3" s="12"/>
      <c r="V3" s="12"/>
      <c r="W3" s="12"/>
      <c r="X3" s="12"/>
      <c r="Y3" s="15"/>
      <c r="Z3" s="15"/>
      <c r="AA3" s="15"/>
      <c r="AB3" s="15"/>
      <c r="AC3" s="15"/>
      <c r="AD3" s="15"/>
      <c r="AE3" s="12"/>
      <c r="AF3" s="15"/>
      <c r="AG3" s="15"/>
      <c r="AH3" s="12"/>
      <c r="AI3" s="15"/>
      <c r="AJ3" s="15"/>
      <c r="AK3" s="15"/>
      <c r="AL3" s="15"/>
      <c r="AM3" s="15"/>
      <c r="AN3" s="15"/>
      <c r="AO3" s="15"/>
      <c r="AP3" s="15"/>
      <c r="AQ3" s="15"/>
      <c r="AR3" s="15"/>
      <c r="AS3" s="15"/>
      <c r="AT3" s="16"/>
      <c r="AU3" s="16"/>
      <c r="AV3" s="16"/>
      <c r="AW3" s="16"/>
      <c r="AX3" s="16"/>
      <c r="AY3" s="16"/>
      <c r="AZ3" s="16"/>
      <c r="BA3" s="16"/>
      <c r="BB3" s="17"/>
      <c r="BC3" s="17"/>
      <c r="BD3" s="17"/>
      <c r="BE3" s="17"/>
      <c r="BF3" s="17"/>
      <c r="BG3" s="17"/>
      <c r="BH3" s="17"/>
    </row>
    <row r="4">
      <c r="A4" s="19" t="s">
        <v>39</v>
      </c>
      <c r="B4" s="18"/>
      <c r="C4" s="6" t="s">
        <v>40</v>
      </c>
      <c r="D4" s="13"/>
      <c r="E4" s="13"/>
      <c r="F4" s="14"/>
      <c r="G4" s="15"/>
      <c r="H4" s="12"/>
      <c r="I4" s="12"/>
      <c r="J4" s="12"/>
      <c r="K4" s="15"/>
      <c r="L4" s="12"/>
      <c r="M4" s="12"/>
      <c r="N4" s="15"/>
      <c r="O4" s="15"/>
      <c r="P4" s="12"/>
      <c r="Q4" s="12"/>
      <c r="R4" s="15"/>
      <c r="S4" s="15"/>
      <c r="T4" s="15"/>
      <c r="U4" s="12"/>
      <c r="V4" s="12"/>
      <c r="W4" s="12"/>
      <c r="X4" s="12"/>
      <c r="Y4" s="15"/>
      <c r="Z4" s="15"/>
      <c r="AA4" s="15"/>
      <c r="AB4" s="15"/>
      <c r="AC4" s="15"/>
      <c r="AD4" s="15"/>
      <c r="AE4" s="12"/>
      <c r="AF4" s="15"/>
      <c r="AG4" s="15"/>
      <c r="AH4" s="12"/>
      <c r="AI4" s="15"/>
      <c r="AJ4" s="15"/>
      <c r="AK4" s="15"/>
      <c r="AL4" s="15"/>
      <c r="AM4" s="15"/>
      <c r="AN4" s="15"/>
      <c r="AO4" s="15"/>
      <c r="AP4" s="15"/>
      <c r="AQ4" s="15"/>
      <c r="AR4" s="15"/>
      <c r="AS4" s="15"/>
      <c r="AT4" s="16"/>
      <c r="AU4" s="16"/>
      <c r="AV4" s="16"/>
      <c r="AW4" s="16"/>
      <c r="AX4" s="16"/>
      <c r="AY4" s="16"/>
      <c r="AZ4" s="16"/>
      <c r="BA4" s="16"/>
      <c r="BB4" s="17"/>
      <c r="BC4" s="17"/>
      <c r="BD4" s="17"/>
      <c r="BE4" s="17"/>
      <c r="BF4" s="17"/>
      <c r="BG4" s="17"/>
      <c r="BH4" s="17"/>
    </row>
    <row r="5">
      <c r="A5" s="20" t="s">
        <v>41</v>
      </c>
      <c r="B5" s="18"/>
      <c r="C5" s="6" t="s">
        <v>42</v>
      </c>
      <c r="D5" s="13"/>
      <c r="E5" s="13"/>
      <c r="F5" s="14"/>
      <c r="G5" s="15"/>
      <c r="H5" s="12"/>
      <c r="I5" s="12"/>
      <c r="J5" s="12"/>
      <c r="K5" s="15"/>
      <c r="L5" s="12"/>
      <c r="M5" s="12"/>
      <c r="N5" s="15"/>
      <c r="O5" s="15"/>
      <c r="P5" s="12"/>
      <c r="Q5" s="12"/>
      <c r="R5" s="15"/>
      <c r="S5" s="15"/>
      <c r="T5" s="15"/>
      <c r="U5" s="12"/>
      <c r="V5" s="12"/>
      <c r="W5" s="12"/>
      <c r="X5" s="12"/>
      <c r="Y5" s="15"/>
      <c r="Z5" s="15"/>
      <c r="AA5" s="15"/>
      <c r="AB5" s="15"/>
      <c r="AC5" s="15"/>
      <c r="AD5" s="15"/>
      <c r="AE5" s="12"/>
      <c r="AF5" s="15"/>
      <c r="AG5" s="15"/>
      <c r="AH5" s="12"/>
      <c r="AI5" s="15"/>
      <c r="AJ5" s="15"/>
      <c r="AK5" s="15"/>
      <c r="AL5" s="15"/>
      <c r="AM5" s="15"/>
      <c r="AN5" s="15"/>
      <c r="AO5" s="15"/>
      <c r="AP5" s="15"/>
      <c r="AQ5" s="15"/>
      <c r="AR5" s="15"/>
      <c r="AS5" s="15"/>
      <c r="AT5" s="16"/>
      <c r="AU5" s="16"/>
      <c r="AV5" s="16"/>
      <c r="AW5" s="16"/>
      <c r="AX5" s="16"/>
      <c r="AY5" s="16"/>
      <c r="AZ5" s="16"/>
      <c r="BA5" s="16"/>
      <c r="BB5" s="17"/>
      <c r="BC5" s="17"/>
      <c r="BD5" s="17"/>
      <c r="BE5" s="17"/>
      <c r="BF5" s="17"/>
      <c r="BG5" s="17"/>
      <c r="BH5" s="17"/>
    </row>
    <row r="6">
      <c r="A6" s="21" t="s">
        <v>43</v>
      </c>
      <c r="B6" s="12"/>
      <c r="C6" s="12" t="s">
        <v>44</v>
      </c>
      <c r="D6" s="13"/>
      <c r="E6" s="13"/>
      <c r="F6" s="14"/>
      <c r="G6" s="15"/>
      <c r="H6" s="12"/>
      <c r="I6" s="12"/>
      <c r="J6" s="12"/>
      <c r="K6" s="15"/>
      <c r="L6" s="12"/>
      <c r="M6" s="12"/>
      <c r="N6" s="15"/>
      <c r="O6" s="15"/>
      <c r="P6" s="12"/>
      <c r="Q6" s="12"/>
      <c r="R6" s="15"/>
      <c r="S6" s="15"/>
      <c r="T6" s="15"/>
      <c r="U6" s="12"/>
      <c r="V6" s="12"/>
      <c r="W6" s="12"/>
      <c r="X6" s="12"/>
      <c r="Y6" s="15"/>
      <c r="Z6" s="15"/>
      <c r="AA6" s="15"/>
      <c r="AB6" s="15"/>
      <c r="AC6" s="15"/>
      <c r="AD6" s="15"/>
      <c r="AE6" s="12"/>
      <c r="AF6" s="15"/>
      <c r="AG6" s="15"/>
      <c r="AH6" s="12"/>
      <c r="AI6" s="15"/>
      <c r="AJ6" s="15"/>
      <c r="AK6" s="15"/>
      <c r="AL6" s="15"/>
      <c r="AM6" s="15"/>
      <c r="AN6" s="15"/>
      <c r="AO6" s="15"/>
      <c r="AP6" s="15"/>
      <c r="AQ6" s="15"/>
      <c r="AR6" s="15"/>
      <c r="AS6" s="15"/>
      <c r="AT6" s="16"/>
      <c r="AU6" s="16"/>
      <c r="AV6" s="16"/>
      <c r="AW6" s="16"/>
      <c r="AX6" s="16"/>
      <c r="AY6" s="16"/>
      <c r="AZ6" s="16"/>
      <c r="BA6" s="16"/>
      <c r="BB6" s="17"/>
      <c r="BC6" s="17"/>
      <c r="BD6" s="17"/>
      <c r="BE6" s="17"/>
      <c r="BF6" s="17"/>
      <c r="BG6" s="17"/>
      <c r="BH6" s="17"/>
    </row>
    <row r="7">
      <c r="A7" s="22" t="s">
        <v>45</v>
      </c>
      <c r="B7" s="12"/>
      <c r="C7" s="12" t="s">
        <v>46</v>
      </c>
      <c r="D7" s="13"/>
      <c r="E7" s="13"/>
      <c r="F7" s="14"/>
      <c r="G7" s="15"/>
      <c r="H7" s="12"/>
      <c r="I7" s="12"/>
      <c r="J7" s="12"/>
      <c r="K7" s="15"/>
      <c r="L7" s="12"/>
      <c r="M7" s="12"/>
      <c r="N7" s="15"/>
      <c r="O7" s="15"/>
      <c r="P7" s="12"/>
      <c r="Q7" s="12"/>
      <c r="R7" s="15"/>
      <c r="S7" s="15"/>
      <c r="T7" s="15"/>
      <c r="U7" s="12"/>
      <c r="V7" s="12"/>
      <c r="W7" s="12"/>
      <c r="X7" s="12"/>
      <c r="Y7" s="15"/>
      <c r="Z7" s="15"/>
      <c r="AA7" s="15"/>
      <c r="AB7" s="15"/>
      <c r="AC7" s="15"/>
      <c r="AD7" s="15"/>
      <c r="AE7" s="12"/>
      <c r="AF7" s="15"/>
      <c r="AG7" s="15"/>
      <c r="AH7" s="12"/>
      <c r="AI7" s="15"/>
      <c r="AJ7" s="15"/>
      <c r="AK7" s="15"/>
      <c r="AL7" s="15"/>
      <c r="AM7" s="15"/>
      <c r="AN7" s="15"/>
      <c r="AO7" s="15"/>
      <c r="AP7" s="15"/>
      <c r="AQ7" s="15"/>
      <c r="AR7" s="15"/>
      <c r="AS7" s="15"/>
      <c r="AT7" s="16"/>
      <c r="AU7" s="16"/>
      <c r="AV7" s="16"/>
      <c r="AW7" s="16"/>
      <c r="AX7" s="16"/>
      <c r="AY7" s="16"/>
      <c r="AZ7" s="16"/>
      <c r="BA7" s="16"/>
      <c r="BB7" s="17"/>
      <c r="BC7" s="17"/>
      <c r="BD7" s="17"/>
      <c r="BE7" s="17"/>
      <c r="BF7" s="17"/>
      <c r="BG7" s="17"/>
      <c r="BH7" s="17"/>
    </row>
    <row r="8">
      <c r="A8" s="23" t="s">
        <v>47</v>
      </c>
      <c r="B8" s="12"/>
      <c r="C8" s="12" t="s">
        <v>48</v>
      </c>
      <c r="D8" s="13"/>
      <c r="E8" s="13"/>
      <c r="F8" s="14"/>
      <c r="G8" s="15"/>
      <c r="H8" s="12"/>
      <c r="I8" s="12"/>
      <c r="J8" s="12"/>
      <c r="K8" s="15"/>
      <c r="L8" s="12"/>
      <c r="M8" s="12"/>
      <c r="N8" s="15"/>
      <c r="O8" s="15"/>
      <c r="P8" s="12"/>
      <c r="Q8" s="12"/>
      <c r="R8" s="15"/>
      <c r="S8" s="15"/>
      <c r="T8" s="15"/>
      <c r="U8" s="12"/>
      <c r="V8" s="12"/>
      <c r="W8" s="12"/>
      <c r="X8" s="12"/>
      <c r="Y8" s="15"/>
      <c r="Z8" s="15"/>
      <c r="AA8" s="15"/>
      <c r="AB8" s="15"/>
      <c r="AC8" s="15"/>
      <c r="AD8" s="15"/>
      <c r="AE8" s="12"/>
      <c r="AF8" s="15"/>
      <c r="AG8" s="15"/>
      <c r="AH8" s="12"/>
      <c r="AI8" s="15"/>
      <c r="AJ8" s="15"/>
      <c r="AK8" s="15"/>
      <c r="AL8" s="15"/>
      <c r="AM8" s="15"/>
      <c r="AN8" s="15"/>
      <c r="AO8" s="15"/>
      <c r="AP8" s="15"/>
      <c r="AQ8" s="15"/>
      <c r="AR8" s="15"/>
      <c r="AS8" s="15"/>
      <c r="AT8" s="16"/>
      <c r="AU8" s="16"/>
      <c r="AV8" s="16"/>
      <c r="AW8" s="16"/>
      <c r="AX8" s="16"/>
      <c r="AY8" s="16"/>
      <c r="AZ8" s="16"/>
      <c r="BA8" s="16"/>
      <c r="BB8" s="17"/>
      <c r="BC8" s="17"/>
      <c r="BD8" s="17"/>
      <c r="BE8" s="17"/>
      <c r="BF8" s="17"/>
      <c r="BG8" s="17"/>
      <c r="BH8" s="17"/>
    </row>
    <row r="9">
      <c r="A9" s="11" t="s">
        <v>49</v>
      </c>
      <c r="B9" s="12"/>
      <c r="C9" s="12" t="s">
        <v>50</v>
      </c>
      <c r="D9" s="13"/>
      <c r="E9" s="13"/>
      <c r="F9" s="14"/>
      <c r="G9" s="15"/>
      <c r="H9" s="12"/>
      <c r="I9" s="12"/>
      <c r="J9" s="12"/>
      <c r="K9" s="15"/>
      <c r="L9" s="12"/>
      <c r="M9" s="12"/>
      <c r="N9" s="15"/>
      <c r="O9" s="15"/>
      <c r="P9" s="12"/>
      <c r="Q9" s="12"/>
      <c r="R9" s="15"/>
      <c r="S9" s="15"/>
      <c r="T9" s="15"/>
      <c r="U9" s="12"/>
      <c r="V9" s="12"/>
      <c r="W9" s="12"/>
      <c r="X9" s="12"/>
      <c r="Y9" s="15"/>
      <c r="Z9" s="15"/>
      <c r="AA9" s="15"/>
      <c r="AB9" s="15"/>
      <c r="AC9" s="15"/>
      <c r="AD9" s="15"/>
      <c r="AE9" s="12"/>
      <c r="AF9" s="15"/>
      <c r="AG9" s="15"/>
      <c r="AH9" s="12"/>
      <c r="AI9" s="15"/>
      <c r="AJ9" s="15"/>
      <c r="AK9" s="15"/>
      <c r="AL9" s="15"/>
      <c r="AM9" s="15"/>
      <c r="AN9" s="15"/>
      <c r="AO9" s="15"/>
      <c r="AP9" s="15"/>
      <c r="AQ9" s="15"/>
      <c r="AR9" s="15"/>
      <c r="AS9" s="15"/>
      <c r="AT9" s="16"/>
      <c r="AU9" s="16"/>
      <c r="AV9" s="16"/>
      <c r="AW9" s="16"/>
      <c r="AX9" s="16"/>
      <c r="AY9" s="16"/>
      <c r="AZ9" s="16"/>
      <c r="BA9" s="16"/>
      <c r="BB9" s="17"/>
      <c r="BC9" s="17"/>
      <c r="BD9" s="17"/>
      <c r="BE9" s="17"/>
      <c r="BF9" s="17"/>
      <c r="BG9" s="17"/>
      <c r="BH9" s="17"/>
    </row>
    <row r="10">
      <c r="A10" s="23" t="s">
        <v>51</v>
      </c>
      <c r="B10" s="24" t="s">
        <v>52</v>
      </c>
      <c r="C10" s="24" t="s">
        <v>53</v>
      </c>
      <c r="D10" s="25" t="str">
        <f t="shared" ref="D10:D12" si="1">TRUE</f>
        <v>TRUE</v>
      </c>
      <c r="E10" s="25">
        <v>1800.0</v>
      </c>
      <c r="F10" s="26">
        <v>1860.0</v>
      </c>
      <c r="G10" s="27"/>
      <c r="H10" s="6" t="s">
        <v>54</v>
      </c>
      <c r="I10" s="6">
        <v>1832.0</v>
      </c>
      <c r="J10" s="6" t="s">
        <v>55</v>
      </c>
      <c r="K10" s="27" t="s">
        <v>56</v>
      </c>
      <c r="L10" s="6"/>
      <c r="M10" s="6" t="s">
        <v>56</v>
      </c>
      <c r="N10" s="28" t="str">
        <f>HYPERLINK("http://www.wopc.co.uk/usa/nyccc/cohen.html","The World of Playing Cards:Lewis I Cohen")</f>
        <v>The World of Playing Cards:Lewis I Cohen</v>
      </c>
      <c r="O10" s="28" t="str">
        <f>HYPERLINK("http://whiteknucklecards.com/history/cohen.html","WhiteKnucle Playing Cards:Lewis I Cohen")</f>
        <v>WhiteKnucle Playing Cards:Lewis I Cohen</v>
      </c>
      <c r="P10" s="6" t="s">
        <v>56</v>
      </c>
      <c r="Q10" s="6" t="s">
        <v>56</v>
      </c>
      <c r="R10" s="28" t="str">
        <f>HYPERLINK("http://en.wikipedia.org/wiki/Lewis_Cohen_%28cardmaker%29","Lewis I Cohen")</f>
        <v>Lewis I Cohen</v>
      </c>
      <c r="S10" s="28" t="str">
        <f>HYPERLINK("http://www.whiteknucklecards.com/history/images/LICohenAce.jpg","Cohen Logo")</f>
        <v>Cohen Logo</v>
      </c>
      <c r="T10" s="27" t="s">
        <v>57</v>
      </c>
      <c r="U10" s="6"/>
      <c r="V10" s="6" t="s">
        <v>58</v>
      </c>
      <c r="W10" s="6"/>
      <c r="X10" s="6">
        <v>1871.0</v>
      </c>
      <c r="Y10" s="27"/>
      <c r="Z10" s="27" t="s">
        <v>56</v>
      </c>
      <c r="AA10" s="27" t="s">
        <v>56</v>
      </c>
      <c r="AB10" s="27" t="s">
        <v>56</v>
      </c>
      <c r="AC10" s="27" t="s">
        <v>56</v>
      </c>
      <c r="AD10" s="27" t="s">
        <v>56</v>
      </c>
      <c r="AE10" s="6" t="s">
        <v>54</v>
      </c>
      <c r="AF10" s="27" t="s">
        <v>59</v>
      </c>
      <c r="AG10" s="27"/>
      <c r="AH10" s="6">
        <v>1835.0</v>
      </c>
      <c r="AI10" s="27"/>
      <c r="AJ10" s="27"/>
      <c r="AK10" s="27" t="s">
        <v>60</v>
      </c>
      <c r="AL10" s="28" t="str">
        <f>HYPERLINK("http://www.wopc.co.uk/images/countries/usa/nyccc/li-cohen-1.jpg","Playing Cards")</f>
        <v>Playing Cards</v>
      </c>
      <c r="AM10" s="27"/>
      <c r="AN10" s="27"/>
      <c r="AO10" s="27"/>
      <c r="AP10" s="28" t="str">
        <f>HYPERLINK("http://www.toyhalloffame.org/toys/playing-cards","Toy Hall of Fame: Playing Cards")</f>
        <v>Toy Hall of Fame: Playing Cards</v>
      </c>
      <c r="AQ10" s="27"/>
      <c r="AR10" s="27"/>
      <c r="AS10" s="27"/>
      <c r="AT10" s="18"/>
      <c r="AU10" s="18"/>
      <c r="AV10" s="18"/>
      <c r="AW10" s="18"/>
      <c r="AX10" s="18"/>
      <c r="AY10" s="18"/>
      <c r="AZ10" s="18"/>
      <c r="BA10" s="18"/>
    </row>
    <row r="11">
      <c r="A11" s="24" t="s">
        <v>61</v>
      </c>
      <c r="B11" s="24" t="s">
        <v>62</v>
      </c>
      <c r="C11" s="24" t="s">
        <v>63</v>
      </c>
      <c r="D11" s="25" t="str">
        <f t="shared" si="1"/>
        <v>TRUE</v>
      </c>
      <c r="E11" s="25">
        <v>1836.0</v>
      </c>
      <c r="F11" s="26">
        <v>1911.0</v>
      </c>
      <c r="G11" s="6" t="s">
        <v>56</v>
      </c>
      <c r="H11" s="6" t="s">
        <v>64</v>
      </c>
      <c r="I11" s="6">
        <v>1862.0</v>
      </c>
      <c r="J11" s="6" t="s">
        <v>65</v>
      </c>
      <c r="K11" s="29" t="str">
        <f>HYPERLINK("http://upload.wikimedia.org/wikipedia/en/thumb/a/a2/Frederick_August_Otto_Schwarz.jpg/150px-Frederick_August_Otto_Schwarz.jpg","Frederick Schwarz")</f>
        <v>Frederick Schwarz</v>
      </c>
      <c r="L11" s="18"/>
      <c r="M11" s="28" t="str">
        <f>HYPERLINK("http://www.toyassociation.org/TIA/Events/HOF/Inductees/Events2/Hall_of_Fame/Hall_of_Fame_Inductees.aspx?hkey=513da8d5-c0f8-423a-be33-9a720a8b9276#.VB2nXOcu9xo","TIA Hall of Fame")</f>
        <v>TIA Hall of Fame</v>
      </c>
      <c r="N11" s="6" t="s">
        <v>56</v>
      </c>
      <c r="O11" s="28" t="str">
        <f>HYPERLINK("http://fortune.com/2015/07/15/photos-fao-schwarz-history-2/","Fortune: Remembering FAO Schwarz")</f>
        <v>Fortune: Remembering FAO Schwarz</v>
      </c>
      <c r="P11" s="28" t="str">
        <f>HYPERLINK("http://www.charmcityhistory.com/2014/06/baltimores-own-toy-story-schwarz-and.html","Charm Chity History:Baltimore's Own Toy Store")</f>
        <v>Charm Chity History:Baltimore's Own Toy Store</v>
      </c>
      <c r="Q11" s="6" t="s">
        <v>56</v>
      </c>
      <c r="R11" s="29" t="str">
        <f>HYPERLINK("http://en.wikipedia.org/wiki/Frederick_August_Otto_Schwarz","FAO Schwarz")</f>
        <v>FAO Schwarz</v>
      </c>
      <c r="S11" s="29" t="str">
        <f>HYPERLINK("http://www.fao.com/images/header1.jpg","FAO Schwarz Logo")</f>
        <v>FAO Schwarz Logo</v>
      </c>
      <c r="T11" s="27" t="s">
        <v>66</v>
      </c>
      <c r="U11" s="18"/>
      <c r="V11" s="6" t="s">
        <v>67</v>
      </c>
      <c r="W11" s="6"/>
      <c r="X11" s="6" t="s">
        <v>68</v>
      </c>
      <c r="Y11" s="18"/>
      <c r="Z11" s="29" t="str">
        <f>HYPERLINK("http://www.fao.com/home/index.jsp","FAO Scwarz")</f>
        <v>FAO Scwarz</v>
      </c>
      <c r="AA11" s="27" t="s">
        <v>56</v>
      </c>
      <c r="AB11" s="29" t="str">
        <f>HYPERLINK("http://www.playgroundprofessionals.com/encyclopedia/f/fao-schwarz","Playground Professionals: FAO Shwarz")</f>
        <v>Playground Professionals: FAO Shwarz</v>
      </c>
      <c r="AC11" s="28" t="str">
        <f>HYPERLINK("http://en.wikipedia.org/wiki/FAO_Schwarz","Wikipedia: FAO Schwarz")</f>
        <v>Wikipedia: FAO Schwarz</v>
      </c>
      <c r="AD11" s="27" t="s">
        <v>56</v>
      </c>
      <c r="AE11" s="6" t="s">
        <v>64</v>
      </c>
      <c r="AF11" s="6" t="s">
        <v>56</v>
      </c>
      <c r="AG11" s="6"/>
      <c r="AH11" s="6" t="s">
        <v>56</v>
      </c>
      <c r="AI11" s="29" t="str">
        <f>HYPERLINK("https://fortunedotcom.files.wordpress.com/2015/07/ap_7305220399.jpg?quality=80&amp;w=1024&amp;h=693","Storefront")</f>
        <v>Storefront</v>
      </c>
      <c r="AJ11" s="18"/>
      <c r="AK11" s="28" t="str">
        <f>HYPERLINK("http://www.fao.com/shop/index.jsp?categoryId=11534102","What Nots")</f>
        <v>What Nots</v>
      </c>
      <c r="AL11" s="18"/>
      <c r="AM11" s="18"/>
      <c r="AN11" s="18"/>
      <c r="AO11" s="18"/>
      <c r="AP11" s="18"/>
      <c r="AQ11" s="18"/>
      <c r="AR11" s="18"/>
      <c r="AS11" s="18"/>
      <c r="AT11" s="18"/>
      <c r="AU11" s="18"/>
      <c r="AV11" s="18"/>
      <c r="AW11" s="18"/>
      <c r="AX11" s="18"/>
      <c r="AY11" s="18"/>
      <c r="AZ11" s="18"/>
      <c r="BA11" s="18"/>
    </row>
    <row r="12">
      <c r="A12" s="24" t="s">
        <v>69</v>
      </c>
      <c r="B12" s="30"/>
      <c r="C12" s="24" t="s">
        <v>70</v>
      </c>
      <c r="D12" s="25" t="str">
        <f t="shared" si="1"/>
        <v>TRUE</v>
      </c>
      <c r="E12" s="25">
        <v>1840.0</v>
      </c>
      <c r="F12" s="26">
        <v>1918.0</v>
      </c>
      <c r="G12" s="6" t="s">
        <v>56</v>
      </c>
      <c r="H12" s="6" t="s">
        <v>71</v>
      </c>
      <c r="I12" s="6">
        <v>1863.0</v>
      </c>
      <c r="J12" s="6" t="s">
        <v>72</v>
      </c>
      <c r="K12" s="29" t="str">
        <f>HYPERLINK("http://www.binghoehle.de/docs/22ignaz_Bing.jpg","Ignaz Bing")</f>
        <v>Ignaz Bing</v>
      </c>
      <c r="L12" s="18"/>
      <c r="M12" s="6" t="s">
        <v>56</v>
      </c>
      <c r="N12" s="31" t="str">
        <f>HYPERLINK("https://www.facebook.com/permalink.php?story_fbid=519324094765035&amp;id=250446571672651","modelleisenbahn-figuren:BIng Brothers")</f>
        <v>modelleisenbahn-figuren:BIng Brothers</v>
      </c>
      <c r="O12" s="28" t="str">
        <f>HYPERLINK("http://en.wikipedia.org/wiki/Bing_%28company%29","WIkipedia:Bing Brothers")</f>
        <v>WIkipedia:Bing Brothers</v>
      </c>
      <c r="P12" s="28" t="str">
        <f>HYPERLINK("http://www.bing-museum.de/spielzeugmuseum-freinsheim---bing-museum.php","Bing Museum")</f>
        <v>Bing Museum</v>
      </c>
      <c r="Q12" s="28" t="str">
        <f>HYPERLINK("http://www.brightontoymuseum.co.uk/wiki/Category:Bing","Brighton Toy Museum:Category Bing")</f>
        <v>Brighton Toy Museum:Category Bing</v>
      </c>
      <c r="R12" s="18"/>
      <c r="S12" s="29" t="str">
        <f>HYPERLINK("http://upload.wikimedia.org/wikipedia/commons/thumb/9/9a/Bing_Werke_logo_1924.svg/600px-Bing_Werke_logo_1924.svg.png","Original Bing Logo")</f>
        <v>Original Bing Logo</v>
      </c>
      <c r="T12" s="27" t="s">
        <v>73</v>
      </c>
      <c r="U12" s="18"/>
      <c r="V12" s="6" t="s">
        <v>74</v>
      </c>
      <c r="W12" s="6"/>
      <c r="X12" s="6">
        <v>1932.0</v>
      </c>
      <c r="Y12" s="18"/>
      <c r="Z12" s="29" t="str">
        <f>HYPERLINK("http://www.gebrbing.com/english/about/default.html","Gebruder Bing")</f>
        <v>Gebruder Bing</v>
      </c>
      <c r="AA12" s="27" t="s">
        <v>56</v>
      </c>
      <c r="AB12" s="27" t="s">
        <v>56</v>
      </c>
      <c r="AC12" s="29" t="str">
        <f>HYPERLINK("http://en.wikipedia.org/wiki/Bing_%28company%29","Wikipedia: Bing")</f>
        <v>Wikipedia: Bing</v>
      </c>
      <c r="AD12" s="27" t="s">
        <v>56</v>
      </c>
      <c r="AE12" s="6" t="s">
        <v>71</v>
      </c>
      <c r="AF12" s="6" t="s">
        <v>75</v>
      </c>
      <c r="AG12" s="6"/>
      <c r="AH12" s="6">
        <v>1880.0</v>
      </c>
      <c r="AI12" s="18"/>
      <c r="AJ12" s="18"/>
      <c r="AK12" s="6" t="s">
        <v>76</v>
      </c>
      <c r="AL12" s="18"/>
      <c r="AM12" s="18"/>
      <c r="AN12" s="18"/>
      <c r="AO12" s="18"/>
      <c r="AP12" s="18"/>
      <c r="AQ12" s="18"/>
      <c r="AR12" s="18"/>
      <c r="AS12" s="18"/>
      <c r="AT12" s="18"/>
      <c r="AU12" s="18"/>
      <c r="AV12" s="18"/>
      <c r="AW12" s="18"/>
      <c r="AX12" s="18"/>
      <c r="AY12" s="18"/>
      <c r="AZ12" s="18"/>
      <c r="BA12" s="18"/>
    </row>
    <row r="13">
      <c r="A13" s="19" t="s">
        <v>77</v>
      </c>
      <c r="B13" s="32"/>
      <c r="C13" s="19" t="s">
        <v>70</v>
      </c>
      <c r="D13" s="25" t="b">
        <v>0</v>
      </c>
      <c r="E13" s="33"/>
      <c r="F13" s="34"/>
      <c r="G13" s="18"/>
      <c r="H13" s="6" t="s">
        <v>71</v>
      </c>
      <c r="I13" s="6">
        <v>1863.0</v>
      </c>
      <c r="J13" s="18"/>
      <c r="K13" s="18"/>
      <c r="L13" s="18"/>
      <c r="M13" s="18"/>
      <c r="N13" s="18"/>
      <c r="O13" s="18"/>
      <c r="P13" s="18"/>
      <c r="Q13" s="18"/>
      <c r="R13" s="18"/>
      <c r="S13" s="18"/>
      <c r="T13" s="18"/>
      <c r="U13" s="18"/>
      <c r="V13" s="6" t="s">
        <v>74</v>
      </c>
      <c r="W13" s="6"/>
      <c r="X13" s="6">
        <v>1932.0</v>
      </c>
      <c r="Y13" s="18"/>
      <c r="Z13" s="29" t="str">
        <f>HYPERLINK("http://www.gebrbing.com/english/default.html","Gebruder Bing")</f>
        <v>Gebruder Bing</v>
      </c>
      <c r="AA13" s="18"/>
      <c r="AB13" s="18"/>
      <c r="AC13" s="18"/>
      <c r="AD13" s="18"/>
      <c r="AE13" s="6" t="s">
        <v>71</v>
      </c>
      <c r="AF13" s="18"/>
      <c r="AG13" s="18"/>
      <c r="AH13" s="18"/>
      <c r="AI13" s="18"/>
      <c r="AJ13" s="18"/>
      <c r="AK13" s="18"/>
      <c r="AL13" s="18"/>
      <c r="AM13" s="18"/>
      <c r="AN13" s="18"/>
      <c r="AO13" s="18"/>
      <c r="AP13" s="18"/>
      <c r="AQ13" s="18"/>
      <c r="AR13" s="18"/>
      <c r="AS13" s="18"/>
      <c r="AT13" s="18"/>
      <c r="AU13" s="18"/>
      <c r="AV13" s="18"/>
      <c r="AW13" s="18"/>
      <c r="AX13" s="18"/>
      <c r="AY13" s="18"/>
      <c r="AZ13" s="18"/>
      <c r="BA13" s="18"/>
    </row>
    <row r="14">
      <c r="A14" s="19" t="s">
        <v>78</v>
      </c>
      <c r="B14" s="32"/>
      <c r="C14" s="19" t="s">
        <v>79</v>
      </c>
      <c r="D14" s="25" t="str">
        <f t="shared" ref="D14:D15" si="2">TRUE</f>
        <v>TRUE</v>
      </c>
      <c r="E14" s="33"/>
      <c r="F14" s="34"/>
      <c r="G14" s="18"/>
      <c r="H14" s="6" t="s">
        <v>80</v>
      </c>
      <c r="I14" s="6">
        <v>1875.0</v>
      </c>
      <c r="J14" s="18"/>
      <c r="K14" s="18"/>
      <c r="L14" s="18"/>
      <c r="M14" s="18"/>
      <c r="N14" s="18"/>
      <c r="O14" s="18"/>
      <c r="P14" s="18"/>
      <c r="Q14" s="18"/>
      <c r="R14" s="18"/>
      <c r="S14" s="28" t="str">
        <f>HYPERLINK("http://www.dream-tintoys.com/index.php?page=detail&amp;nr=817","DreamTintoys")</f>
        <v>DreamTintoys</v>
      </c>
      <c r="T14" s="27"/>
      <c r="U14" s="18"/>
      <c r="V14" s="6" t="s">
        <v>81</v>
      </c>
      <c r="W14" s="6"/>
      <c r="X14" s="6" t="s">
        <v>68</v>
      </c>
      <c r="Y14" s="18"/>
      <c r="Z14" s="29" t="str">
        <f>HYPERLINK("http://mokotoys.com/","Moko Toys")</f>
        <v>Moko Toys</v>
      </c>
      <c r="AA14" s="27" t="s">
        <v>56</v>
      </c>
      <c r="AB14" s="18"/>
      <c r="AC14" s="18"/>
      <c r="AD14" s="28" t="str">
        <f>HYPERLINK("http://www.mokolesneymatchbox.com/Articles/moko-lesney-history.html","Moko Lesney Matchbox")</f>
        <v>Moko Lesney Matchbox</v>
      </c>
      <c r="AE14" s="6" t="s">
        <v>80</v>
      </c>
      <c r="AF14" s="18"/>
      <c r="AG14" s="18"/>
      <c r="AH14" s="18"/>
      <c r="AI14" s="18"/>
      <c r="AJ14" s="18"/>
      <c r="AK14" s="18"/>
      <c r="AL14" s="18"/>
      <c r="AM14" s="18"/>
      <c r="AN14" s="18"/>
      <c r="AO14" s="18"/>
      <c r="AP14" s="18"/>
      <c r="AQ14" s="18"/>
      <c r="AR14" s="18"/>
      <c r="AS14" s="18"/>
      <c r="AT14" s="18"/>
      <c r="AU14" s="18"/>
      <c r="AV14" s="18"/>
      <c r="AW14" s="18"/>
      <c r="AX14" s="18"/>
      <c r="AY14" s="18"/>
      <c r="AZ14" s="18"/>
      <c r="BA14" s="18"/>
    </row>
    <row r="15">
      <c r="A15" s="24" t="s">
        <v>82</v>
      </c>
      <c r="B15" s="24" t="s">
        <v>83</v>
      </c>
      <c r="C15" s="24" t="s">
        <v>84</v>
      </c>
      <c r="D15" s="25" t="str">
        <f t="shared" si="2"/>
        <v>TRUE</v>
      </c>
      <c r="E15" s="25">
        <v>1832.0</v>
      </c>
      <c r="F15" s="26">
        <v>1893.0</v>
      </c>
      <c r="G15" s="6" t="s">
        <v>85</v>
      </c>
      <c r="H15" s="6" t="s">
        <v>86</v>
      </c>
      <c r="I15" s="6">
        <v>1879.0</v>
      </c>
      <c r="J15" s="6" t="s">
        <v>87</v>
      </c>
      <c r="K15" s="6" t="s">
        <v>56</v>
      </c>
      <c r="L15" s="18"/>
      <c r="M15" s="6" t="s">
        <v>56</v>
      </c>
      <c r="N15" s="6" t="s">
        <v>56</v>
      </c>
      <c r="O15" s="18"/>
      <c r="P15" s="6" t="s">
        <v>56</v>
      </c>
      <c r="Q15" s="28" t="str">
        <f>HYPERLINK("http://archive.is/m4NZA","Spears Game Archive")</f>
        <v>Spears Game Archive</v>
      </c>
      <c r="R15" s="6" t="s">
        <v>56</v>
      </c>
      <c r="S15" s="29" t="str">
        <f>HYPERLINK("http://upload.wikimedia.org/wikipedia/en/thumb/0/04/Spears-games-brand.jpg/338px-Spears-games-brand.jpg","Spear and Sons Logo")</f>
        <v>Spear and Sons Logo</v>
      </c>
      <c r="T15" s="27" t="s">
        <v>88</v>
      </c>
      <c r="U15" s="18"/>
      <c r="V15" s="6" t="s">
        <v>81</v>
      </c>
      <c r="W15" s="6"/>
      <c r="X15" s="6">
        <v>1994.0</v>
      </c>
      <c r="Y15" s="6" t="s">
        <v>89</v>
      </c>
      <c r="Z15" s="27" t="s">
        <v>56</v>
      </c>
      <c r="AA15" s="18"/>
      <c r="AB15" s="28" t="str">
        <f>HYPERLINK("http://www.wopc.co.uk/games/spears/","World of Playing Cards: Spears")</f>
        <v>World of Playing Cards: Spears</v>
      </c>
      <c r="AC15" s="28" t="str">
        <f>HYPERLINK("http://translate.google.com/translate?hl=en&amp;sl=de&amp;u=http://de.wikipedia.org/wiki/Spear-Spiele&amp;prev=/search%3Fq%3Djakob%2Bwolf%2Bspier%26client%3Dfirefox-a%26hs%3DBvF%26rls%3Dorg.mozilla:en-US:official%26channel%3Dsb","German Wikipedia:Spear Games")</f>
        <v>German Wikipedia:Spear Games</v>
      </c>
      <c r="AD15" s="28" t="str">
        <f>HYPERLINK("http://en.wikipedia.org/wiki/J._W._Spear_%26_Sons","Wikipedia:J.W. Spear and Sons")</f>
        <v>Wikipedia:J.W. Spear and Sons</v>
      </c>
      <c r="AE15" s="6" t="s">
        <v>86</v>
      </c>
      <c r="AF15" s="27" t="s">
        <v>90</v>
      </c>
      <c r="AG15" s="6" t="s">
        <v>91</v>
      </c>
      <c r="AH15" s="27">
        <v>1900.0</v>
      </c>
      <c r="AI15" s="28" t="s">
        <v>92</v>
      </c>
      <c r="AJ15" s="18"/>
      <c r="AK15" s="6" t="s">
        <v>93</v>
      </c>
      <c r="AL15" s="28" t="str">
        <f>HYPERLINK("http://www.wopc.co.uk/images/subjects/games/spears-happy-families-3.jpg","http://www.wopc.co.uk/assets/images/subjects/games/spears/happy-families-box.jpg")</f>
        <v>http://www.wopc.co.uk/assets/images/subjects/games/spears/happy-families-box.jpg</v>
      </c>
      <c r="AM15" s="6" t="s">
        <v>94</v>
      </c>
      <c r="AN15" s="18"/>
      <c r="AO15" s="6">
        <v>1925.0</v>
      </c>
      <c r="AP15" s="18"/>
      <c r="AQ15" s="18"/>
      <c r="AR15" s="18"/>
      <c r="AS15" s="18"/>
      <c r="AT15" s="28" t="str">
        <f>HYPERLINK("http://www.museumofplay.org/online-collections/images/Z008/Z00847/Z0084724.jpg","The Jolly Old Maid")</f>
        <v>The Jolly Old Maid</v>
      </c>
      <c r="AU15" s="18"/>
      <c r="AV15" s="18"/>
      <c r="AW15" s="18"/>
      <c r="AX15" s="18"/>
      <c r="AY15" s="18"/>
      <c r="AZ15" s="18"/>
      <c r="BA15" s="18"/>
    </row>
    <row r="16">
      <c r="A16" s="19" t="s">
        <v>95</v>
      </c>
      <c r="B16" s="35"/>
      <c r="C16" s="20" t="s">
        <v>96</v>
      </c>
      <c r="D16" s="25" t="b">
        <v>0</v>
      </c>
      <c r="E16" s="33"/>
      <c r="F16" s="34"/>
      <c r="G16" s="18"/>
      <c r="H16" s="6" t="s">
        <v>97</v>
      </c>
      <c r="I16" s="6">
        <v>1890.0</v>
      </c>
      <c r="J16" s="18"/>
      <c r="K16" s="18"/>
      <c r="L16" s="18"/>
      <c r="M16" s="18"/>
      <c r="N16" s="18"/>
      <c r="O16" s="18"/>
      <c r="P16" s="18"/>
      <c r="Q16" s="18"/>
      <c r="R16" s="18"/>
      <c r="S16" s="18"/>
      <c r="T16" s="18"/>
      <c r="U16" s="18"/>
      <c r="V16" s="18"/>
      <c r="W16" s="18"/>
      <c r="X16" s="18"/>
      <c r="Y16" s="18"/>
      <c r="Z16" s="18"/>
      <c r="AA16" s="18"/>
      <c r="AB16" s="18"/>
      <c r="AC16" s="18"/>
      <c r="AD16" s="18"/>
      <c r="AE16" s="28" t="str">
        <f>HYPERLINK("http://atca-club.org/article12.php","Lewin Minkowski and Son")</f>
        <v>Lewin Minkowski and Son</v>
      </c>
      <c r="AF16" s="18"/>
      <c r="AG16" s="18"/>
      <c r="AH16" s="18"/>
      <c r="AI16" s="18"/>
      <c r="AJ16" s="18"/>
      <c r="AK16" s="18"/>
      <c r="AL16" s="18"/>
      <c r="AM16" s="18"/>
      <c r="AN16" s="18"/>
      <c r="AO16" s="18"/>
      <c r="AP16" s="18"/>
      <c r="AQ16" s="18"/>
      <c r="AR16" s="18"/>
      <c r="AS16" s="18"/>
      <c r="AT16" s="18"/>
      <c r="AU16" s="18"/>
      <c r="AV16" s="18"/>
      <c r="AW16" s="18"/>
      <c r="AX16" s="18"/>
      <c r="AY16" s="18"/>
      <c r="AZ16" s="18"/>
      <c r="BA16" s="18"/>
    </row>
    <row r="17">
      <c r="A17" s="2" t="s">
        <v>98</v>
      </c>
      <c r="B17" s="32"/>
      <c r="C17" s="20" t="s">
        <v>99</v>
      </c>
      <c r="D17" s="25" t="b">
        <v>0</v>
      </c>
      <c r="E17" s="33"/>
      <c r="F17" s="34"/>
      <c r="G17" s="18"/>
      <c r="H17" s="6" t="s">
        <v>100</v>
      </c>
      <c r="I17" s="6">
        <v>1898.0</v>
      </c>
      <c r="J17" s="18"/>
      <c r="K17" s="18"/>
      <c r="L17" s="18"/>
      <c r="M17" s="18"/>
      <c r="N17" s="18"/>
      <c r="O17" s="18"/>
      <c r="P17" s="18"/>
      <c r="Q17" s="18"/>
      <c r="R17" s="18"/>
      <c r="S17" s="18"/>
      <c r="T17" s="18"/>
      <c r="U17" s="18"/>
      <c r="V17" s="18"/>
      <c r="W17" s="18"/>
      <c r="X17" s="18"/>
      <c r="Y17" s="18"/>
      <c r="Z17" s="18"/>
      <c r="AA17" s="18"/>
      <c r="AB17" s="28" t="str">
        <f>HYPERLINK("http://web.comhem.se/steamengines/","Peter's Toy Steam")</f>
        <v>Peter's Toy Steam</v>
      </c>
      <c r="AC17" s="28" t="str">
        <f>HYPERLINK("http://books.google.com/books?id=P3tN4i0ncusC&amp;pg=PA29&amp;lpg=PA29&amp;dq=carette+toy+jewish&amp;source=bl&amp;ots=3tdITjRJ5c&amp;sig=GgQU1IknBfV9MgXWGVgzknGYIts&amp;hl=en&amp;sa=X&amp;ei=PfsjVO8E0a3IBPv5gZgF&amp;ved=0CCsQ6AEwAQ#v=onepage&amp;q=carette%20toy%20jewish&amp;f=false","Toy Steam Accessories:")</f>
        <v>Toy Steam Accessories:</v>
      </c>
      <c r="AD17" s="18"/>
      <c r="AE17" s="6" t="s">
        <v>100</v>
      </c>
      <c r="AF17" s="18"/>
      <c r="AG17" s="18"/>
      <c r="AH17" s="18"/>
      <c r="AI17" s="18"/>
      <c r="AJ17" s="18"/>
      <c r="AK17" s="18"/>
      <c r="AL17" s="18"/>
      <c r="AM17" s="18"/>
      <c r="AN17" s="18"/>
      <c r="AO17" s="18"/>
      <c r="AP17" s="18"/>
      <c r="AQ17" s="18"/>
      <c r="AR17" s="18"/>
      <c r="AS17" s="18"/>
      <c r="AT17" s="18"/>
      <c r="AU17" s="18"/>
      <c r="AV17" s="18"/>
      <c r="AW17" s="18"/>
      <c r="AX17" s="18"/>
      <c r="AY17" s="18"/>
      <c r="AZ17" s="18"/>
      <c r="BA17" s="18"/>
    </row>
    <row r="18">
      <c r="A18" s="24" t="s">
        <v>101</v>
      </c>
      <c r="B18" s="24" t="s">
        <v>102</v>
      </c>
      <c r="C18" s="24" t="s">
        <v>103</v>
      </c>
      <c r="D18" s="25" t="str">
        <f>TRUE</f>
        <v>TRUE</v>
      </c>
      <c r="E18" s="25">
        <v>1877.0</v>
      </c>
      <c r="F18" s="26">
        <v>1965.0</v>
      </c>
      <c r="G18" s="28" t="str">
        <f>HYPERLINK("http://www.findagrave.com/cgi-bin/fg.cgi?page=gr&amp;GRid=35627571","Joshua Lionel Cowen")</f>
        <v>Joshua Lionel Cowen</v>
      </c>
      <c r="H18" s="6" t="s">
        <v>104</v>
      </c>
      <c r="I18" s="6">
        <v>1900.0</v>
      </c>
      <c r="J18" s="6" t="s">
        <v>105</v>
      </c>
      <c r="K18" s="28" t="str">
        <f>HYPERLINK("http://upload.wikimedia.org/wikipedia/commons/c/cd/Joshua_Lionel_Cowen.jpg","Cowen")</f>
        <v>Cowen</v>
      </c>
      <c r="L18" s="28" t="str">
        <f>HYPERLINK("http://en.wikipedia.org/wiki/Joshua_Lionel_Cowen","Wikipedia: Cowen")</f>
        <v>Wikipedia: Cowen</v>
      </c>
      <c r="M18" s="28" t="str">
        <f>HYPERLINK("http://www.toyassociation.org/TIA/Events/HOF/Inductees/Events2/Hall_of_Fame/Hall_of_Fame_Inductees.aspx?hkey=513da8d5-c0f8-423a-be33-9a720a8b9276#.VB2nXOcu9xo","TIA Hall of Fame")</f>
        <v>TIA Hall of Fame</v>
      </c>
      <c r="N18" s="28" t="str">
        <f>HYPERLINK("http://www.haaretz.com/news/features/this-day-in-jewish-history/.premium-1.545739","This Day in Jewish History/Pioneer of model electric trains dies")</f>
        <v>This Day in Jewish History/Pioneer of model electric trains dies</v>
      </c>
      <c r="O18" s="18"/>
      <c r="P18" s="6" t="s">
        <v>56</v>
      </c>
      <c r="Q18" s="6" t="s">
        <v>56</v>
      </c>
      <c r="R18" s="28" t="str">
        <f>HYPERLINK("http://en.wikipedia.org/wiki/Joshua_Lionel_Cowen","Wikipedia: Joshua Lionel Cowen")</f>
        <v>Wikipedia: Joshua Lionel Cowen</v>
      </c>
      <c r="S18" s="28" t="str">
        <f>HYPERLINK("https://www.google.com/search?q=lionel+electric+trains+logo&amp;client=firefox-a&amp;hs=yS6&amp;rls=org.mozilla:en-US:official&amp;channel=sb&amp;source=lnms&amp;tbm=isch&amp;sa=X&amp;ei=E8YdVIuFK9OeyATlkYKIBA&amp;ved=0CAgQ_AUoAQ&amp;biw=733&amp;bih=421#facrc=_&amp;imgdii=_&amp;imgrc=FGy7DPTpYwc5jM%253A%3B9oWFbtsPURb48M%3Bhttp%253A%252F%252Fmilepost38.com%252Fimages%252Flionellogo.gif%3Bhttp%253A%252F%252Fmilepost38.com%252F%3B300%3B173","Lionel Logo")</f>
        <v>Lionel Logo</v>
      </c>
      <c r="T18" s="27" t="s">
        <v>106</v>
      </c>
      <c r="U18" s="6"/>
      <c r="V18" s="6" t="s">
        <v>58</v>
      </c>
      <c r="W18" s="6"/>
      <c r="X18" s="6">
        <v>1969.0</v>
      </c>
      <c r="Y18" s="27" t="s">
        <v>107</v>
      </c>
      <c r="Z18" s="28" t="str">
        <f>HYPERLINK("http://www.lionel.com","www.lionel.com")</f>
        <v>www.lionel.com</v>
      </c>
      <c r="AA18" s="28" t="str">
        <f>HYPERLINK("http://www.fundinguniverse.com/company-histories/lionel-l-l-c-history/","Funding Universe:Lionel")</f>
        <v>Funding Universe:Lionel</v>
      </c>
      <c r="AB18" s="29" t="str">
        <f>HYPERLINK("http://www.playgroundprofessionals.com/encyclopedia/l/lionel-llc","Lionel LLC Playground Prof")</f>
        <v>Lionel LLC Playground Prof</v>
      </c>
      <c r="AC18" s="18"/>
      <c r="AD18" s="29" t="str">
        <f>HYPERLINK("http://en.wikipedia.org/wiki/Lionel_Corporation","Wikipedia: Lionel Corporation")</f>
        <v>Wikipedia: Lionel Corporation</v>
      </c>
      <c r="AE18" s="6" t="s">
        <v>104</v>
      </c>
      <c r="AF18" s="6" t="s">
        <v>108</v>
      </c>
      <c r="AG18" s="6"/>
      <c r="AH18" s="6">
        <v>1901.0</v>
      </c>
      <c r="AI18" s="28" t="str">
        <f>HYPERLINK("http://www.museumofplay.org/online-collections/images/Z006/Z00685/Z0068566.jpg","Lionel Freight Train 1938")</f>
        <v>Lionel Freight Train 1938</v>
      </c>
      <c r="AJ18" s="27"/>
      <c r="AK18" s="27"/>
      <c r="AL18" s="27"/>
      <c r="AM18" s="27"/>
      <c r="AN18" s="27"/>
      <c r="AO18" s="27"/>
      <c r="AP18" s="28" t="str">
        <f>HYPERLINK("http://www.toyhalloffame.org/toys/lionel-trains","Toy Hall of Fame: Lionel Trains")</f>
        <v>Toy Hall of Fame: Lionel Trains</v>
      </c>
      <c r="AQ18" s="28" t="str">
        <f>HYPERLINK("http://www.museumofplay.org/online-collections/search/index.php?q=lionel+trains","The Strong Online Collections: Lionel Trains")</f>
        <v>The Strong Online Collections: Lionel Trains</v>
      </c>
      <c r="AR18" s="28" t="str">
        <f>HYPERLINK("http://www.youtube.com/watch?v=gDbdO0rYYVY","Lionel Train Commercials")</f>
        <v>Lionel Train Commercials</v>
      </c>
      <c r="AS18" s="28" t="str">
        <f>HYPERLINK("http://www.youtube.com/watch?v=0RTcaJmoYLI","Mandy Patinkin and Tom Snyder on Lionel Trains")</f>
        <v>Mandy Patinkin and Tom Snyder on Lionel Trains</v>
      </c>
      <c r="AT18" s="18"/>
      <c r="AU18" s="18"/>
      <c r="AV18" s="18"/>
      <c r="AW18" s="18"/>
      <c r="AX18" s="18"/>
      <c r="AY18" s="18"/>
      <c r="AZ18" s="18"/>
      <c r="BA18" s="18"/>
    </row>
    <row r="19">
      <c r="A19" s="2" t="s">
        <v>109</v>
      </c>
      <c r="B19" s="32"/>
      <c r="C19" s="20" t="s">
        <v>110</v>
      </c>
      <c r="D19" s="25" t="b">
        <v>0</v>
      </c>
      <c r="E19" s="33"/>
      <c r="F19" s="34"/>
      <c r="G19" s="18"/>
      <c r="H19" s="6" t="s">
        <v>111</v>
      </c>
      <c r="I19" s="6">
        <v>1900.0</v>
      </c>
      <c r="J19" s="18"/>
      <c r="K19" s="18"/>
      <c r="L19" s="18"/>
      <c r="M19" s="18"/>
      <c r="N19" s="18"/>
      <c r="O19" s="18"/>
      <c r="P19" s="18"/>
      <c r="Q19" s="18"/>
      <c r="R19" s="18"/>
      <c r="S19" s="18"/>
      <c r="T19" s="18"/>
      <c r="U19" s="18"/>
      <c r="V19" s="18"/>
      <c r="W19" s="18"/>
      <c r="X19" s="18"/>
      <c r="Y19" s="18"/>
      <c r="Z19" s="18"/>
      <c r="AA19" s="18"/>
      <c r="AB19" s="18"/>
      <c r="AC19" s="28" t="str">
        <f>HYPERLINK("http://www.angelfire.com/biz/toysoldierhq/Tcohn.html","Toy Soldier HQ, INc. ")</f>
        <v>Toy Soldier HQ, INc. </v>
      </c>
      <c r="AD19" s="18"/>
      <c r="AE19" s="6" t="s">
        <v>111</v>
      </c>
      <c r="AF19" s="18"/>
      <c r="AG19" s="18"/>
      <c r="AH19" s="18"/>
      <c r="AI19" s="18"/>
      <c r="AJ19" s="18"/>
      <c r="AK19" s="6" t="s">
        <v>112</v>
      </c>
      <c r="AL19" s="18"/>
      <c r="AM19" s="18"/>
      <c r="AN19" s="18"/>
      <c r="AO19" s="18"/>
      <c r="AP19" s="18"/>
      <c r="AQ19" s="18"/>
      <c r="AR19" s="18"/>
      <c r="AS19" s="18"/>
      <c r="AT19" s="18"/>
      <c r="AU19" s="18"/>
      <c r="AV19" s="18"/>
      <c r="AW19" s="18"/>
      <c r="AX19" s="18"/>
      <c r="AY19" s="18"/>
      <c r="AZ19" s="18"/>
      <c r="BA19" s="18"/>
    </row>
    <row r="20">
      <c r="A20" s="24" t="s">
        <v>113</v>
      </c>
      <c r="B20" s="30"/>
      <c r="C20" s="24" t="s">
        <v>114</v>
      </c>
      <c r="D20" s="25" t="str">
        <f t="shared" ref="D20:D21" si="3">TRUE</f>
        <v>TRUE</v>
      </c>
      <c r="E20" s="25">
        <v>1867.0</v>
      </c>
      <c r="F20" s="26">
        <v>1937.0</v>
      </c>
      <c r="G20" s="6" t="s">
        <v>56</v>
      </c>
      <c r="H20" s="6" t="s">
        <v>115</v>
      </c>
      <c r="I20" s="6">
        <v>1907.0</v>
      </c>
      <c r="J20" s="6" t="s">
        <v>116</v>
      </c>
      <c r="K20" s="6" t="s">
        <v>56</v>
      </c>
      <c r="L20" s="18"/>
      <c r="M20" s="6" t="s">
        <v>56</v>
      </c>
      <c r="N20" s="6" t="s">
        <v>56</v>
      </c>
      <c r="O20" s="18"/>
      <c r="P20" s="6" t="s">
        <v>56</v>
      </c>
      <c r="Q20" s="6" t="s">
        <v>56</v>
      </c>
      <c r="R20" s="6" t="s">
        <v>56</v>
      </c>
      <c r="S20" s="29" t="str">
        <f t="shared" ref="S20:S22" si="4">HYPERLINK("http://upload.wikimedia.org/wikipedia/en/5/5d/Ideal_later_logo.jpg","Ideal Logo")</f>
        <v>Ideal Logo</v>
      </c>
      <c r="T20" s="36"/>
      <c r="U20" s="18"/>
      <c r="V20" s="6" t="s">
        <v>117</v>
      </c>
      <c r="W20" s="6"/>
      <c r="X20" s="6" t="s">
        <v>68</v>
      </c>
      <c r="Y20" s="18"/>
      <c r="Z20" s="27" t="s">
        <v>56</v>
      </c>
      <c r="AA20" s="27" t="s">
        <v>56</v>
      </c>
      <c r="AB20" s="27" t="s">
        <v>56</v>
      </c>
      <c r="AC20" s="29" t="str">
        <f t="shared" ref="AC20:AC21" si="5">HYPERLINK("http://en.wikipedia.org/wiki/Ideal_Toy_Company","Wikipedia: Ideal Toy Company")</f>
        <v>Wikipedia: Ideal Toy Company</v>
      </c>
      <c r="AD20" s="6" t="s">
        <v>56</v>
      </c>
      <c r="AE20" s="6" t="s">
        <v>115</v>
      </c>
      <c r="AF20" s="6" t="s">
        <v>118</v>
      </c>
      <c r="AG20" s="6"/>
      <c r="AH20" s="6">
        <v>1905.0</v>
      </c>
      <c r="AI20" s="29" t="str">
        <f t="shared" ref="AI20:AI21" si="6">HYPERLINK("https://symonsez.files.wordpress.com/2008/11/1stteddybear.jpg","Teddy bear")</f>
        <v>Teddy bear</v>
      </c>
      <c r="AJ20" s="18"/>
      <c r="AK20" s="6" t="s">
        <v>119</v>
      </c>
      <c r="AL20" s="18"/>
      <c r="AM20" s="18"/>
      <c r="AN20" s="18"/>
      <c r="AO20" s="6">
        <v>1967.0</v>
      </c>
      <c r="AP20" s="18"/>
      <c r="AQ20" s="18"/>
      <c r="AR20" s="18"/>
      <c r="AS20" s="18"/>
      <c r="AT20" s="28" t="str">
        <f>HYPERLINK("http://www.byranbear.com/images/mitchtom.jpg","Teddy Bear given to president")</f>
        <v>Teddy Bear given to president</v>
      </c>
      <c r="AU20" s="18"/>
      <c r="AV20" s="18"/>
      <c r="AW20" s="18"/>
      <c r="AX20" s="18"/>
      <c r="AY20" s="18"/>
      <c r="AZ20" s="18"/>
      <c r="BA20" s="18"/>
    </row>
    <row r="21">
      <c r="A21" s="24" t="s">
        <v>120</v>
      </c>
      <c r="B21" s="30"/>
      <c r="C21" s="24" t="s">
        <v>114</v>
      </c>
      <c r="D21" s="25" t="str">
        <f t="shared" si="3"/>
        <v>TRUE</v>
      </c>
      <c r="E21" s="25">
        <v>1870.0</v>
      </c>
      <c r="F21" s="26">
        <v>1938.0</v>
      </c>
      <c r="G21" s="6" t="s">
        <v>56</v>
      </c>
      <c r="H21" s="6" t="s">
        <v>115</v>
      </c>
      <c r="I21" s="6">
        <v>1907.0</v>
      </c>
      <c r="J21" s="6" t="s">
        <v>121</v>
      </c>
      <c r="K21" s="29" t="str">
        <f>HYPERLINK("http://www.wikitree.com/photo.php/c/c0/Michtom-image.jpg","Morris Michtom")</f>
        <v>Morris Michtom</v>
      </c>
      <c r="L21" s="18"/>
      <c r="M21" s="6" t="s">
        <v>56</v>
      </c>
      <c r="N21" s="28" t="str">
        <f>HYPERLINK("http://books.google.com/books?id=xvGhQoNT27IC&amp;pg=PA279&amp;lpg=PA279&amp;dq=rose+michtom+teddy+bear+died&amp;source=bl&amp;ots=sXT6WTAeWP&amp;sig=eyo2ihET-KE2iETUTzJlg1Xl3Oc&amp;hl=en&amp;sa=X&amp;ei=gBM7VODgM_G1sQSo-YDADw&amp;ved=0CD8Q6AEwBjgU#v=onepage&amp;q&amp;f=false","New York Chronology")</f>
        <v>New York Chronology</v>
      </c>
      <c r="O21" s="28" t="str">
        <f>HYPERLINK("https://www.jewishvirtuallibrary.org/jsource/biography/Michtoms.html","Jewish Virtual Library:Rose and Morris Mitchom")</f>
        <v>Jewish Virtual Library:Rose and Morris Mitchom</v>
      </c>
      <c r="P21" s="6" t="s">
        <v>56</v>
      </c>
      <c r="Q21" s="6" t="s">
        <v>56</v>
      </c>
      <c r="R21" s="29" t="str">
        <f>HYPERLINK("http://en.wikipedia.org/wiki/Morris_Michtom","Wikipedia: Morris Michtom")</f>
        <v>Wikipedia: Morris Michtom</v>
      </c>
      <c r="S21" s="29" t="str">
        <f t="shared" si="4"/>
        <v>Ideal Logo</v>
      </c>
      <c r="T21" s="27" t="s">
        <v>122</v>
      </c>
      <c r="U21" s="18"/>
      <c r="V21" s="6" t="s">
        <v>117</v>
      </c>
      <c r="W21" s="6"/>
      <c r="X21" s="6" t="s">
        <v>68</v>
      </c>
      <c r="Y21" s="18"/>
      <c r="Z21" s="27" t="s">
        <v>56</v>
      </c>
      <c r="AA21" s="27" t="s">
        <v>56</v>
      </c>
      <c r="AB21" s="27" t="s">
        <v>56</v>
      </c>
      <c r="AC21" s="29" t="str">
        <f t="shared" si="5"/>
        <v>Wikipedia: Ideal Toy Company</v>
      </c>
      <c r="AD21" s="6" t="s">
        <v>56</v>
      </c>
      <c r="AE21" s="6" t="s">
        <v>115</v>
      </c>
      <c r="AF21" s="6" t="s">
        <v>118</v>
      </c>
      <c r="AG21" s="6"/>
      <c r="AH21" s="6">
        <v>1905.0</v>
      </c>
      <c r="AI21" s="29" t="str">
        <f t="shared" si="6"/>
        <v>Teddy bear</v>
      </c>
      <c r="AJ21" s="18"/>
      <c r="AK21" s="28" t="str">
        <f>HYPERLINK("https://s-media-cache-ak0.pinimg.com/736x/0c/b9/b7/0cb9b7f506bbd7ff0babe986556ee703.jpg","Shirley Temple and Toni Dolls, Mr. Machie, Zeroids")</f>
        <v>Shirley Temple and Toni Dolls, Mr. Machie, Zeroids</v>
      </c>
      <c r="AL21" s="18"/>
      <c r="AM21" s="18"/>
      <c r="AN21" s="18"/>
      <c r="AO21" s="18"/>
      <c r="AP21" s="29" t="str">
        <f>HYPERLINK("http://www.toyhalloffame.org/toys/teddy-bear","Teddy Bear")</f>
        <v>Teddy Bear</v>
      </c>
      <c r="AQ21" s="29" t="str">
        <f>HYPERLINK("http://www.museumofplay.org/online-collections/search/index.php?q=teddy+bear","The Strong Online Collections: Teddy Bear")</f>
        <v>The Strong Online Collections: Teddy Bear</v>
      </c>
      <c r="AR21" s="18"/>
      <c r="AS21" s="18"/>
      <c r="AT21" s="18"/>
      <c r="AU21" s="18"/>
      <c r="AV21" s="18"/>
      <c r="AW21" s="18"/>
      <c r="AX21" s="18"/>
      <c r="AY21" s="18"/>
      <c r="AZ21" s="18"/>
      <c r="BA21" s="18"/>
    </row>
    <row r="22">
      <c r="A22" s="37" t="s">
        <v>123</v>
      </c>
      <c r="B22" s="38"/>
      <c r="C22" s="37" t="s">
        <v>114</v>
      </c>
      <c r="D22" s="25" t="b">
        <v>0</v>
      </c>
      <c r="E22" s="25">
        <v>1901.0</v>
      </c>
      <c r="F22" s="26">
        <v>1980.0</v>
      </c>
      <c r="G22" s="18"/>
      <c r="H22" s="6" t="s">
        <v>115</v>
      </c>
      <c r="I22" s="6">
        <v>1907.0</v>
      </c>
      <c r="J22" s="18"/>
      <c r="K22" s="18"/>
      <c r="L22" s="18"/>
      <c r="M22" s="28" t="str">
        <f>HYPERLINK("http://www.toyassociation.org/TIA/Events/HOF/Inductees/Events2/Hall_of_Fame/Hall_of_Fame_Inductees.aspx?hkey=513da8d5-c0f8-423a-be33-9a720a8b9276#.VDsRo-e7nBV","TIA Hall of Fame")</f>
        <v>TIA Hall of Fame</v>
      </c>
      <c r="N22" s="18"/>
      <c r="O22" s="18"/>
      <c r="P22" s="18"/>
      <c r="Q22" s="18"/>
      <c r="R22" s="18"/>
      <c r="S22" s="29" t="str">
        <f t="shared" si="4"/>
        <v>Ideal Logo</v>
      </c>
      <c r="T22" s="36"/>
      <c r="U22" s="18"/>
      <c r="V22" s="6" t="s">
        <v>117</v>
      </c>
      <c r="W22" s="6"/>
      <c r="X22" s="6" t="s">
        <v>124</v>
      </c>
      <c r="Y22" s="18"/>
      <c r="Z22" s="18"/>
      <c r="AA22" s="18"/>
      <c r="AB22" s="18"/>
      <c r="AC22" s="18"/>
      <c r="AD22" s="18"/>
      <c r="AE22" s="6"/>
      <c r="AF22" s="18"/>
      <c r="AG22" s="18"/>
      <c r="AH22" s="18"/>
      <c r="AI22" s="18"/>
      <c r="AJ22" s="18"/>
      <c r="AK22" s="18"/>
      <c r="AL22" s="18"/>
      <c r="AM22" s="18"/>
      <c r="AN22" s="18"/>
      <c r="AO22" s="18"/>
      <c r="AP22" s="18"/>
      <c r="AQ22" s="18"/>
      <c r="AR22" s="18"/>
      <c r="AS22" s="18"/>
      <c r="AT22" s="18"/>
      <c r="AU22" s="18"/>
      <c r="AV22" s="18"/>
      <c r="AW22" s="18"/>
      <c r="AX22" s="18"/>
      <c r="AY22" s="18"/>
      <c r="AZ22" s="18"/>
      <c r="BA22" s="18"/>
    </row>
    <row r="23">
      <c r="A23" s="24" t="s">
        <v>125</v>
      </c>
      <c r="B23" s="30"/>
      <c r="C23" s="24" t="s">
        <v>126</v>
      </c>
      <c r="D23" s="25" t="str">
        <f t="shared" ref="D23:D25" si="7">TRUE</f>
        <v>TRUE</v>
      </c>
      <c r="E23" s="25">
        <v>1896.0</v>
      </c>
      <c r="F23" s="26">
        <v>1982.0</v>
      </c>
      <c r="G23" s="28" t="str">
        <f>HYPERLINK("http://www.findagrave.com/cgi-bin/fg.cgi?page=gr&amp;GRid=4150","Louis Marx")</f>
        <v>Louis Marx</v>
      </c>
      <c r="H23" s="6" t="s">
        <v>127</v>
      </c>
      <c r="I23" s="6">
        <v>1919.0</v>
      </c>
      <c r="J23" s="6" t="s">
        <v>128</v>
      </c>
      <c r="K23" s="28" t="str">
        <f>HYPERLINK("https://www.google.com/search?q=lionel+electric+trains+logo&amp;client=firefox-a&amp;hs=yS6&amp;rls=org.mozilla:en-US:official&amp;channel=sb&amp;source=lnms&amp;tbm=isch&amp;sa=X&amp;ei=E8YdVIuFK9OeyATlkYKIBA&amp;ved=0CAgQ_AUoAQ&amp;biw=733&amp;bih=421#facrc=_&amp;imgdii=_&amp;imgrc=FGy7DPTpYwc5jM%253A%3B9oWFbtsPURb48M%3Bhttp%253A%252F%252Fmilepost38.com%252Fimages%252Flionellogo.gif%3Bhttp%253A%252F%252Fmilepost38.com%252F%3B300%3B173","Marx")</f>
        <v>Marx</v>
      </c>
      <c r="L23" s="27" t="s">
        <v>129</v>
      </c>
      <c r="M23" s="28" t="str">
        <f t="shared" ref="M23:M24" si="8">HYPERLINK("http://www.toyassociation.org/TIA/Events/HOF/Inductees/Events2/Hall_of_Fame/Hall_of_Fame_Inductees.aspx?hkey=513da8d5-c0f8-423a-be33-9a720a8b9276#.VB2nXOcu9xo","TIA Hall of Fame")</f>
        <v>TIA Hall of Fame</v>
      </c>
      <c r="N23" s="28" t="str">
        <f>HYPERLINK("http://books.google.com/books?id=ml_ZepYWGdkC&amp;pg=PA215&amp;lpg=PA215&amp;dq=louis+marx+time+magazine+article&amp;source=bl&amp;ots=n8Z3wgVDYY&amp;sig=kfQkn1NFJG04mh5sRBjVlGzhKos&amp;hl=en&amp;sa=X&amp;ei=u9_7U7SDI8PloASvm4LwAQ&amp;ved=0CEIQ6AEwBA#v=onepage&amp;q=louis%20marx%20time%20magazine%20article&amp;f=false","Louis Marx and Daniel Ellsberg")</f>
        <v>Louis Marx and Daniel Ellsberg</v>
      </c>
      <c r="O23" s="28" t="str">
        <f>HYPERLINK("http://www.grandoldtoys.com/toydb_Detail.php?id=323","TIme Magazine:The Little King")</f>
        <v>TIme Magazine:The Little King</v>
      </c>
      <c r="P23" s="27"/>
      <c r="Q23" s="28" t="str">
        <f>HYPERLINK("http://books.google.com/books?id=65bvTT-YTEIC&amp;pg=PA96&amp;dq=hank+greenberg+reluctant+hero&amp;hl=en&amp;sa=X&amp;ei=JrQdVJSTBtWpyATdw4DIAw&amp;ved=0CB8Q6AEwAA#v=onepage&amp;q=louis%20marx&amp;f=false","Louis Marx and Hank Greenberg")</f>
        <v>Louis Marx and Hank Greenberg</v>
      </c>
      <c r="R23" s="28" t="str">
        <f>HYPERLINK("http://en.wikipedia.org/wiki/Louis_Marx","Wikipedia:Louis Marx")</f>
        <v>Wikipedia:Louis Marx</v>
      </c>
      <c r="S23" s="28" t="str">
        <f>HYPERLINK("http://upload.wikimedia.org/wikipedia/en/f/fe/Marx-logo.jpg","Marx Logo")</f>
        <v>Marx Logo</v>
      </c>
      <c r="T23" s="27" t="s">
        <v>130</v>
      </c>
      <c r="U23" s="6"/>
      <c r="V23" s="6" t="s">
        <v>58</v>
      </c>
      <c r="W23" s="6"/>
      <c r="X23" s="6">
        <v>1980.0</v>
      </c>
      <c r="Y23" s="18"/>
      <c r="Z23" s="27" t="s">
        <v>56</v>
      </c>
      <c r="AA23" s="27" t="s">
        <v>56</v>
      </c>
      <c r="AB23" s="27" t="s">
        <v>56</v>
      </c>
      <c r="AC23" s="28" t="str">
        <f>HYPERLINK("http://www.collectorsweekly.com/toys/marx","Collectors Weekly:Vintage Marx Toys")</f>
        <v>Collectors Weekly:Vintage Marx Toys</v>
      </c>
      <c r="AD23" s="28" t="str">
        <f>HYPERLINK("http://en.wikipedia.org/wiki/Louis_Marx_and_Company","Louis Marx and Company")</f>
        <v>Louis Marx and Company</v>
      </c>
      <c r="AE23" s="6" t="s">
        <v>127</v>
      </c>
      <c r="AF23" s="27" t="s">
        <v>131</v>
      </c>
      <c r="AG23" s="27"/>
      <c r="AH23" s="6">
        <v>1921.0</v>
      </c>
      <c r="AI23" s="28" t="str">
        <f>HYPERLINK("http://www.museumofplay.org/online-collections/images/Z005/Z00553/Z0055377.jpg","zippo")</f>
        <v>zippo</v>
      </c>
      <c r="AJ23" s="27"/>
      <c r="AK23" s="6" t="s">
        <v>132</v>
      </c>
      <c r="AL23" s="28" t="str">
        <f>HYPERLINK("http://originalbigwheel.us/images/OBW1.jpg","Big Wheel")</f>
        <v>Big Wheel</v>
      </c>
      <c r="AM23" s="27"/>
      <c r="AN23" s="6"/>
      <c r="AO23" s="6">
        <v>1969.0</v>
      </c>
      <c r="AP23" s="28" t="str">
        <f>HYPERLINK("http://www.toyhalloffame.org/toys/big-wheel","Big Wheel")</f>
        <v>Big Wheel</v>
      </c>
      <c r="AQ23" s="28" t="str">
        <f>HYPERLINK("http://www.museumofplay.org/online-collections/1/33/110.3745","The Strong Online Collections: Big Wheel")</f>
        <v>The Strong Online Collections: Big Wheel</v>
      </c>
      <c r="AR23" s="28" t="str">
        <f>HYPERLINK("http://www.youtube.com/watch?v=9PS_L9s-Xtk","Big Wheel Television Commercial")</f>
        <v>Big Wheel Television Commercial</v>
      </c>
      <c r="AS23" s="18"/>
      <c r="AT23" s="6" t="s">
        <v>133</v>
      </c>
      <c r="AU23" s="28" t="str">
        <f>HYPERLINK("http://www.theoldrobots.com/images61/RockEm-70.JPG","Rock Em Sock Em Robots")</f>
        <v>Rock Em Sock Em Robots</v>
      </c>
      <c r="AV23" s="6"/>
      <c r="AW23" s="6">
        <v>1964.0</v>
      </c>
      <c r="AX23" s="18"/>
      <c r="AY23" s="28" t="str">
        <f>HYPERLINK("http://www.museumofplay.org/online-collections/3/49/97.465","Rock 'em Sock 'em Robots")</f>
        <v>Rock 'em Sock 'em Robots</v>
      </c>
      <c r="AZ23" s="28" t="str">
        <f>HYPERLINK("http://www.youtube.com/watch?v=uPEnig5DHAc","Rock 'em Commercial")</f>
        <v>Rock 'em Commercial</v>
      </c>
      <c r="BA23" s="28" t="str">
        <f>HYPERLINK("http://en.wikipedia.org/wiki/Rock_%27Em_Sock_%27Em_Robots","WIkipedia:Rock 'em Sock 'Em Robots")</f>
        <v>WIkipedia:Rock 'em Sock 'Em Robots</v>
      </c>
    </row>
    <row r="24">
      <c r="A24" s="24" t="s">
        <v>134</v>
      </c>
      <c r="B24" s="30"/>
      <c r="C24" s="24" t="s">
        <v>135</v>
      </c>
      <c r="D24" s="25" t="str">
        <f t="shared" si="7"/>
        <v>TRUE</v>
      </c>
      <c r="E24" s="25">
        <v>1900.0</v>
      </c>
      <c r="F24" s="26">
        <v>1959.0</v>
      </c>
      <c r="G24" s="6" t="s">
        <v>56</v>
      </c>
      <c r="H24" s="6" t="s">
        <v>136</v>
      </c>
      <c r="I24" s="6">
        <v>1922.0</v>
      </c>
      <c r="J24" s="6" t="s">
        <v>137</v>
      </c>
      <c r="K24" s="29" t="str">
        <f>HYPERLINK("http://www.toyassociation.org/App_Themes/tia/images/events/hof/pressman.jpg","Jack Pressman")</f>
        <v>Jack Pressman</v>
      </c>
      <c r="L24" s="18"/>
      <c r="M24" s="28" t="str">
        <f t="shared" si="8"/>
        <v>TIA Hall of Fame</v>
      </c>
      <c r="N24" s="6" t="s">
        <v>56</v>
      </c>
      <c r="O24" s="18"/>
      <c r="P24" s="6" t="s">
        <v>56</v>
      </c>
      <c r="Q24" s="6" t="s">
        <v>56</v>
      </c>
      <c r="R24" s="6" t="s">
        <v>56</v>
      </c>
      <c r="S24" s="29" t="str">
        <f t="shared" ref="S24:S27" si="9">HYPERLINK("http://www.pressmantoy.com/wp-content/themes/Goliath/img/logo_pressman-min.png","Pressman Logo")</f>
        <v>Pressman Logo</v>
      </c>
      <c r="T24" s="27" t="s">
        <v>138</v>
      </c>
      <c r="U24" s="18"/>
      <c r="V24" s="6" t="s">
        <v>117</v>
      </c>
      <c r="W24" s="6"/>
      <c r="X24" s="6" t="s">
        <v>68</v>
      </c>
      <c r="Y24" s="18"/>
      <c r="Z24" s="28" t="str">
        <f>HYPERLINK("http://catalog.pressmantoy.com/","Pressmantoy.com")</f>
        <v>Pressmantoy.com</v>
      </c>
      <c r="AA24" s="28" t="str">
        <f t="shared" ref="AA24:AA27" si="10">HYPERLINK("http://www.fundinguniverse.com/company-histories/pressman-toy-corporation-history/","Funding Universe:Pressman Toy Corporation History")</f>
        <v>Funding Universe:Pressman Toy Corporation History</v>
      </c>
      <c r="AB24" s="27" t="s">
        <v>56</v>
      </c>
      <c r="AC24" s="28" t="str">
        <f>HYPERLINK("http://tandgcon.com/business-of-play/goliath-games-acquires-pressman-toy-an-interview","TandGCon:Goliath Games acquires Pressman Toy")</f>
        <v>TandGCon:Goliath Games acquires Pressman Toy</v>
      </c>
      <c r="AD24" s="29" t="str">
        <f t="shared" ref="AD24:AD27" si="11">HYPERLINK("http://en.wikipedia.org/wiki/Pressman_Toy_Corporation","Wikipedia: Pressman Toy Corporation")</f>
        <v>Wikipedia: Pressman Toy Corporation</v>
      </c>
      <c r="AE24" s="6" t="s">
        <v>136</v>
      </c>
      <c r="AF24" s="6" t="s">
        <v>139</v>
      </c>
      <c r="AG24" s="6"/>
      <c r="AH24" s="6">
        <v>1928.0</v>
      </c>
      <c r="AI24" s="29" t="str">
        <f t="shared" ref="AI24:AI25" si="12">HYPERLINK("http://ecx.images-amazon.com/images/I/819GA4X8BVL._SX300_.gif","Chinese Checkers")</f>
        <v>Chinese Checkers</v>
      </c>
      <c r="AJ24" s="18"/>
      <c r="AK24" s="6" t="s">
        <v>140</v>
      </c>
      <c r="AL24" s="18"/>
      <c r="AM24" s="18"/>
      <c r="AN24" s="18"/>
      <c r="AO24" s="18"/>
      <c r="AP24" s="18"/>
      <c r="AQ24" s="29" t="str">
        <f>HYPERLINK("http://www.museumofplay.org/online-collections/search/index.php?q=chinese+checkers","The Strong Online Collections: Chinese Checkers")</f>
        <v>The Strong Online Collections: Chinese Checkers</v>
      </c>
      <c r="AR24" s="18"/>
      <c r="AS24" s="18"/>
      <c r="AT24" s="18"/>
      <c r="AU24" s="18"/>
      <c r="AV24" s="18"/>
      <c r="AW24" s="18"/>
      <c r="AX24" s="18"/>
      <c r="AY24" s="18"/>
      <c r="AZ24" s="18"/>
      <c r="BA24" s="18"/>
    </row>
    <row r="25">
      <c r="A25" s="24" t="s">
        <v>141</v>
      </c>
      <c r="B25" s="24" t="s">
        <v>135</v>
      </c>
      <c r="C25" s="24" t="s">
        <v>142</v>
      </c>
      <c r="D25" s="25" t="str">
        <f t="shared" si="7"/>
        <v>TRUE</v>
      </c>
      <c r="E25" s="25">
        <v>1912.0</v>
      </c>
      <c r="F25" s="26">
        <v>2009.0</v>
      </c>
      <c r="G25" s="28" t="str">
        <f>HYPERLINK("http://www.nytimes.com/2009/08/02/business/02pressman.html","Lynn Pressman Raymond")</f>
        <v>Lynn Pressman Raymond</v>
      </c>
      <c r="H25" s="6" t="s">
        <v>136</v>
      </c>
      <c r="I25" s="6">
        <v>1922.0</v>
      </c>
      <c r="J25" s="6" t="s">
        <v>143</v>
      </c>
      <c r="K25" s="29" t="str">
        <f>HYPERLINK("http://graphics8.nytimes.com/images/2009/08/02/business/Lynn_Pressman_190.jpg","Lynn Pressman Raymond")</f>
        <v>Lynn Pressman Raymond</v>
      </c>
      <c r="L25" s="18"/>
      <c r="M25" s="6" t="s">
        <v>56</v>
      </c>
      <c r="N25" s="6" t="s">
        <v>56</v>
      </c>
      <c r="O25" s="28" t="str">
        <f>HYPERLINK("http://jewishcurrents.org/july-22-pressman-toys-11145","Jewish Currents:July 22nd, Chinese Checkers and Other Funtastic Toys")</f>
        <v>Jewish Currents:July 22nd, Chinese Checkers and Other Funtastic Toys</v>
      </c>
      <c r="P25" s="6" t="s">
        <v>56</v>
      </c>
      <c r="Q25" s="6" t="s">
        <v>56</v>
      </c>
      <c r="R25" s="29" t="str">
        <f>HYPERLINK("http://en.wikipedia.org/wiki/Lynn_Pressman_Raymond","Lynn Pressman")</f>
        <v>Lynn Pressman</v>
      </c>
      <c r="S25" s="29" t="str">
        <f t="shared" si="9"/>
        <v>Pressman Logo</v>
      </c>
      <c r="T25" s="36"/>
      <c r="U25" s="18"/>
      <c r="V25" s="6" t="s">
        <v>117</v>
      </c>
      <c r="W25" s="6"/>
      <c r="X25" s="6" t="s">
        <v>68</v>
      </c>
      <c r="Y25" s="18"/>
      <c r="Z25" s="27" t="s">
        <v>56</v>
      </c>
      <c r="AA25" s="28" t="str">
        <f t="shared" si="10"/>
        <v>Funding Universe:Pressman Toy Corporation History</v>
      </c>
      <c r="AB25" s="27" t="s">
        <v>56</v>
      </c>
      <c r="AC25" s="27" t="s">
        <v>56</v>
      </c>
      <c r="AD25" s="29" t="str">
        <f t="shared" si="11"/>
        <v>Wikipedia: Pressman Toy Corporation</v>
      </c>
      <c r="AE25" s="6" t="s">
        <v>136</v>
      </c>
      <c r="AF25" s="6" t="s">
        <v>139</v>
      </c>
      <c r="AG25" s="6"/>
      <c r="AH25" s="6">
        <v>1928.0</v>
      </c>
      <c r="AI25" s="29" t="str">
        <f t="shared" si="12"/>
        <v>Chinese Checkers</v>
      </c>
      <c r="AJ25" s="18"/>
      <c r="AK25" s="18"/>
      <c r="AL25" s="18"/>
      <c r="AM25" s="18"/>
      <c r="AN25" s="18"/>
      <c r="AO25" s="18"/>
      <c r="AP25" s="18"/>
      <c r="AQ25" s="18"/>
      <c r="AR25" s="18"/>
      <c r="AS25" s="18"/>
      <c r="AT25" s="18"/>
      <c r="AU25" s="18"/>
      <c r="AV25" s="18"/>
      <c r="AW25" s="18"/>
      <c r="AX25" s="18"/>
      <c r="AY25" s="18"/>
      <c r="AZ25" s="18"/>
      <c r="BA25" s="18"/>
    </row>
    <row r="26">
      <c r="A26" s="37" t="s">
        <v>144</v>
      </c>
      <c r="B26" s="38"/>
      <c r="C26" s="37" t="s">
        <v>135</v>
      </c>
      <c r="D26" s="25" t="b">
        <v>0</v>
      </c>
      <c r="E26" s="25">
        <v>1915.0</v>
      </c>
      <c r="F26" s="26">
        <v>2008.0</v>
      </c>
      <c r="G26" s="28" t="str">
        <f>HYPERLINK("http://www.legacy.com/obituaries/nytimes/obituary.aspx?n=william-m-pressman&amp;pid=110154182","William Pressman")</f>
        <v>William Pressman</v>
      </c>
      <c r="H26" s="6" t="s">
        <v>136</v>
      </c>
      <c r="I26" s="6">
        <v>1922.0</v>
      </c>
      <c r="J26" s="18"/>
      <c r="K26" s="18"/>
      <c r="L26" s="18"/>
      <c r="M26" s="18"/>
      <c r="N26" s="18"/>
      <c r="O26" s="18"/>
      <c r="P26" s="18"/>
      <c r="Q26" s="18"/>
      <c r="R26" s="18"/>
      <c r="S26" s="29" t="str">
        <f t="shared" si="9"/>
        <v>Pressman Logo</v>
      </c>
      <c r="T26" s="36"/>
      <c r="U26" s="18"/>
      <c r="V26" s="6" t="s">
        <v>117</v>
      </c>
      <c r="W26" s="6"/>
      <c r="X26" s="6" t="s">
        <v>68</v>
      </c>
      <c r="Y26" s="18"/>
      <c r="Z26" s="18"/>
      <c r="AA26" s="28" t="str">
        <f t="shared" si="10"/>
        <v>Funding Universe:Pressman Toy Corporation History</v>
      </c>
      <c r="AB26" s="27" t="s">
        <v>56</v>
      </c>
      <c r="AC26" s="27" t="s">
        <v>56</v>
      </c>
      <c r="AD26" s="29" t="str">
        <f t="shared" si="11"/>
        <v>Wikipedia: Pressman Toy Corporation</v>
      </c>
      <c r="AE26" s="6" t="s">
        <v>136</v>
      </c>
      <c r="AF26" s="18"/>
      <c r="AG26" s="18"/>
      <c r="AH26" s="18"/>
      <c r="AI26" s="18"/>
      <c r="AJ26" s="18"/>
      <c r="AK26" s="18"/>
      <c r="AL26" s="18"/>
      <c r="AM26" s="18"/>
      <c r="AN26" s="18"/>
      <c r="AO26" s="18"/>
      <c r="AP26" s="18"/>
      <c r="AQ26" s="18"/>
      <c r="AR26" s="18"/>
      <c r="AS26" s="18"/>
      <c r="AT26" s="18"/>
      <c r="AU26" s="18"/>
      <c r="AV26" s="18"/>
      <c r="AW26" s="18"/>
      <c r="AX26" s="18"/>
      <c r="AY26" s="18"/>
      <c r="AZ26" s="18"/>
      <c r="BA26" s="18"/>
    </row>
    <row r="27">
      <c r="A27" s="37" t="s">
        <v>145</v>
      </c>
      <c r="B27" s="38"/>
      <c r="C27" s="37" t="s">
        <v>135</v>
      </c>
      <c r="D27" s="25" t="b">
        <v>0</v>
      </c>
      <c r="E27" s="33"/>
      <c r="F27" s="26" t="s">
        <v>56</v>
      </c>
      <c r="G27" s="6" t="s">
        <v>56</v>
      </c>
      <c r="H27" s="6" t="s">
        <v>136</v>
      </c>
      <c r="I27" s="6">
        <v>1922.0</v>
      </c>
      <c r="J27" s="18"/>
      <c r="K27" s="18"/>
      <c r="L27" s="18"/>
      <c r="M27" s="18"/>
      <c r="N27" s="18"/>
      <c r="O27" s="18"/>
      <c r="P27" s="18"/>
      <c r="Q27" s="18"/>
      <c r="R27" s="18"/>
      <c r="S27" s="29" t="str">
        <f t="shared" si="9"/>
        <v>Pressman Logo</v>
      </c>
      <c r="T27" s="36"/>
      <c r="U27" s="18"/>
      <c r="V27" s="6" t="s">
        <v>117</v>
      </c>
      <c r="W27" s="6"/>
      <c r="X27" s="6" t="s">
        <v>68</v>
      </c>
      <c r="Y27" s="18"/>
      <c r="Z27" s="18"/>
      <c r="AA27" s="28" t="str">
        <f t="shared" si="10"/>
        <v>Funding Universe:Pressman Toy Corporation History</v>
      </c>
      <c r="AB27" s="27" t="s">
        <v>56</v>
      </c>
      <c r="AC27" s="27" t="s">
        <v>56</v>
      </c>
      <c r="AD27" s="29" t="str">
        <f t="shared" si="11"/>
        <v>Wikipedia: Pressman Toy Corporation</v>
      </c>
      <c r="AE27" s="6" t="s">
        <v>136</v>
      </c>
      <c r="AF27" s="18"/>
      <c r="AG27" s="18"/>
      <c r="AH27" s="18"/>
      <c r="AI27" s="18"/>
      <c r="AJ27" s="18"/>
      <c r="AK27" s="18"/>
      <c r="AL27" s="18"/>
      <c r="AM27" s="18"/>
      <c r="AN27" s="18"/>
      <c r="AO27" s="18"/>
      <c r="AP27" s="18"/>
      <c r="AQ27" s="18"/>
      <c r="AR27" s="18"/>
      <c r="AS27" s="18"/>
      <c r="AT27" s="18"/>
      <c r="AU27" s="18"/>
      <c r="AV27" s="18"/>
      <c r="AW27" s="18"/>
      <c r="AX27" s="18"/>
      <c r="AY27" s="18"/>
      <c r="AZ27" s="18"/>
      <c r="BA27" s="18"/>
    </row>
    <row r="28">
      <c r="A28" s="24" t="s">
        <v>146</v>
      </c>
      <c r="B28" s="24" t="s">
        <v>147</v>
      </c>
      <c r="C28" s="24" t="s">
        <v>148</v>
      </c>
      <c r="D28" s="25" t="str">
        <f t="shared" ref="D28:D34" si="13">TRUE</f>
        <v>TRUE</v>
      </c>
      <c r="E28" s="25">
        <v>1895.0</v>
      </c>
      <c r="F28" s="26">
        <v>1990.0</v>
      </c>
      <c r="G28" s="28" t="str">
        <f>HYPERLINK("http://www.nytimes.com/1990/10/05/obituaries/beatrice-behrman-95-doll-maker-known-as-madame-alexander.html","Beatrice Alexander Behrman")</f>
        <v>Beatrice Alexander Behrman</v>
      </c>
      <c r="H28" s="6" t="s">
        <v>149</v>
      </c>
      <c r="I28" s="6">
        <v>1923.0</v>
      </c>
      <c r="J28" s="6" t="s">
        <v>150</v>
      </c>
      <c r="K28" s="28" t="str">
        <f>HYPERLINK("http://jwa.org/sites/jwa.org/files/mediaobjects/AlexanderBeatrice.jpg","Alexander")</f>
        <v>Alexander</v>
      </c>
      <c r="L28" s="18"/>
      <c r="M28" s="28" t="str">
        <f>HYPERLINK("http://www.toyassociation.org/TIA/Events/HOF/Inductees/Events2/Hall_of_Fame/Hall_of_Fame_Inductees.aspx?hkey=513da8d5-c0f8-423a-be33-9a720a8b9276#.VB2nXOcu9xo","TIA Hall of Fame")</f>
        <v>TIA Hall of Fame</v>
      </c>
      <c r="N28" s="29" t="str">
        <f>HYPERLINK("http://www.jewishvirtuallibrary.org/jsource/biography/BAlexander.html","Jewish Virtual Library")</f>
        <v>Jewish Virtual Library</v>
      </c>
      <c r="O28" s="18"/>
      <c r="P28" s="6" t="s">
        <v>56</v>
      </c>
      <c r="Q28" s="28" t="str">
        <f>HYPERLINK("http://jwa.org/womenofvalor/alexander","Jewish Women's Archive:Geatrice Alexander")</f>
        <v>Jewish Women's Archive:Geatrice Alexander</v>
      </c>
      <c r="R28" s="28" t="str">
        <f>HYPERLINK("http://en.wikipedia.org/wiki/Madame_Alexander","`Wikipedia: Madame Alexander")</f>
        <v>`Wikipedia: Madame Alexander</v>
      </c>
      <c r="S28" s="28" t="str">
        <f>HYPERLINK("https://www.madamealexander.com/skin/frontend/enterprise/hellonikola/images/logo.png","Madame Alexander Logo")</f>
        <v>Madame Alexander Logo</v>
      </c>
      <c r="T28" s="27" t="s">
        <v>151</v>
      </c>
      <c r="U28" s="6"/>
      <c r="V28" s="6" t="s">
        <v>58</v>
      </c>
      <c r="W28" s="6"/>
      <c r="X28" s="28" t="str">
        <f>HYPERLINK("http://www.businesswire.com/news/home/20120626005253/en/Kahn-Lucas-Acquires-Madame-Alexander-Doll-Brands#.VB3X9ecu9xo","Acquired by Kahn Lucas 2012")</f>
        <v>Acquired by Kahn Lucas 2012</v>
      </c>
      <c r="Y28" s="28" t="str">
        <f>HYPERLINK("www.kahnlucas.com/","Kahn Lucas")</f>
        <v>Kahn Lucas</v>
      </c>
      <c r="Z28" s="28" t="str">
        <f>HYPERLINK("http://www.madamealexander.com","www.madamealexander.com")</f>
        <v>www.madamealexander.com</v>
      </c>
      <c r="AA28" s="27"/>
      <c r="AB28" s="27" t="s">
        <v>56</v>
      </c>
      <c r="AC28" s="28" t="str">
        <f>HYPERLINK("http://www.tabletmag.com/jewish-life-and-religion/131508/the-woman-behind-the-dolls","Tablet Magazine:The Woman Behind the Dolls")</f>
        <v>Tablet Magazine:The Woman Behind the Dolls</v>
      </c>
      <c r="AD28" s="28" t="str">
        <f>HYPERLINK("http://www.dollkind.com/madame-alexander-doll.shtml","Doll Kind: Madame Alexander Dolls")</f>
        <v>Doll Kind: Madame Alexander Dolls</v>
      </c>
      <c r="AE28" s="6" t="s">
        <v>149</v>
      </c>
      <c r="AF28" s="6" t="s">
        <v>152</v>
      </c>
      <c r="AG28" s="6"/>
      <c r="AH28" s="6">
        <v>1921.0</v>
      </c>
      <c r="AI28" s="28" t="str">
        <f>HYPERLINK("http://www.dollkind.com/images/madalice.gif","Easly cloth ""Alice in Wonderland""")</f>
        <v>Easly cloth "Alice in Wonderland"</v>
      </c>
      <c r="AJ28" s="18"/>
      <c r="AK28" s="18"/>
      <c r="AL28" s="18"/>
      <c r="AM28" s="18"/>
      <c r="AN28" s="18"/>
      <c r="AO28" s="18"/>
      <c r="AP28" s="18"/>
      <c r="AQ28" s="28" t="str">
        <f>HYPERLINK("http://www.museumofplay.org/online-collections/2/51/112.5664","The Strong Online Collections:Madame Alexander")</f>
        <v>The Strong Online Collections:Madame Alexander</v>
      </c>
      <c r="AR28" s="18"/>
      <c r="AS28" s="18"/>
      <c r="AT28" s="28" t="str">
        <f>HYPERLINK("http://www.dollkind.com/images/cissy-doll9.jpg","Cissy Dolls")</f>
        <v>Cissy Dolls</v>
      </c>
      <c r="AU28" s="18"/>
      <c r="AV28" s="18"/>
      <c r="AW28" s="18"/>
      <c r="AX28" s="18"/>
      <c r="AY28" s="18"/>
      <c r="AZ28" s="18"/>
      <c r="BA28" s="29" t="str">
        <f>HYPERLINK("http://en.wikipedia.org/wiki/Madame_Alexander","Wikipedia: Madame Alexander")</f>
        <v>Wikipedia: Madame Alexander</v>
      </c>
    </row>
    <row r="29">
      <c r="A29" s="24" t="s">
        <v>153</v>
      </c>
      <c r="B29" s="30"/>
      <c r="C29" s="24" t="s">
        <v>154</v>
      </c>
      <c r="D29" s="25" t="str">
        <f t="shared" si="13"/>
        <v>TRUE</v>
      </c>
      <c r="E29" s="25">
        <v>1917.0</v>
      </c>
      <c r="F29" s="26">
        <v>2011.0</v>
      </c>
      <c r="G29" s="28" t="str">
        <f>HYPERLINK("http://obits.nj.com/obituaries/starledger/obituary.aspx?pid=151466719","Sydney Rosen")</f>
        <v>Sydney Rosen</v>
      </c>
      <c r="H29" s="6" t="s">
        <v>155</v>
      </c>
      <c r="I29" s="6">
        <v>1923.0</v>
      </c>
      <c r="J29" s="6" t="s">
        <v>156</v>
      </c>
      <c r="K29" s="29" t="str">
        <f>HYPERLINK("http://www.toyassociation.org/App_Themes/tia/images/events/hof/rosen.jpg","Sydney Rosen")</f>
        <v>Sydney Rosen</v>
      </c>
      <c r="L29" s="18"/>
      <c r="M29" s="6" t="s">
        <v>56</v>
      </c>
      <c r="N29" s="6" t="s">
        <v>56</v>
      </c>
      <c r="O29" s="18"/>
      <c r="P29" s="6" t="s">
        <v>56</v>
      </c>
      <c r="Q29" s="6" t="s">
        <v>56</v>
      </c>
      <c r="R29" s="36"/>
      <c r="S29" s="29" t="str">
        <f>HYPERLINK("http://www.fairlandtoy.com/Rose%20Art%20Logo%20Grey%20New.jpg","Rose Art Logo")</f>
        <v>Rose Art Logo</v>
      </c>
      <c r="T29" s="27" t="s">
        <v>157</v>
      </c>
      <c r="U29" s="18"/>
      <c r="V29" s="6" t="s">
        <v>158</v>
      </c>
      <c r="W29" s="6"/>
      <c r="X29" s="6" t="s">
        <v>68</v>
      </c>
      <c r="Y29" s="18"/>
      <c r="Z29" s="29" t="str">
        <f>HYPERLINK("http://www.roseart.com/","RoseArt")</f>
        <v>RoseArt</v>
      </c>
      <c r="AA29" s="29" t="str">
        <f>HYPERLINK("http://www.fundinguniverse.com/company-histories/rose-art-industries-history/","Funding Universe: Rose Art")</f>
        <v>Funding Universe: Rose Art</v>
      </c>
      <c r="AB29" s="27" t="s">
        <v>56</v>
      </c>
      <c r="AC29" s="29" t="str">
        <f>HYPERLINK("http://en.wikipedia.org/wiki/MEGA_Brands_America,_Inc.","Wikipedia: MEGA Brands America")</f>
        <v>Wikipedia: MEGA Brands America</v>
      </c>
      <c r="AD29" s="28" t="str">
        <f>HYPERLINK("http://www.thefreelibrary.com/Rose+Art+Industries+Celebrates+Its+80th+Anniversary%3A+Lawrence+Rosen...-a097571939","Rose Art's 80th Anniversary")</f>
        <v>Rose Art's 80th Anniversary</v>
      </c>
      <c r="AE29" s="6" t="s">
        <v>155</v>
      </c>
      <c r="AF29" s="6" t="s">
        <v>159</v>
      </c>
      <c r="AG29" s="6"/>
      <c r="AH29" s="6">
        <v>1923.0</v>
      </c>
      <c r="AI29" s="18"/>
      <c r="AJ29" s="18"/>
      <c r="AK29" s="6" t="s">
        <v>160</v>
      </c>
      <c r="AL29" s="18"/>
      <c r="AM29" s="18"/>
      <c r="AN29" s="18"/>
      <c r="AO29" s="18"/>
      <c r="AP29" s="18"/>
      <c r="AQ29" s="29" t="str">
        <f>HYPERLINK("http://www.museumofplay.org/online-collections/search/index.php?q=magnetix","The Strong Online Collections: Magnetix")</f>
        <v>The Strong Online Collections: Magnetix</v>
      </c>
      <c r="AR29" s="18"/>
      <c r="AS29" s="18"/>
      <c r="AT29" s="6" t="s">
        <v>161</v>
      </c>
      <c r="AU29" s="18"/>
      <c r="AV29" s="18"/>
      <c r="AW29" s="18"/>
      <c r="AX29" s="18"/>
      <c r="AY29" s="18"/>
      <c r="AZ29" s="18"/>
      <c r="BA29" s="18"/>
    </row>
    <row r="30">
      <c r="A30" s="24" t="s">
        <v>162</v>
      </c>
      <c r="B30" s="24" t="s">
        <v>163</v>
      </c>
      <c r="C30" s="24" t="s">
        <v>164</v>
      </c>
      <c r="D30" s="25" t="str">
        <f t="shared" si="13"/>
        <v>TRUE</v>
      </c>
      <c r="E30" s="25">
        <v>1918.0</v>
      </c>
      <c r="F30" s="26">
        <v>1979.0</v>
      </c>
      <c r="G30" s="28" t="str">
        <f>HYPERLINK("http://arealamericanbook.files.wordpress.com/2014/03/merrillh-obit_blog.jpg","Merrill Hassenfeld")</f>
        <v>Merrill Hassenfeld</v>
      </c>
      <c r="H30" s="6" t="s">
        <v>165</v>
      </c>
      <c r="I30" s="6">
        <v>1923.0</v>
      </c>
      <c r="J30" s="6" t="s">
        <v>166</v>
      </c>
      <c r="K30" s="28" t="str">
        <f>HYPERLINK("http://www.toyassociation.org/App_Themes/tia/images/HOF/hassenfeld.jpg","Merrill Hassenfeld")</f>
        <v>Merrill Hassenfeld</v>
      </c>
      <c r="L30" s="18"/>
      <c r="M30" s="28" t="str">
        <f t="shared" ref="M30:M32" si="14">HYPERLINK("http://www.toyassociation.org/TIA/Events/HOF/Inductees/Events2/Hall_of_Fame/Hall_of_Fame_Inductees.aspx?hkey=513da8d5-c0f8-423a-be33-9a720a8b9276#.VB2nXOcu9xo","TIA Hall of Fame")</f>
        <v>TIA Hall of Fame</v>
      </c>
      <c r="N30" s="6" t="s">
        <v>56</v>
      </c>
      <c r="O30" s="18"/>
      <c r="P30" s="6" t="s">
        <v>56</v>
      </c>
      <c r="Q30" s="28" t="str">
        <f>HYPERLINK("http://www.riheritagehalloffame.org/inductees_detail.cfm?iid=162","Rhode Island Heritage Hall of Fame")</f>
        <v>Rhode Island Heritage Hall of Fame</v>
      </c>
      <c r="R30" s="18"/>
      <c r="S30" s="29" t="str">
        <f t="shared" ref="S30:S32" si="15">HYPERLINK("http://vignette4.wikia.nocookie.net/logopedia/images/a/ad/Hasbro_Logo_(2009)_with_the_TM_Symbol.png/revision/latest?cb=20151216161552","Hasbro Logo")</f>
        <v>Hasbro Logo</v>
      </c>
      <c r="T30" s="27" t="s">
        <v>167</v>
      </c>
      <c r="U30" s="18"/>
      <c r="V30" s="6" t="s">
        <v>168</v>
      </c>
      <c r="W30" s="6"/>
      <c r="X30" s="6" t="s">
        <v>68</v>
      </c>
      <c r="Y30" s="27" t="s">
        <v>169</v>
      </c>
      <c r="Z30" s="28" t="str">
        <f t="shared" ref="Z30:Z32" si="16">HYPERLINK("http://www.hasbro.com","www.hasbro.com")</f>
        <v>www.hasbro.com</v>
      </c>
      <c r="AA30" s="28" t="str">
        <f t="shared" ref="AA30:AA32" si="17">HYPERLINK("http://www.fundinguniverse.com/company-histories/hasbro-inc-history/","Funding Universe: Hasbro")</f>
        <v>Funding Universe: Hasbro</v>
      </c>
      <c r="AB30" s="28" t="str">
        <f t="shared" ref="AB30:AB32" si="18">HYPERLINK("http://www.playgroundprofessionals.com/encyclopedia/h/hasbro","Playground Professionals:Hasbro")</f>
        <v>Playground Professionals:Hasbro</v>
      </c>
      <c r="AC30" s="18"/>
      <c r="AD30" s="29" t="str">
        <f t="shared" ref="AD30:AD32" si="19">HYPERLINK("http://en.wikipedia.org/wiki/Hasbro","Wikipedia: Hasbro")</f>
        <v>Wikipedia: Hasbro</v>
      </c>
      <c r="AE30" s="6" t="s">
        <v>170</v>
      </c>
      <c r="AF30" s="6" t="s">
        <v>171</v>
      </c>
      <c r="AG30" s="6"/>
      <c r="AH30" s="6" t="s">
        <v>172</v>
      </c>
      <c r="AI30" s="28" t="str">
        <f>HYPERLINK("http://i.ebayimg.com/00/s/MTIwMFgxNjAw/z/42sAAOxy~ilSOKHQ/$T2eC16NHJF4FFkt8RW8JBSOKHPRQww~~60_35.JPG","Nurse Kit")</f>
        <v>Nurse Kit</v>
      </c>
      <c r="AJ30" s="18"/>
      <c r="AK30" s="29" t="str">
        <f>HYPERLINK("http://en.wikipedia.org/wiki/Mr._Potato_Head","Mr. Potato Head")</f>
        <v>Mr. Potato Head</v>
      </c>
      <c r="AL30" s="28" t="str">
        <f>HYPERLINK("http://en.wikipedia.org/wiki/Mr._Potato_Head#mediaviewer/File:Mr_Potato_Head_1952.jpg","Mr. Potato Head")</f>
        <v>Mr. Potato Head</v>
      </c>
      <c r="AM30" s="27"/>
      <c r="AN30" s="6"/>
      <c r="AO30" s="6">
        <v>1952.0</v>
      </c>
      <c r="AP30" s="29" t="str">
        <f>HYPERLINK("http://www.toyhalloffame.org/toys/mr-potato-head","Toy Hall of Fame: Mr. Potato Head")</f>
        <v>Toy Hall of Fame: Mr. Potato Head</v>
      </c>
      <c r="AQ30" s="29" t="str">
        <f>HYPERLINK("http://www.museumofplay.org/online-collections/search/index.php?q=mr.+potato+head","The Strong Online Collection: Mr. Potato Head")</f>
        <v>The Strong Online Collection: Mr. Potato Head</v>
      </c>
      <c r="AR30" s="18"/>
      <c r="AS30" s="18"/>
      <c r="AT30" s="6" t="s">
        <v>173</v>
      </c>
      <c r="AU30" s="28" t="str">
        <f>HYPERLINK("http://upload.wikimedia.org/wikipedia/en/2/24/GIJoe_OriginalLineup.jpg","GI Joe")</f>
        <v>GI Joe</v>
      </c>
      <c r="AV30" s="6"/>
      <c r="AW30" s="6">
        <v>1964.0</v>
      </c>
      <c r="AX30" s="28" t="str">
        <f>HYPERLINK("http://www.toyhalloffame.org/toys/gi-joe","Toy Hall of Fame: G.I. Joe")</f>
        <v>Toy Hall of Fame: G.I. Joe</v>
      </c>
      <c r="AY30" s="28" t="str">
        <f>HYPERLINK("http://www.museumofplay.org/online-collections/search/index.php?q=G.I.+Joe","Strong Online Collections:G.I.Joe")</f>
        <v>Strong Online Collections:G.I.Joe</v>
      </c>
      <c r="AZ30" s="18"/>
      <c r="BA30" s="28" t="str">
        <f>HYPERLINK("http://www.youtube.com/watch?v=WLL67CN2hnw","G.I. Joe Commercial")</f>
        <v>G.I. Joe Commercial</v>
      </c>
    </row>
    <row r="31">
      <c r="A31" s="24" t="s">
        <v>174</v>
      </c>
      <c r="B31" s="24" t="s">
        <v>175</v>
      </c>
      <c r="C31" s="24" t="s">
        <v>164</v>
      </c>
      <c r="D31" s="25" t="str">
        <f t="shared" si="13"/>
        <v>TRUE</v>
      </c>
      <c r="E31" s="25">
        <v>1942.0</v>
      </c>
      <c r="F31" s="26">
        <v>1989.0</v>
      </c>
      <c r="G31" s="28" t="str">
        <f>HYPERLINK("http://www.nytimes.com/1989/06/27/obituaries/stephen-hassenfeld-is-dead-at-47-led-toy-company-to-no-1-spot.html","Stephen Hassenfeld")</f>
        <v>Stephen Hassenfeld</v>
      </c>
      <c r="H31" s="6" t="s">
        <v>165</v>
      </c>
      <c r="I31" s="6">
        <v>1923.0</v>
      </c>
      <c r="J31" s="6" t="s">
        <v>176</v>
      </c>
      <c r="K31" s="29" t="str">
        <f>HYPERLINK("http://www.toyassociation.org/App_Themes/tia/images/HOF/shassenfeld.jpg","Stephen Hassenfeld")</f>
        <v>Stephen Hassenfeld</v>
      </c>
      <c r="L31" s="18"/>
      <c r="M31" s="28" t="str">
        <f t="shared" si="14"/>
        <v>TIA Hall of Fame</v>
      </c>
      <c r="N31" s="6" t="s">
        <v>56</v>
      </c>
      <c r="O31" s="18"/>
      <c r="P31" s="6" t="s">
        <v>56</v>
      </c>
      <c r="Q31" s="6" t="s">
        <v>56</v>
      </c>
      <c r="R31" s="29" t="str">
        <f>HYPERLINK("http://en.wikipedia.org/wiki/Stephen_D._Hassenfeld","Wikipedia: Stephen D Hassenfeld")</f>
        <v>Wikipedia: Stephen D Hassenfeld</v>
      </c>
      <c r="S31" s="29" t="str">
        <f t="shared" si="15"/>
        <v>Hasbro Logo</v>
      </c>
      <c r="T31" s="36"/>
      <c r="U31" s="18"/>
      <c r="V31" s="6" t="s">
        <v>168</v>
      </c>
      <c r="W31" s="6"/>
      <c r="X31" s="6" t="s">
        <v>68</v>
      </c>
      <c r="Y31" s="18"/>
      <c r="Z31" s="28" t="str">
        <f t="shared" si="16"/>
        <v>www.hasbro.com</v>
      </c>
      <c r="AA31" s="28" t="str">
        <f t="shared" si="17"/>
        <v>Funding Universe: Hasbro</v>
      </c>
      <c r="AB31" s="28" t="str">
        <f t="shared" si="18"/>
        <v>Playground Professionals:Hasbro</v>
      </c>
      <c r="AC31" s="18"/>
      <c r="AD31" s="29" t="str">
        <f t="shared" si="19"/>
        <v>Wikipedia: Hasbro</v>
      </c>
      <c r="AE31" s="6" t="s">
        <v>170</v>
      </c>
      <c r="AF31" s="6" t="s">
        <v>177</v>
      </c>
      <c r="AG31" s="6"/>
      <c r="AH31" s="6" t="s">
        <v>172</v>
      </c>
      <c r="AI31" s="18"/>
      <c r="AJ31" s="18"/>
      <c r="AK31" s="18"/>
      <c r="AL31" s="18"/>
      <c r="AM31" s="18"/>
      <c r="AN31" s="18"/>
      <c r="AO31" s="18"/>
      <c r="AP31" s="18"/>
      <c r="AQ31" s="18"/>
      <c r="AR31" s="18"/>
      <c r="AS31" s="18"/>
      <c r="AT31" s="18"/>
      <c r="AU31" s="18"/>
      <c r="AV31" s="18"/>
      <c r="AW31" s="18"/>
      <c r="AX31" s="18"/>
      <c r="AY31" s="18"/>
      <c r="AZ31" s="18"/>
      <c r="BA31" s="18"/>
    </row>
    <row r="32">
      <c r="A32" s="24" t="s">
        <v>178</v>
      </c>
      <c r="B32" s="24" t="s">
        <v>179</v>
      </c>
      <c r="C32" s="24" t="s">
        <v>164</v>
      </c>
      <c r="D32" s="25" t="str">
        <f t="shared" si="13"/>
        <v>TRUE</v>
      </c>
      <c r="E32" s="25">
        <v>1948.0</v>
      </c>
      <c r="F32" s="26" t="s">
        <v>56</v>
      </c>
      <c r="G32" s="6" t="s">
        <v>56</v>
      </c>
      <c r="H32" s="6" t="s">
        <v>165</v>
      </c>
      <c r="I32" s="6">
        <v>1923.0</v>
      </c>
      <c r="J32" s="6" t="s">
        <v>180</v>
      </c>
      <c r="K32" s="28" t="s">
        <v>181</v>
      </c>
      <c r="L32" s="18"/>
      <c r="M32" s="28" t="str">
        <f t="shared" si="14"/>
        <v>TIA Hall of Fame</v>
      </c>
      <c r="N32" s="29" t="str">
        <f>HYPERLINK("http://www.tagieawards.com/nominees-and-recipients/hassenfeld-alan","Tagie Humanitarian Award 2010")</f>
        <v>Tagie Humanitarian Award 2010</v>
      </c>
      <c r="O32" s="18"/>
      <c r="P32" s="6" t="s">
        <v>56</v>
      </c>
      <c r="Q32" s="28" t="str">
        <f>HYPERLINK("http://investor.hasbro.com/directors.cfm","Hasbro Board Profile")</f>
        <v>Hasbro Board Profile</v>
      </c>
      <c r="R32" s="29" t="str">
        <f>HYPERLINK("http://en.wikipedia.org/wiki/Alan_G._Hassenfeld","Wikipedia: Alan G. Hassenfeld")</f>
        <v>Wikipedia: Alan G. Hassenfeld</v>
      </c>
      <c r="S32" s="29" t="str">
        <f t="shared" si="15"/>
        <v>Hasbro Logo</v>
      </c>
      <c r="T32" s="36"/>
      <c r="U32" s="18"/>
      <c r="V32" s="6" t="s">
        <v>168</v>
      </c>
      <c r="W32" s="6"/>
      <c r="X32" s="6" t="s">
        <v>68</v>
      </c>
      <c r="Y32" s="18"/>
      <c r="Z32" s="28" t="str">
        <f t="shared" si="16"/>
        <v>www.hasbro.com</v>
      </c>
      <c r="AA32" s="28" t="str">
        <f t="shared" si="17"/>
        <v>Funding Universe: Hasbro</v>
      </c>
      <c r="AB32" s="28" t="str">
        <f t="shared" si="18"/>
        <v>Playground Professionals:Hasbro</v>
      </c>
      <c r="AC32" s="18"/>
      <c r="AD32" s="29" t="str">
        <f t="shared" si="19"/>
        <v>Wikipedia: Hasbro</v>
      </c>
      <c r="AE32" s="6" t="s">
        <v>170</v>
      </c>
      <c r="AF32" s="6" t="s">
        <v>177</v>
      </c>
      <c r="AG32" s="6"/>
      <c r="AH32" s="6" t="s">
        <v>172</v>
      </c>
      <c r="AI32" s="18"/>
      <c r="AJ32" s="18"/>
      <c r="AK32" s="18"/>
      <c r="AL32" s="18"/>
      <c r="AM32" s="18"/>
      <c r="AN32" s="18"/>
      <c r="AO32" s="18"/>
      <c r="AP32" s="18"/>
      <c r="AQ32" s="18"/>
      <c r="AR32" s="18"/>
      <c r="AS32" s="18"/>
      <c r="AT32" s="18"/>
      <c r="AU32" s="18"/>
      <c r="AV32" s="18"/>
      <c r="AW32" s="18"/>
      <c r="AX32" s="18"/>
      <c r="AY32" s="18"/>
      <c r="AZ32" s="18"/>
      <c r="BA32" s="18"/>
    </row>
    <row r="33">
      <c r="A33" s="24" t="s">
        <v>182</v>
      </c>
      <c r="B33" s="30"/>
      <c r="C33" s="24" t="s">
        <v>183</v>
      </c>
      <c r="D33" s="25" t="str">
        <f t="shared" si="13"/>
        <v>TRUE</v>
      </c>
      <c r="E33" s="25" t="s">
        <v>184</v>
      </c>
      <c r="F33" s="26">
        <v>1974.0</v>
      </c>
      <c r="G33" s="18"/>
      <c r="H33" s="39" t="s">
        <v>185</v>
      </c>
      <c r="I33" s="6">
        <v>1927.0</v>
      </c>
      <c r="J33" s="6" t="s">
        <v>186</v>
      </c>
      <c r="K33" s="28" t="str">
        <f>HYPERLINK("http://www.pinball-gallery.com/liens/david_gottlieb_dedication.jpg","David Gottlieb")</f>
        <v>David Gottlieb</v>
      </c>
      <c r="L33" s="18"/>
      <c r="M33" s="18"/>
      <c r="N33" s="18"/>
      <c r="O33" s="18"/>
      <c r="P33" s="18"/>
      <c r="Q33" s="28" t="str">
        <f>HYPERLINK("http://books.google.com/books?id=5x0EAAAAMBAJ&amp;pg=PA93&amp;lpg=PA93&amp;dq=meyer+gensberg+genco&amp;source=bl&amp;ots=GsblzfS8Ed&amp;sig=kpM0kV1ES8FEEtTis2zd6XWz7Ho&amp;hl=en&amp;sa=X&amp;ei=sq4mVKXPE9SyyATqrYD4BA&amp;ved=0CCIQ6AEwAA#v=onepage&amp;q=meyer%20gensberg%20genco&amp;f=false","Billboard: Big Turnout at Gottlieb Kin Marriage")</f>
        <v>Billboard: Big Turnout at Gottlieb Kin Marriage</v>
      </c>
      <c r="R33" s="18"/>
      <c r="S33" s="18"/>
      <c r="T33" s="6" t="s">
        <v>187</v>
      </c>
      <c r="U33" s="18"/>
      <c r="V33" s="6" t="s">
        <v>188</v>
      </c>
      <c r="W33" s="18"/>
      <c r="X33" s="18"/>
      <c r="Y33" s="29" t="str">
        <f>HYPERLINK("http://www.mobygames.com/company/mylstar-electronics-inc","Mylstar Electronics")</f>
        <v>Mylstar Electronics</v>
      </c>
      <c r="Z33" s="28" t="str">
        <f>HYPERLINK("https://docs.google.com/spreadsheets/d/1kRODCQkJSbkw1ci50zjec03FyNuwpo1nRwjofDPjxQA/edit#gid=0","Wikipedia:Gottlieb")</f>
        <v>Wikipedia:Gottlieb</v>
      </c>
      <c r="AA33" s="27"/>
      <c r="AB33" s="27"/>
      <c r="AC33" s="27"/>
      <c r="AD33" s="28" t="str">
        <f>HYPERLINK("https://www.youtube.com/watch?v=n9E7WxWP-7g","Gottlieb Factory Tour")</f>
        <v>Gottlieb Factory Tour</v>
      </c>
      <c r="AE33" s="6" t="s">
        <v>189</v>
      </c>
      <c r="AF33" s="6" t="s">
        <v>190</v>
      </c>
      <c r="AG33" s="6" t="s">
        <v>191</v>
      </c>
      <c r="AH33" s="6">
        <v>1931.0</v>
      </c>
      <c r="AI33" s="28" t="str">
        <f>HYPERLINK("http://www.ipdb.org/showpic.pl?id=129&amp;picno=16257","Baffle Ball Ad")</f>
        <v>Baffle Ball Ad</v>
      </c>
      <c r="AJ33" s="18"/>
      <c r="AK33" s="6" t="s">
        <v>192</v>
      </c>
      <c r="AL33" s="28" t="str">
        <f>HYPERLINK("http://www.flippers.be/images/games/humptydumpty.jpg","HUmpty dumpty")</f>
        <v>HUmpty dumpty</v>
      </c>
      <c r="AM33" s="6" t="s">
        <v>193</v>
      </c>
      <c r="AN33" s="18"/>
      <c r="AO33" s="6">
        <v>1947.0</v>
      </c>
      <c r="AP33" s="18"/>
      <c r="AQ33" s="18"/>
      <c r="AR33" s="28" t="str">
        <f>HYPERLINK("http://www.ipdb.org/machine.cgi?id=1254","Internet Pinball Database: Humpty Dumpty")</f>
        <v>Internet Pinball Database: Humpty Dumpty</v>
      </c>
      <c r="AS33" s="29" t="str">
        <f>HYPERLINK("http://1930s.com/pinball/feature5.html","1930s.com: 50th anniversary of the flipper")</f>
        <v>1930s.com: 50th anniversary of the flipper</v>
      </c>
      <c r="AT33" s="28" t="str">
        <f>HYPERLINK("http://en.wikipedia.org/wiki/Q*bert","Wikipedia Q*bert")</f>
        <v>Wikipedia Q*bert</v>
      </c>
      <c r="AU33" s="18"/>
      <c r="AV33" s="18"/>
      <c r="AW33" s="18"/>
      <c r="AX33" s="18"/>
      <c r="AY33" s="18"/>
      <c r="AZ33" s="18"/>
      <c r="BA33" s="18"/>
    </row>
    <row r="34">
      <c r="A34" s="24" t="s">
        <v>194</v>
      </c>
      <c r="B34" s="24" t="s">
        <v>195</v>
      </c>
      <c r="C34" s="24" t="s">
        <v>196</v>
      </c>
      <c r="D34" s="25" t="str">
        <f t="shared" si="13"/>
        <v>TRUE</v>
      </c>
      <c r="E34" s="25">
        <v>1910.0</v>
      </c>
      <c r="F34" s="26">
        <v>1986.0</v>
      </c>
      <c r="G34" s="28" t="str">
        <f>HYPERLINK("http://articles.latimes.com/1986-02-27/local/me-11951_1_edwin-lowe","Edwin S. Lowe")</f>
        <v>Edwin S. Lowe</v>
      </c>
      <c r="H34" s="6" t="s">
        <v>197</v>
      </c>
      <c r="I34" s="6">
        <v>1928.0</v>
      </c>
      <c r="J34" s="6" t="s">
        <v>198</v>
      </c>
      <c r="K34" s="29" t="str">
        <f>HYPERLINK("http://www.nashuatelegraph.com/csp/cms/sites/dt.common.streams.StreamServer.cls?STREAMOID=lQacaQdhEAOXTjXorl29OM$daE2N3K4ZzOUsqbU5sYt6YK0Vz3pDA9FQuh0x_WYgWCsjLu883Ygn4B49Lvm9bPe2QeMKQdVeZmXF$9l$4uCZ8QDXhaHEp3rvzXRJFdy0KqPHLoMevcTLo3h8xh70Y6N_U_CryOsw6FTOdKL_jpQ-&amp;CONTENTTYPE=image/jpeg","Edwin Lowe")</f>
        <v>Edwin Lowe</v>
      </c>
      <c r="L34" s="18"/>
      <c r="M34" s="6" t="s">
        <v>56</v>
      </c>
      <c r="N34" s="28" t="str">
        <f>HYPERLINK("http://www.nytimes.com/1986/02/25/obituaries/edwin-s-lowe-75-toy-manufacturer-popularized-bingo.html","NY Times Obituary for Edwin S. Lowe")</f>
        <v>NY Times Obituary for Edwin S. Lowe</v>
      </c>
      <c r="O34" s="28" t="str">
        <f>HYPERLINK("http://inventors.about.com/library/inventors/blbingo.htm","About.Com Inventors:History of Bingo")</f>
        <v>About.Com Inventors:History of Bingo</v>
      </c>
      <c r="P34" s="28" t="str">
        <f>HYPERLINK("http://www.scribd.com/doc/6047325/History-of-the-E-S-Lowe-Company-and-the-Chess-Sets-It-Sold","Scribd:History of the ES Lowe Company and the Chess sets it sold")</f>
        <v>Scribd:History of the ES Lowe Company and the Chess sets it sold</v>
      </c>
      <c r="Q34" s="28" t="str">
        <f>HYPERLINK("http://www.yahtzeeonline.org/yahtzee-history.php","Yahtzee Online:Yahtzee History")</f>
        <v>Yahtzee Online:Yahtzee History</v>
      </c>
      <c r="R34" s="29" t="str">
        <f>HYPERLINK("http://en.wikipedia.org/wiki/Edwin_S._Lowe","Edwin S Lowe")</f>
        <v>Edwin S Lowe</v>
      </c>
      <c r="S34" s="28" t="str">
        <f>HYPERLINK("http://cf.geekdo-images.com/images/pic799370_md.jpg","E.S. Logo")</f>
        <v>E.S. Logo</v>
      </c>
      <c r="T34" s="27" t="s">
        <v>199</v>
      </c>
      <c r="U34" s="40" t="s">
        <v>200</v>
      </c>
      <c r="V34" s="6" t="s">
        <v>201</v>
      </c>
      <c r="W34" s="6"/>
      <c r="X34" s="6">
        <v>1973.0</v>
      </c>
      <c r="Y34" s="18"/>
      <c r="Z34" s="27" t="s">
        <v>56</v>
      </c>
      <c r="AA34" s="27" t="s">
        <v>56</v>
      </c>
      <c r="AB34" s="27" t="s">
        <v>56</v>
      </c>
      <c r="AC34" s="27" t="s">
        <v>56</v>
      </c>
      <c r="AD34" s="27" t="s">
        <v>56</v>
      </c>
      <c r="AE34" s="6" t="s">
        <v>197</v>
      </c>
      <c r="AF34" s="6" t="s">
        <v>202</v>
      </c>
      <c r="AG34" s="6"/>
      <c r="AH34" s="18"/>
      <c r="AI34" s="29" t="str">
        <f>HYPERLINK("https://img1.etsystatic.com/027/0/7399405/il_340x270.627227245_j6co.jpg","ES Lowe Bingo")</f>
        <v>ES Lowe Bingo</v>
      </c>
      <c r="AJ34" s="18"/>
      <c r="AK34" s="28" t="str">
        <f>HYPERLINK("https://upload.wikimedia.org/wikipedia/commons/thumb/8/80/Yahtzee_logo.svg/158px-Yahtzee_logo.svg.png","Yahtzee, armed services portable games")</f>
        <v>Yahtzee, armed services portable games</v>
      </c>
      <c r="AL34" s="18"/>
      <c r="AM34" s="18"/>
      <c r="AN34" s="18"/>
      <c r="AO34" s="6">
        <v>1956.0</v>
      </c>
      <c r="AP34" s="18"/>
      <c r="AQ34" s="36"/>
      <c r="AR34" s="18"/>
      <c r="AS34" s="18"/>
      <c r="AT34" s="18"/>
      <c r="AU34" s="18"/>
      <c r="AV34" s="18"/>
      <c r="AW34" s="18"/>
      <c r="AX34" s="18"/>
      <c r="AY34" s="18"/>
      <c r="AZ34" s="18"/>
      <c r="BA34" s="18"/>
    </row>
    <row r="35">
      <c r="A35" s="2" t="s">
        <v>203</v>
      </c>
      <c r="B35" s="32"/>
      <c r="C35" s="20" t="s">
        <v>204</v>
      </c>
      <c r="D35" s="25" t="b">
        <v>0</v>
      </c>
      <c r="E35" s="33"/>
      <c r="F35" s="34"/>
      <c r="G35" s="18"/>
      <c r="H35" s="6" t="s">
        <v>205</v>
      </c>
      <c r="I35" s="6">
        <v>1930.0</v>
      </c>
      <c r="J35" s="18"/>
      <c r="K35" s="18"/>
      <c r="L35" s="18"/>
      <c r="M35" s="28" t="str">
        <f>HYPERLINK("http://www.toyassociation.org/TIA/Events/HOF/Inductees/Events2/Hall_of_Fame/Hall_of_Fame_Inductees.aspx?hkey=513da8d5-c0f8-423a-be33-9a720a8b9276#.VB2nXOcu9xo","TIA Hall of Fame")</f>
        <v>TIA Hall of Fame</v>
      </c>
      <c r="N35" s="40" t="s">
        <v>206</v>
      </c>
      <c r="O35" s="18"/>
      <c r="P35" s="18"/>
      <c r="Q35" s="18"/>
      <c r="R35" s="18"/>
      <c r="S35" s="18"/>
      <c r="T35" s="18"/>
      <c r="U35" s="18"/>
      <c r="V35" s="18"/>
      <c r="W35" s="18"/>
      <c r="X35" s="18"/>
      <c r="Y35" s="18"/>
      <c r="Z35" s="18"/>
      <c r="AA35" s="29" t="str">
        <f>HYPERLINK("http://www.fundinguniverse.com/company-histories/fisher-price-inc-history/","Funding Universe: Fisher Price")</f>
        <v>Funding Universe: Fisher Price</v>
      </c>
      <c r="AB35" s="29" t="str">
        <f>HYPERLINK("http://www.playgroundprofessionals.com/encyclopedia/f/fisher-price","Playground Professionals: Fisher Price")</f>
        <v>Playground Professionals: Fisher Price</v>
      </c>
      <c r="AC35" s="18"/>
      <c r="AD35" s="18"/>
      <c r="AE35" s="6" t="s">
        <v>205</v>
      </c>
      <c r="AF35" s="18"/>
      <c r="AG35" s="18"/>
      <c r="AH35" s="18"/>
      <c r="AI35" s="18"/>
      <c r="AJ35" s="18"/>
      <c r="AK35" s="18"/>
      <c r="AL35" s="18"/>
      <c r="AM35" s="18"/>
      <c r="AN35" s="18"/>
      <c r="AO35" s="18"/>
      <c r="AP35" s="18"/>
      <c r="AQ35" s="18"/>
      <c r="AR35" s="18"/>
      <c r="AS35" s="18"/>
      <c r="AT35" s="18"/>
      <c r="AU35" s="18"/>
      <c r="AV35" s="18"/>
      <c r="AW35" s="18"/>
      <c r="AX35" s="18"/>
      <c r="AY35" s="18"/>
      <c r="AZ35" s="18"/>
      <c r="BA35" s="18"/>
    </row>
    <row r="36">
      <c r="A36" s="24" t="s">
        <v>207</v>
      </c>
      <c r="B36" s="30"/>
      <c r="C36" s="24" t="s">
        <v>208</v>
      </c>
      <c r="D36" s="25" t="str">
        <f>TRUE</f>
        <v>TRUE</v>
      </c>
      <c r="E36" s="25">
        <v>1889.0</v>
      </c>
      <c r="F36" s="26" t="s">
        <v>209</v>
      </c>
      <c r="G36" s="6" t="s">
        <v>56</v>
      </c>
      <c r="H36" s="6" t="s">
        <v>210</v>
      </c>
      <c r="I36" s="6">
        <v>1931.0</v>
      </c>
      <c r="J36" s="12" t="s">
        <v>211</v>
      </c>
      <c r="K36" s="6" t="s">
        <v>56</v>
      </c>
      <c r="L36" s="18"/>
      <c r="M36" s="6" t="s">
        <v>56</v>
      </c>
      <c r="N36" s="6" t="s">
        <v>56</v>
      </c>
      <c r="O36" s="18"/>
      <c r="P36" s="6" t="s">
        <v>56</v>
      </c>
      <c r="Q36" s="6" t="s">
        <v>56</v>
      </c>
      <c r="R36" s="29" t="str">
        <f t="shared" ref="R36:R37" si="20">HYPERLINK("http://en.wikipedia.org/wiki/Chicago_Coin","Wikipedia: Chicago Coin")</f>
        <v>Wikipedia: Chicago Coin</v>
      </c>
      <c r="S36" s="29" t="str">
        <f t="shared" ref="S36:S37" si="21">HYPERLINK("http://www.pinballrescue.net/Images/door_chicago.jpg","Chicago Coin Logo")</f>
        <v>Chicago Coin Logo</v>
      </c>
      <c r="T36" s="27" t="s">
        <v>212</v>
      </c>
      <c r="U36" s="18"/>
      <c r="V36" s="6" t="s">
        <v>188</v>
      </c>
      <c r="W36" s="6"/>
      <c r="X36" s="6">
        <v>1977.0</v>
      </c>
      <c r="Y36" s="18"/>
      <c r="Z36" s="29" t="str">
        <f>HYPERLINK("http://www.chicagocoin.com/","Chicago Coin")</f>
        <v>Chicago Coin</v>
      </c>
      <c r="AA36" s="27" t="s">
        <v>56</v>
      </c>
      <c r="AB36" s="27" t="s">
        <v>56</v>
      </c>
      <c r="AC36" s="29" t="str">
        <f>HYPERLINK("http://en.wikipedia.org/wiki/Chicago_Coin","Wikipedia: Chicago Coin")</f>
        <v>Wikipedia: Chicago Coin</v>
      </c>
      <c r="AD36" s="27" t="s">
        <v>56</v>
      </c>
      <c r="AE36" s="6" t="s">
        <v>210</v>
      </c>
      <c r="AF36" s="6" t="s">
        <v>213</v>
      </c>
      <c r="AG36" s="6" t="s">
        <v>214</v>
      </c>
      <c r="AH36" s="6">
        <v>1933.0</v>
      </c>
      <c r="AI36" s="6"/>
      <c r="AJ36" s="18"/>
      <c r="AK36" s="18"/>
      <c r="AL36" s="18"/>
      <c r="AM36" s="18"/>
      <c r="AN36" s="18"/>
      <c r="AO36" s="18"/>
      <c r="AP36" s="18"/>
      <c r="AQ36" s="18"/>
      <c r="AR36" s="18"/>
      <c r="AS36" s="18"/>
      <c r="AT36" s="18"/>
      <c r="AU36" s="18"/>
      <c r="AV36" s="18"/>
      <c r="AW36" s="18"/>
      <c r="AX36" s="18"/>
      <c r="AY36" s="18"/>
      <c r="AZ36" s="18"/>
      <c r="BA36" s="18"/>
    </row>
    <row r="37">
      <c r="A37" s="2" t="s">
        <v>207</v>
      </c>
      <c r="B37" s="41"/>
      <c r="C37" s="2" t="s">
        <v>215</v>
      </c>
      <c r="D37" s="25" t="b">
        <v>0</v>
      </c>
      <c r="E37" s="25">
        <v>1891.0</v>
      </c>
      <c r="F37" s="26">
        <v>1973.0</v>
      </c>
      <c r="G37" s="28" t="str">
        <f>HYPERLINK("http://www.geni.com/people/Samuel-Wolberg/4433325470510015458","Wolberg Geneology")</f>
        <v>Wolberg Geneology</v>
      </c>
      <c r="H37" s="6" t="s">
        <v>210</v>
      </c>
      <c r="I37" s="6">
        <v>1931.0</v>
      </c>
      <c r="J37" s="16"/>
      <c r="K37" s="6" t="s">
        <v>56</v>
      </c>
      <c r="L37" s="18"/>
      <c r="M37" s="6" t="s">
        <v>56</v>
      </c>
      <c r="N37" s="6" t="s">
        <v>56</v>
      </c>
      <c r="O37" s="18"/>
      <c r="P37" s="6" t="s">
        <v>56</v>
      </c>
      <c r="Q37" s="6" t="s">
        <v>56</v>
      </c>
      <c r="R37" s="29" t="str">
        <f t="shared" si="20"/>
        <v>Wikipedia: Chicago Coin</v>
      </c>
      <c r="S37" s="29" t="str">
        <f t="shared" si="21"/>
        <v>Chicago Coin Logo</v>
      </c>
      <c r="T37" s="36"/>
      <c r="U37" s="18"/>
      <c r="V37" s="6" t="s">
        <v>188</v>
      </c>
      <c r="W37" s="6"/>
      <c r="X37" s="6">
        <v>1977.0</v>
      </c>
      <c r="Y37" s="18"/>
      <c r="Z37" s="18"/>
      <c r="AA37" s="18"/>
      <c r="AB37" s="18"/>
      <c r="AC37" s="18"/>
      <c r="AD37" s="18"/>
      <c r="AE37" s="6" t="s">
        <v>210</v>
      </c>
      <c r="AF37" s="6"/>
      <c r="AG37" s="6"/>
      <c r="AH37" s="6">
        <v>1933.0</v>
      </c>
      <c r="AI37" s="18"/>
      <c r="AJ37" s="18"/>
      <c r="AK37" s="18"/>
      <c r="AL37" s="18"/>
      <c r="AM37" s="18"/>
      <c r="AN37" s="18"/>
      <c r="AO37" s="18"/>
      <c r="AP37" s="18"/>
      <c r="AQ37" s="18"/>
      <c r="AR37" s="18"/>
      <c r="AS37" s="18"/>
      <c r="AT37" s="18"/>
      <c r="AU37" s="18"/>
      <c r="AV37" s="18"/>
      <c r="AW37" s="18"/>
      <c r="AX37" s="18"/>
      <c r="AY37" s="18"/>
      <c r="AZ37" s="18"/>
      <c r="BA37" s="18"/>
    </row>
    <row r="38">
      <c r="A38" s="24" t="s">
        <v>216</v>
      </c>
      <c r="B38" s="30"/>
      <c r="C38" s="24" t="s">
        <v>217</v>
      </c>
      <c r="D38" s="25" t="str">
        <f>TRUE</f>
        <v>TRUE</v>
      </c>
      <c r="E38" s="25">
        <v>1911.0</v>
      </c>
      <c r="F38" s="26">
        <v>2012.0</v>
      </c>
      <c r="G38" s="28" t="str">
        <f>HYPERLINK("http://www.nytimes.com/2012/02/24/business/steve-kordek-innovator-of-pinball-game-dies-at-100.html?_r=0","Steve Kordek")</f>
        <v>Steve Kordek</v>
      </c>
      <c r="H38" s="6" t="s">
        <v>218</v>
      </c>
      <c r="I38" s="6">
        <v>1931.0</v>
      </c>
      <c r="J38" s="12" t="s">
        <v>219</v>
      </c>
      <c r="K38" s="29" t="str">
        <f>HYPERLINK("http://gamasutra.com/db_area/images/news2001/40404/sk.jpg","Steve Kordek")</f>
        <v>Steve Kordek</v>
      </c>
      <c r="L38" s="18"/>
      <c r="M38" s="6" t="s">
        <v>56</v>
      </c>
      <c r="N38" s="29" t="str">
        <f>HYPERLINK("http://www.pinballnews.com/shows/expo2006/index6.html","Pinball News: Pinball Expo 2006 Presentation Report")</f>
        <v>Pinball News: Pinball Expo 2006 Presentation Report</v>
      </c>
      <c r="O38" s="28" t="str">
        <f>HYPERLINK("http://www.pinrepair.com/topcast/topcast_show23.pdf","TopCast Interview Transcript")</f>
        <v>TopCast Interview Transcript</v>
      </c>
      <c r="P38" s="29" t="str">
        <f>HYPERLINK("http://content-cache.knowledgeplex.org/ksg/cache/assets/4948/3183/3183757.html","Chicago Tribune:Chicago's 98-year-old Pinball Wizard has a magic touch for the game")</f>
        <v>Chicago Tribune:Chicago's 98-year-old Pinball Wizard has a magic touch for the game</v>
      </c>
      <c r="Q38" s="28" t="str">
        <f>HYPERLINK("http://ahavasisraelgr.org/images/stories/sermons/2012/Notable_Deaths-5772.pdf","Ahavas Israel Newsletter")</f>
        <v>Ahavas Israel Newsletter</v>
      </c>
      <c r="R38" s="29" t="str">
        <f>HYPERLINK("http://en.wikipedia.org/wiki/Steve_Kordek","Steve Kordek")</f>
        <v>Steve Kordek</v>
      </c>
      <c r="S38" s="29" t="str">
        <f t="shared" ref="S38:S41" si="22">HYPERLINK("http://www.ipdb.org/showpic.pl?id=923&amp;picno=46183","Genco Logo")</f>
        <v>Genco Logo</v>
      </c>
      <c r="T38" s="27" t="s">
        <v>56</v>
      </c>
      <c r="U38" s="18"/>
      <c r="V38" s="6" t="s">
        <v>188</v>
      </c>
      <c r="W38" s="6"/>
      <c r="X38" s="6">
        <v>1958.0</v>
      </c>
      <c r="Y38" s="18"/>
      <c r="Z38" s="27" t="s">
        <v>56</v>
      </c>
      <c r="AA38" s="27" t="s">
        <v>56</v>
      </c>
      <c r="AB38" s="27" t="s">
        <v>56</v>
      </c>
      <c r="AC38" s="27" t="s">
        <v>56</v>
      </c>
      <c r="AD38" s="27" t="s">
        <v>56</v>
      </c>
      <c r="AE38" s="6" t="s">
        <v>218</v>
      </c>
      <c r="AF38" s="28" t="str">
        <f t="shared" ref="AF38:AF41" si="23">HYPERLINK("http://gameroomantiques.com/GencoPinballModels.htm","Buster Ball")</f>
        <v>Buster Ball</v>
      </c>
      <c r="AG38" s="27"/>
      <c r="AH38" s="6">
        <v>1931.0</v>
      </c>
      <c r="AI38" s="6" t="s">
        <v>119</v>
      </c>
      <c r="AJ38" s="18"/>
      <c r="AK38" s="6" t="s">
        <v>220</v>
      </c>
      <c r="AL38" s="28" t="str">
        <f>HYPERLINK("http://www.bmigaming.com/Images/tripleaction-1948.jpg","Triple Action Image")</f>
        <v>Triple Action Image</v>
      </c>
      <c r="AM38" s="6" t="s">
        <v>221</v>
      </c>
      <c r="AN38" s="18"/>
      <c r="AO38" s="6">
        <v>1948.0</v>
      </c>
      <c r="AP38" s="18"/>
      <c r="AQ38" s="18"/>
      <c r="AR38" s="28" t="str">
        <f>HYPERLINK("http://www.bmigaming.com/Images/tripleaction-1948.jpg","Internet Pinball Database: Triple Action")</f>
        <v>Internet Pinball Database: Triple Action</v>
      </c>
      <c r="AS38" s="18"/>
      <c r="AT38" s="18"/>
      <c r="AU38" s="18"/>
      <c r="AV38" s="18"/>
      <c r="AW38" s="18"/>
      <c r="AX38" s="18"/>
      <c r="AY38" s="18"/>
      <c r="AZ38" s="18"/>
      <c r="BA38" s="18"/>
    </row>
    <row r="39">
      <c r="A39" s="19" t="s">
        <v>125</v>
      </c>
      <c r="B39" s="32"/>
      <c r="C39" s="19" t="s">
        <v>208</v>
      </c>
      <c r="D39" s="25" t="b">
        <v>0</v>
      </c>
      <c r="E39" s="25" t="s">
        <v>56</v>
      </c>
      <c r="F39" s="26" t="s">
        <v>56</v>
      </c>
      <c r="G39" s="6" t="s">
        <v>56</v>
      </c>
      <c r="H39" s="6" t="s">
        <v>218</v>
      </c>
      <c r="I39" s="6">
        <v>1931.0</v>
      </c>
      <c r="J39" s="12" t="s">
        <v>222</v>
      </c>
      <c r="K39" s="6" t="s">
        <v>56</v>
      </c>
      <c r="L39" s="18"/>
      <c r="M39" s="6" t="s">
        <v>56</v>
      </c>
      <c r="N39" s="6" t="s">
        <v>56</v>
      </c>
      <c r="O39" s="18"/>
      <c r="P39" s="6" t="s">
        <v>56</v>
      </c>
      <c r="Q39" s="6" t="s">
        <v>56</v>
      </c>
      <c r="R39" s="6" t="s">
        <v>56</v>
      </c>
      <c r="S39" s="29" t="str">
        <f t="shared" si="22"/>
        <v>Genco Logo</v>
      </c>
      <c r="T39" s="36"/>
      <c r="U39" s="18"/>
      <c r="V39" s="6" t="s">
        <v>188</v>
      </c>
      <c r="W39" s="6"/>
      <c r="X39" s="6">
        <v>1958.0</v>
      </c>
      <c r="Y39" s="18"/>
      <c r="Z39" s="18"/>
      <c r="AA39" s="18"/>
      <c r="AB39" s="18"/>
      <c r="AC39" s="29" t="str">
        <f>HYPERLINK("http://en.wikipedia.org/wiki/Genco","Wikipedia: Genco")</f>
        <v>Wikipedia: Genco</v>
      </c>
      <c r="AD39" s="28" t="str">
        <f>HYPERLINK("http://www.pinballnews.com/shows/expo2006/index6.html","Pinball News: Shows: Kordek on Genco")</f>
        <v>Pinball News: Shows: Kordek on Genco</v>
      </c>
      <c r="AE39" s="6" t="s">
        <v>218</v>
      </c>
      <c r="AF39" s="28" t="str">
        <f t="shared" si="23"/>
        <v>Buster Ball</v>
      </c>
      <c r="AG39" s="27"/>
      <c r="AH39" s="6">
        <v>1931.0</v>
      </c>
      <c r="AI39" s="29" t="str">
        <f>HYPERLINK("http://www.arcade-history.com/images/cabinetmini160/18731.jpg","Buster Ball")</f>
        <v>Buster Ball</v>
      </c>
      <c r="AJ39" s="18"/>
      <c r="AK39" s="18"/>
      <c r="AL39" s="18"/>
      <c r="AM39" s="18"/>
      <c r="AN39" s="18"/>
      <c r="AO39" s="18"/>
      <c r="AP39" s="18"/>
      <c r="AQ39" s="18"/>
      <c r="AR39" s="18"/>
      <c r="AS39" s="18"/>
      <c r="AT39" s="18"/>
      <c r="AU39" s="18"/>
      <c r="AV39" s="18"/>
      <c r="AW39" s="18"/>
      <c r="AX39" s="18"/>
      <c r="AY39" s="18"/>
      <c r="AZ39" s="18"/>
      <c r="BA39" s="18"/>
    </row>
    <row r="40">
      <c r="A40" s="19" t="s">
        <v>223</v>
      </c>
      <c r="B40" s="32"/>
      <c r="C40" s="19" t="s">
        <v>208</v>
      </c>
      <c r="D40" s="25" t="b">
        <v>0</v>
      </c>
      <c r="E40" s="25" t="s">
        <v>56</v>
      </c>
      <c r="F40" s="26" t="s">
        <v>56</v>
      </c>
      <c r="G40" s="6" t="s">
        <v>56</v>
      </c>
      <c r="H40" s="6" t="s">
        <v>218</v>
      </c>
      <c r="I40" s="6">
        <v>1931.0</v>
      </c>
      <c r="J40" s="12" t="s">
        <v>222</v>
      </c>
      <c r="K40" s="6" t="s">
        <v>56</v>
      </c>
      <c r="L40" s="18"/>
      <c r="M40" s="6" t="s">
        <v>56</v>
      </c>
      <c r="N40" s="6" t="s">
        <v>56</v>
      </c>
      <c r="O40" s="18"/>
      <c r="P40" s="6" t="s">
        <v>56</v>
      </c>
      <c r="Q40" s="6" t="s">
        <v>56</v>
      </c>
      <c r="R40" s="6" t="s">
        <v>56</v>
      </c>
      <c r="S40" s="29" t="str">
        <f t="shared" si="22"/>
        <v>Genco Logo</v>
      </c>
      <c r="T40" s="36"/>
      <c r="U40" s="18"/>
      <c r="V40" s="6" t="s">
        <v>188</v>
      </c>
      <c r="W40" s="6"/>
      <c r="X40" s="6">
        <v>1958.0</v>
      </c>
      <c r="Y40" s="18"/>
      <c r="Z40" s="18"/>
      <c r="AA40" s="18"/>
      <c r="AB40" s="18"/>
      <c r="AC40" s="18"/>
      <c r="AD40" s="18"/>
      <c r="AE40" s="6" t="s">
        <v>218</v>
      </c>
      <c r="AF40" s="28" t="str">
        <f t="shared" si="23"/>
        <v>Buster Ball</v>
      </c>
      <c r="AG40" s="27"/>
      <c r="AH40" s="6">
        <v>1931.0</v>
      </c>
      <c r="AI40" s="18"/>
      <c r="AJ40" s="18"/>
      <c r="AK40" s="18"/>
      <c r="AL40" s="18"/>
      <c r="AM40" s="18"/>
      <c r="AN40" s="18"/>
      <c r="AO40" s="18"/>
      <c r="AP40" s="18"/>
      <c r="AQ40" s="18"/>
      <c r="AR40" s="18"/>
      <c r="AS40" s="18"/>
      <c r="AT40" s="18"/>
      <c r="AU40" s="18"/>
      <c r="AV40" s="18"/>
      <c r="AW40" s="18"/>
      <c r="AX40" s="18"/>
      <c r="AY40" s="18"/>
      <c r="AZ40" s="18"/>
      <c r="BA40" s="18"/>
    </row>
    <row r="41">
      <c r="A41" s="19" t="s">
        <v>182</v>
      </c>
      <c r="B41" s="32"/>
      <c r="C41" s="19" t="s">
        <v>208</v>
      </c>
      <c r="D41" s="25" t="b">
        <v>0</v>
      </c>
      <c r="E41" s="25" t="s">
        <v>56</v>
      </c>
      <c r="F41" s="26" t="s">
        <v>56</v>
      </c>
      <c r="G41" s="6" t="s">
        <v>56</v>
      </c>
      <c r="H41" s="6" t="s">
        <v>218</v>
      </c>
      <c r="I41" s="6">
        <v>1931.0</v>
      </c>
      <c r="J41" s="12" t="s">
        <v>222</v>
      </c>
      <c r="K41" s="6" t="s">
        <v>56</v>
      </c>
      <c r="L41" s="18"/>
      <c r="M41" s="6" t="s">
        <v>56</v>
      </c>
      <c r="N41" s="6" t="s">
        <v>56</v>
      </c>
      <c r="O41" s="18"/>
      <c r="P41" s="6" t="s">
        <v>56</v>
      </c>
      <c r="Q41" s="6" t="s">
        <v>56</v>
      </c>
      <c r="R41" s="6" t="s">
        <v>56</v>
      </c>
      <c r="S41" s="29" t="str">
        <f t="shared" si="22"/>
        <v>Genco Logo</v>
      </c>
      <c r="T41" s="36"/>
      <c r="U41" s="18"/>
      <c r="V41" s="6" t="s">
        <v>188</v>
      </c>
      <c r="W41" s="6"/>
      <c r="X41" s="6">
        <v>1958.0</v>
      </c>
      <c r="Y41" s="18"/>
      <c r="Z41" s="18"/>
      <c r="AA41" s="18"/>
      <c r="AB41" s="18"/>
      <c r="AC41" s="18"/>
      <c r="AD41" s="18"/>
      <c r="AE41" s="6" t="s">
        <v>218</v>
      </c>
      <c r="AF41" s="28" t="str">
        <f t="shared" si="23"/>
        <v>Buster Ball</v>
      </c>
      <c r="AG41" s="27"/>
      <c r="AH41" s="6">
        <v>1931.0</v>
      </c>
      <c r="AI41" s="18"/>
      <c r="AJ41" s="18"/>
      <c r="AK41" s="18"/>
      <c r="AL41" s="18"/>
      <c r="AM41" s="18"/>
      <c r="AN41" s="18"/>
      <c r="AO41" s="18"/>
      <c r="AP41" s="18"/>
      <c r="AQ41" s="18"/>
      <c r="AR41" s="18"/>
      <c r="AS41" s="18"/>
      <c r="AT41" s="18"/>
      <c r="AU41" s="18"/>
      <c r="AV41" s="18"/>
      <c r="AW41" s="18"/>
      <c r="AX41" s="18"/>
      <c r="AY41" s="18"/>
      <c r="AZ41" s="18"/>
      <c r="BA41" s="18"/>
    </row>
    <row r="42">
      <c r="A42" s="2" t="s">
        <v>125</v>
      </c>
      <c r="B42" s="41"/>
      <c r="C42" s="2" t="s">
        <v>224</v>
      </c>
      <c r="D42" s="25" t="b">
        <v>0</v>
      </c>
      <c r="E42" s="25" t="s">
        <v>56</v>
      </c>
      <c r="F42" s="26" t="s">
        <v>56</v>
      </c>
      <c r="G42" s="6" t="s">
        <v>56</v>
      </c>
      <c r="H42" s="6" t="s">
        <v>210</v>
      </c>
      <c r="I42" s="6">
        <v>1931.0</v>
      </c>
      <c r="J42" s="16"/>
      <c r="K42" s="6" t="s">
        <v>56</v>
      </c>
      <c r="L42" s="18"/>
      <c r="M42" s="6" t="s">
        <v>56</v>
      </c>
      <c r="N42" s="6" t="s">
        <v>56</v>
      </c>
      <c r="O42" s="18"/>
      <c r="P42" s="6" t="s">
        <v>56</v>
      </c>
      <c r="Q42" s="6" t="s">
        <v>56</v>
      </c>
      <c r="R42" s="29" t="str">
        <f>HYPERLINK("http://en.wikipedia.org/wiki/Chicago_Coin","Wikipedia: Chicago Coin")</f>
        <v>Wikipedia: Chicago Coin</v>
      </c>
      <c r="S42" s="29" t="str">
        <f>HYPERLINK("http://www.pinballrescue.net/Images/door_chicago.jpg","Chicago Coin Logo")</f>
        <v>Chicago Coin Logo</v>
      </c>
      <c r="T42" s="36"/>
      <c r="U42" s="18"/>
      <c r="V42" s="6" t="s">
        <v>188</v>
      </c>
      <c r="W42" s="6"/>
      <c r="X42" s="6">
        <v>1977.0</v>
      </c>
      <c r="Y42" s="18"/>
      <c r="Z42" s="18"/>
      <c r="AA42" s="18"/>
      <c r="AB42" s="27"/>
      <c r="AC42" s="18"/>
      <c r="AD42" s="18"/>
      <c r="AE42" s="6" t="s">
        <v>210</v>
      </c>
      <c r="AF42" s="6"/>
      <c r="AG42" s="6"/>
      <c r="AH42" s="6">
        <v>1933.0</v>
      </c>
      <c r="AI42" s="18"/>
      <c r="AJ42" s="18"/>
      <c r="AK42" s="18"/>
      <c r="AL42" s="18"/>
      <c r="AM42" s="18"/>
      <c r="AN42" s="18"/>
      <c r="AO42" s="18"/>
      <c r="AP42" s="18"/>
      <c r="AQ42" s="18"/>
      <c r="AR42" s="18"/>
      <c r="AS42" s="18"/>
      <c r="AT42" s="18"/>
      <c r="AU42" s="18"/>
      <c r="AV42" s="18"/>
      <c r="AW42" s="18"/>
      <c r="AX42" s="18"/>
      <c r="AY42" s="18"/>
      <c r="AZ42" s="18"/>
      <c r="BA42" s="18"/>
    </row>
    <row r="43">
      <c r="A43" s="24" t="s">
        <v>225</v>
      </c>
      <c r="B43" s="30"/>
      <c r="C43" s="24" t="s">
        <v>70</v>
      </c>
      <c r="D43" s="25" t="str">
        <f t="shared" ref="D43:D44" si="24">TRUE</f>
        <v>TRUE</v>
      </c>
      <c r="E43" s="25">
        <v>1880.0</v>
      </c>
      <c r="F43" s="26">
        <v>1940.0</v>
      </c>
      <c r="G43" s="6" t="s">
        <v>56</v>
      </c>
      <c r="H43" s="6" t="s">
        <v>226</v>
      </c>
      <c r="I43" s="6">
        <v>1932.0</v>
      </c>
      <c r="J43" s="6" t="s">
        <v>227</v>
      </c>
      <c r="K43" s="29" t="str">
        <f>HYPERLINK("http://www.trix-twin.co.uk/Trixpeople_files/image035.jpg","Stephan Bing")</f>
        <v>Stephan Bing</v>
      </c>
      <c r="L43" s="18"/>
      <c r="M43" s="6" t="s">
        <v>56</v>
      </c>
      <c r="N43" s="28" t="str">
        <f>HYPERLINK("http://www.trix-twin.co.uk/Trixpeople.htm","Trix-Twin: ""Formative years...""")</f>
        <v>Trix-Twin: "Formative years..."</v>
      </c>
      <c r="O43" s="18"/>
      <c r="P43" s="6" t="s">
        <v>56</v>
      </c>
      <c r="Q43" s="6" t="s">
        <v>56</v>
      </c>
      <c r="R43" s="6" t="s">
        <v>56</v>
      </c>
      <c r="S43" s="29" t="str">
        <f>HYPERLINK("http://www.brightontoymuseum.co.uk/w/images/TrixTwin_CoronationScot.jpg","Trix Twin Railway")</f>
        <v>Trix Twin Railway</v>
      </c>
      <c r="T43" s="27" t="s">
        <v>228</v>
      </c>
      <c r="U43" s="18"/>
      <c r="V43" s="6" t="s">
        <v>229</v>
      </c>
      <c r="W43" s="6"/>
      <c r="X43" s="6" t="s">
        <v>68</v>
      </c>
      <c r="Y43" s="18"/>
      <c r="Z43" s="29" t="str">
        <f>HYPERLINK("https://www.trixtrains.com/","Trix Trains")</f>
        <v>Trix Trains</v>
      </c>
      <c r="AA43" s="27" t="s">
        <v>56</v>
      </c>
      <c r="AB43" s="27" t="s">
        <v>56</v>
      </c>
      <c r="AC43" s="42" t="str">
        <f>HYPERLINK("http://en.wikipedia.org/wiki/Trix_%28company%29","Wikipedia: Trix Company")</f>
        <v>Wikipedia: Trix Company</v>
      </c>
      <c r="AD43" s="28" t="str">
        <f>HYPERLINK("http://www.gracesguide.co.uk/Trix","Grace's Guide:Trix")</f>
        <v>Grace's Guide:Trix</v>
      </c>
      <c r="AE43" s="6" t="s">
        <v>226</v>
      </c>
      <c r="AF43" s="6" t="s">
        <v>230</v>
      </c>
      <c r="AG43" s="6"/>
      <c r="AH43" s="6">
        <v>1935.0</v>
      </c>
      <c r="AI43" s="29" t="str">
        <f>HYPERLINK("http://www.vectis.co.uk/AuctionImages/365/600_l.jpg","Trix Trains")</f>
        <v>Trix Trains</v>
      </c>
      <c r="AJ43" s="18"/>
      <c r="AK43" s="6" t="s">
        <v>76</v>
      </c>
      <c r="AL43" s="18"/>
      <c r="AM43" s="18"/>
      <c r="AN43" s="18"/>
      <c r="AO43" s="18"/>
      <c r="AP43" s="18"/>
      <c r="AQ43" s="18"/>
      <c r="AR43" s="18"/>
      <c r="AS43" s="18"/>
      <c r="AT43" s="18"/>
      <c r="AU43" s="18"/>
      <c r="AV43" s="18"/>
      <c r="AW43" s="18"/>
      <c r="AX43" s="18"/>
      <c r="AY43" s="18"/>
      <c r="AZ43" s="18"/>
      <c r="BA43" s="18"/>
    </row>
    <row r="44">
      <c r="A44" s="24" t="s">
        <v>231</v>
      </c>
      <c r="B44" s="30"/>
      <c r="C44" s="24" t="s">
        <v>232</v>
      </c>
      <c r="D44" s="25" t="str">
        <f t="shared" si="24"/>
        <v>TRUE</v>
      </c>
      <c r="E44" s="25">
        <v>1934.0</v>
      </c>
      <c r="F44" s="26" t="s">
        <v>56</v>
      </c>
      <c r="G44" s="6" t="s">
        <v>56</v>
      </c>
      <c r="H44" s="6" t="s">
        <v>233</v>
      </c>
      <c r="I44" s="6">
        <v>1932.0</v>
      </c>
      <c r="J44" s="6" t="s">
        <v>234</v>
      </c>
      <c r="K44" s="29" t="str">
        <f>HYPERLINK("http://www.colecovisionzone.com/photos/coleco/Greenberg/colecovision%20arnold%20greenberg%202.jpg","Arnold Greenberg")</f>
        <v>Arnold Greenberg</v>
      </c>
      <c r="L44" s="18"/>
      <c r="M44" s="6" t="s">
        <v>56</v>
      </c>
      <c r="N44" s="28" t="str">
        <f>HYPERLINK("http://www.jewishledger.com/2011/09/q-a-with-arnold-greenberg-founder-of-the-maurice-greenberg-center-for-judaic-studies/","Jewish Ledger: Q and A with Arnold Greenberg")</f>
        <v>Jewish Ledger: Q and A with Arnold Greenberg</v>
      </c>
      <c r="O44" s="18"/>
      <c r="P44" s="6" t="s">
        <v>56</v>
      </c>
      <c r="Q44" s="6" t="s">
        <v>56</v>
      </c>
      <c r="R44" s="6" t="s">
        <v>56</v>
      </c>
      <c r="S44" s="29" t="str">
        <f>HYPERLINK("http://upload.wikimedia.org/wikipedia/commons/thumb/c/c9/Coleco_logo.svg/330px-Coleco_logo.svg.png","Coleco Logo")</f>
        <v>Coleco Logo</v>
      </c>
      <c r="T44" s="27" t="s">
        <v>235</v>
      </c>
      <c r="U44" s="18"/>
      <c r="V44" s="6" t="s">
        <v>236</v>
      </c>
      <c r="W44" s="6"/>
      <c r="X44" s="6">
        <v>1988.0</v>
      </c>
      <c r="Y44" s="18"/>
      <c r="Z44" s="29" t="str">
        <f t="shared" ref="Z44:Z45" si="25">HYPERLINK("http://www.coleco.vision/","Coleco")</f>
        <v>Coleco</v>
      </c>
      <c r="AA44" s="27" t="s">
        <v>56</v>
      </c>
      <c r="AB44" s="28" t="str">
        <f t="shared" ref="AB44:AB45" si="26">HYPERLINK("http://thedoteaters.com/?bitstory=colecovision","Dot Eaters:Colecovision")</f>
        <v>Dot Eaters:Colecovision</v>
      </c>
      <c r="AC44" s="29" t="str">
        <f>HYPERLINK("http://en.wikipedia.org/wiki/Coleco","Wikipedia: Coleco")</f>
        <v>Wikipedia: Coleco</v>
      </c>
      <c r="AD44" s="27" t="s">
        <v>56</v>
      </c>
      <c r="AE44" s="6" t="s">
        <v>233</v>
      </c>
      <c r="AF44" s="6" t="s">
        <v>237</v>
      </c>
      <c r="AG44" s="6"/>
      <c r="AH44" s="6">
        <v>1976.0</v>
      </c>
      <c r="AI44" s="28" t="s">
        <v>238</v>
      </c>
      <c r="AJ44" s="18"/>
      <c r="AK44" s="18"/>
      <c r="AL44" s="18"/>
      <c r="AM44" s="18"/>
      <c r="AN44" s="18"/>
      <c r="AO44" s="18"/>
      <c r="AP44" s="18"/>
      <c r="AQ44" s="18"/>
      <c r="AR44" s="18"/>
      <c r="AS44" s="18"/>
      <c r="AT44" s="18"/>
      <c r="AU44" s="18"/>
      <c r="AV44" s="18"/>
      <c r="AW44" s="18"/>
      <c r="AX44" s="18"/>
      <c r="AY44" s="18"/>
      <c r="AZ44" s="18"/>
      <c r="BA44" s="18"/>
    </row>
    <row r="45">
      <c r="A45" s="2" t="s">
        <v>239</v>
      </c>
      <c r="B45" s="32"/>
      <c r="C45" s="20" t="s">
        <v>232</v>
      </c>
      <c r="D45" s="25" t="b">
        <v>0</v>
      </c>
      <c r="E45" s="33"/>
      <c r="F45" s="26">
        <v>1980.0</v>
      </c>
      <c r="G45" s="6" t="s">
        <v>56</v>
      </c>
      <c r="H45" s="6" t="s">
        <v>233</v>
      </c>
      <c r="I45" s="6">
        <v>1932.0</v>
      </c>
      <c r="J45" s="18"/>
      <c r="K45" s="18"/>
      <c r="L45" s="18"/>
      <c r="M45" s="18"/>
      <c r="N45" s="18"/>
      <c r="O45" s="18"/>
      <c r="P45" s="18"/>
      <c r="Q45" s="18"/>
      <c r="R45" s="18"/>
      <c r="S45" s="18"/>
      <c r="T45" s="18"/>
      <c r="U45" s="18"/>
      <c r="V45" s="18"/>
      <c r="W45" s="18"/>
      <c r="X45" s="6">
        <v>1938.0</v>
      </c>
      <c r="Y45" s="18"/>
      <c r="Z45" s="29" t="str">
        <f t="shared" si="25"/>
        <v>Coleco</v>
      </c>
      <c r="AA45" s="18"/>
      <c r="AB45" s="28" t="str">
        <f t="shared" si="26"/>
        <v>Dot Eaters:Colecovision</v>
      </c>
      <c r="AC45" s="18"/>
      <c r="AD45" s="18"/>
      <c r="AE45" s="6" t="s">
        <v>233</v>
      </c>
      <c r="AF45" s="6" t="s">
        <v>240</v>
      </c>
      <c r="AG45" s="6"/>
      <c r="AH45" s="18"/>
      <c r="AI45" s="18"/>
      <c r="AJ45" s="18"/>
      <c r="AK45" s="6" t="s">
        <v>237</v>
      </c>
      <c r="AL45" s="6" t="s">
        <v>241</v>
      </c>
      <c r="AM45" s="6"/>
      <c r="AN45" s="18"/>
      <c r="AO45" s="18"/>
      <c r="AP45" s="18"/>
      <c r="AQ45" s="18"/>
      <c r="AR45" s="18"/>
      <c r="AS45" s="18"/>
      <c r="AT45" s="18"/>
      <c r="AU45" s="18"/>
      <c r="AV45" s="18"/>
      <c r="AW45" s="18"/>
      <c r="AX45" s="18"/>
      <c r="AY45" s="18"/>
      <c r="AZ45" s="18"/>
      <c r="BA45" s="18"/>
    </row>
    <row r="46">
      <c r="A46" s="24" t="s">
        <v>242</v>
      </c>
      <c r="B46" s="24" t="s">
        <v>243</v>
      </c>
      <c r="C46" s="24" t="s">
        <v>244</v>
      </c>
      <c r="D46" s="25" t="str">
        <f>TRUE</f>
        <v>TRUE</v>
      </c>
      <c r="E46" s="25">
        <v>1907.0</v>
      </c>
      <c r="F46" s="26">
        <v>1972.0</v>
      </c>
      <c r="G46" s="28" t="str">
        <f>HYPERLINK("http://news.google.com/newspapers?nid=1368&amp;dat=19720629&amp;id=K5lRAAAAIBAJ&amp;sjid=YBEEAAAAIBAJ&amp;pg=7327,3910878","MW Kasch")</f>
        <v>MW Kasch</v>
      </c>
      <c r="H46" s="6" t="s">
        <v>245</v>
      </c>
      <c r="I46" s="6">
        <v>1934.0</v>
      </c>
      <c r="J46" s="6" t="s">
        <v>246</v>
      </c>
      <c r="K46" s="29" t="str">
        <f>HYPERLINK("http://www.toyassociation.org/App_Themes/tia/images/HOF/kasch.jpg","MW Kasch")</f>
        <v>MW Kasch</v>
      </c>
      <c r="L46" s="18"/>
      <c r="M46" s="28" t="str">
        <f>HYPERLINK("http://www.toyassociation.org/TIA/Events/HOF/Inductees/Events2/Hall_of_Fame/Hall_of_Fame_Inductees.aspx?hkey=513da8d5-c0f8-423a-be33-9a720a8b9276#.VB2nXOcu9xo","TIA Hall of Fame")</f>
        <v>TIA Hall of Fame</v>
      </c>
      <c r="N46" s="28" t="str">
        <f>HYPERLINK("http://news.google.com/newspapers?nid=1683&amp;dat=20020206&amp;id=SrQaAAAAIBAJ&amp;sjid=lT8EAAAAIBAJ&amp;pg=5055,4737521","Milwaulee Journal Sentinal:Toy distributor winding down")</f>
        <v>Milwaulee Journal Sentinal:Toy distributor winding down</v>
      </c>
      <c r="O46" s="18"/>
      <c r="P46" s="6" t="s">
        <v>56</v>
      </c>
      <c r="Q46" s="6" t="s">
        <v>56</v>
      </c>
      <c r="R46" s="6" t="s">
        <v>56</v>
      </c>
      <c r="S46" s="6" t="s">
        <v>124</v>
      </c>
      <c r="T46" s="6" t="s">
        <v>247</v>
      </c>
      <c r="U46" s="18"/>
      <c r="V46" s="6" t="s">
        <v>248</v>
      </c>
      <c r="W46" s="6"/>
      <c r="X46" s="6" t="s">
        <v>124</v>
      </c>
      <c r="Y46" s="18"/>
      <c r="Z46" s="27" t="s">
        <v>56</v>
      </c>
      <c r="AA46" s="27" t="s">
        <v>56</v>
      </c>
      <c r="AB46" s="27" t="s">
        <v>56</v>
      </c>
      <c r="AC46" s="27" t="s">
        <v>56</v>
      </c>
      <c r="AD46" s="27" t="s">
        <v>56</v>
      </c>
      <c r="AE46" s="6" t="s">
        <v>245</v>
      </c>
      <c r="AF46" s="6" t="s">
        <v>56</v>
      </c>
      <c r="AG46" s="6"/>
      <c r="AH46" s="6" t="s">
        <v>56</v>
      </c>
      <c r="AI46" s="18"/>
      <c r="AJ46" s="18"/>
      <c r="AK46" s="6" t="s">
        <v>56</v>
      </c>
      <c r="AL46" s="18"/>
      <c r="AM46" s="18"/>
      <c r="AN46" s="18"/>
      <c r="AO46" s="18"/>
      <c r="AP46" s="18"/>
      <c r="AQ46" s="18"/>
      <c r="AR46" s="18"/>
      <c r="AS46" s="18"/>
      <c r="AT46" s="18"/>
      <c r="AU46" s="18"/>
      <c r="AV46" s="18"/>
      <c r="AW46" s="18"/>
      <c r="AX46" s="18"/>
      <c r="AY46" s="18"/>
      <c r="AZ46" s="18"/>
      <c r="BA46" s="18"/>
    </row>
    <row r="47">
      <c r="A47" s="2" t="s">
        <v>249</v>
      </c>
      <c r="B47" s="19" t="s">
        <v>250</v>
      </c>
      <c r="C47" s="20" t="s">
        <v>251</v>
      </c>
      <c r="D47" s="25" t="b">
        <v>0</v>
      </c>
      <c r="E47" s="25">
        <v>1907.0</v>
      </c>
      <c r="F47" s="26">
        <v>2000.0</v>
      </c>
      <c r="G47" s="18"/>
      <c r="H47" s="6" t="s">
        <v>252</v>
      </c>
      <c r="I47" s="6">
        <v>1938.0</v>
      </c>
      <c r="J47" s="18"/>
      <c r="K47" s="18"/>
      <c r="L47" s="18"/>
      <c r="M47" s="18"/>
      <c r="N47" s="18"/>
      <c r="O47" s="18"/>
      <c r="P47" s="18"/>
      <c r="Q47" s="18"/>
      <c r="R47" s="18"/>
      <c r="S47" s="18"/>
      <c r="T47" s="18"/>
      <c r="U47" s="18"/>
      <c r="V47" s="18"/>
      <c r="W47" s="18"/>
      <c r="X47" s="6">
        <v>1978.0</v>
      </c>
      <c r="Y47" s="18"/>
      <c r="Z47" s="18"/>
      <c r="AA47" s="18"/>
      <c r="AB47" s="18"/>
      <c r="AC47" s="28" t="str">
        <f>HYPERLINK("http://en.wikipedia.org/wiki/Timpo","WIkipedia: Timpo")</f>
        <v>WIkipedia: Timpo</v>
      </c>
      <c r="AD47" s="28" t="str">
        <f>HYPERLINK("http://www.dailyrecord.co.uk/news/local-news/toy-story-timpo-exhibition-opens-2569897","http://www.dailyrecord.co.uk/news/local-news/toy-story-timpo-exhibition-opens-2569897")</f>
        <v>http://www.dailyrecord.co.uk/news/local-news/toy-story-timpo-exhibition-opens-2569897</v>
      </c>
      <c r="AE47" s="6" t="s">
        <v>252</v>
      </c>
      <c r="AF47" s="18"/>
      <c r="AG47" s="18"/>
      <c r="AH47" s="18"/>
      <c r="AI47" s="18"/>
      <c r="AJ47" s="18"/>
      <c r="AK47" s="6" t="s">
        <v>253</v>
      </c>
      <c r="AL47" s="18"/>
      <c r="AM47" s="18"/>
      <c r="AN47" s="18"/>
      <c r="AO47" s="18"/>
      <c r="AP47" s="18"/>
      <c r="AQ47" s="18"/>
      <c r="AR47" s="18"/>
      <c r="AS47" s="18"/>
      <c r="AT47" s="18"/>
      <c r="AU47" s="18"/>
      <c r="AV47" s="18"/>
      <c r="AW47" s="18"/>
      <c r="AX47" s="18"/>
      <c r="AY47" s="18"/>
      <c r="AZ47" s="18"/>
      <c r="BA47" s="18"/>
    </row>
    <row r="48">
      <c r="A48" s="24" t="s">
        <v>182</v>
      </c>
      <c r="B48" s="30"/>
      <c r="C48" s="24" t="s">
        <v>154</v>
      </c>
      <c r="D48" s="25" t="str">
        <f t="shared" ref="D48:D63" si="27">TRUE</f>
        <v>TRUE</v>
      </c>
      <c r="E48" s="25">
        <v>1930.0</v>
      </c>
      <c r="F48" s="26" t="s">
        <v>56</v>
      </c>
      <c r="G48" s="6" t="s">
        <v>56</v>
      </c>
      <c r="H48" s="6" t="s">
        <v>254</v>
      </c>
      <c r="I48" s="6">
        <v>1940.0</v>
      </c>
      <c r="J48" s="6" t="s">
        <v>255</v>
      </c>
      <c r="K48" s="29" t="str">
        <f>HYPERLINK("http://segaretro.org/images/f/fe/Davidrosen.jpg","David Rosen")</f>
        <v>David Rosen</v>
      </c>
      <c r="L48" s="18"/>
      <c r="M48" s="6" t="s">
        <v>56</v>
      </c>
      <c r="N48" s="6" t="s">
        <v>56</v>
      </c>
      <c r="O48" s="18"/>
      <c r="P48" s="6" t="s">
        <v>56</v>
      </c>
      <c r="Q48" s="28" t="str">
        <f>HYPERLINK("http://www.seganerds.com/2014/03/16/know-your-history-the-rosen-report/","SEGA Nerds:Know Your History: The Rosen Report")</f>
        <v>SEGA Nerds:Know Your History: The Rosen Report</v>
      </c>
      <c r="R48" s="29" t="str">
        <f>HYPERLINK("http://en.wikipedia.org/wiki/David_Rosen_%28business%29","David Rosen")</f>
        <v>David Rosen</v>
      </c>
      <c r="S48" s="29" t="str">
        <f>HYPERLINK("http://upload.wikimedia.org/wikipedia/commons/4/41/SEGA_logo.png","Sega Logo")</f>
        <v>Sega Logo</v>
      </c>
      <c r="T48" s="6" t="s">
        <v>256</v>
      </c>
      <c r="U48" s="18"/>
      <c r="V48" s="43" t="s">
        <v>257</v>
      </c>
      <c r="W48" s="43"/>
      <c r="X48" s="6" t="s">
        <v>124</v>
      </c>
      <c r="Y48" s="18"/>
      <c r="Z48" s="29" t="str">
        <f>HYPERLINK("http://www.sega.com/","Sega")</f>
        <v>Sega</v>
      </c>
      <c r="AA48" s="29" t="str">
        <f>HYPERLINK("http://www.fundinguniverse.com/company-histories/sega-of-america-inc-history/","Funding Universe: Sega")</f>
        <v>Funding Universe: Sega</v>
      </c>
      <c r="AB48" s="29" t="str">
        <f>HYPERLINK("http://segaretro.org/Sega#Formation_and_Early_Successes","SEGA Retro")</f>
        <v>SEGA Retro</v>
      </c>
      <c r="AC48" s="29" t="str">
        <f>HYPERLINK("http://en.wikipedia.org/wiki/Sega","Wikiepedia: Sega")</f>
        <v>Wikiepedia: Sega</v>
      </c>
      <c r="AD48" s="27" t="s">
        <v>56</v>
      </c>
      <c r="AE48" s="6" t="s">
        <v>258</v>
      </c>
      <c r="AF48" s="6" t="s">
        <v>259</v>
      </c>
      <c r="AG48" s="6"/>
      <c r="AH48" s="6">
        <v>1968.0</v>
      </c>
      <c r="AI48" s="29" t="str">
        <f>HYPERLINK("http://realotakugamer.com/wp-content/uploads/2010/11/scope.jpg","http://realotakugamer.com/wp-content/uploads/2010/11/scope.jpg")</f>
        <v>http://realotakugamer.com/wp-content/uploads/2010/11/scope.jpg</v>
      </c>
      <c r="AJ48" s="18"/>
      <c r="AK48" s="28" t="str">
        <f>HYPERLINK("http://info.sonicretro.org/images/thumb/6/6f/Sonic1USCart2.JPG/800px-Sonic1USCart2.JPG","Sonic the Hedgehog")</f>
        <v>Sonic the Hedgehog</v>
      </c>
      <c r="AL48" s="6" t="s">
        <v>260</v>
      </c>
      <c r="AM48" s="6"/>
      <c r="AN48" s="18"/>
      <c r="AO48" s="18"/>
      <c r="AP48" s="18"/>
      <c r="AQ48" s="18"/>
      <c r="AR48" s="18"/>
      <c r="AS48" s="18"/>
      <c r="AT48" s="18"/>
      <c r="AU48" s="18"/>
      <c r="AV48" s="18"/>
      <c r="AW48" s="18"/>
      <c r="AX48" s="18"/>
      <c r="AY48" s="18"/>
      <c r="AZ48" s="18"/>
      <c r="BA48" s="18"/>
    </row>
    <row r="49">
      <c r="A49" s="24" t="s">
        <v>261</v>
      </c>
      <c r="B49" s="30"/>
      <c r="C49" s="24" t="s">
        <v>262</v>
      </c>
      <c r="D49" s="25" t="str">
        <f t="shared" si="27"/>
        <v>TRUE</v>
      </c>
      <c r="E49" s="25">
        <v>1914.0</v>
      </c>
      <c r="F49" s="26">
        <v>1974.0</v>
      </c>
      <c r="G49" s="18"/>
      <c r="H49" s="6" t="s">
        <v>263</v>
      </c>
      <c r="I49" s="6">
        <v>1941.0</v>
      </c>
      <c r="J49" s="6" t="s">
        <v>264</v>
      </c>
      <c r="K49" s="28" t="str">
        <f>HYPERLINK("http://blog.chicagohistory.org/wp-content/uploads/i40329.jpg","Marvin Glass")</f>
        <v>Marvin Glass</v>
      </c>
      <c r="L49" s="18"/>
      <c r="M49" s="28" t="str">
        <f>HYPERLINK("http://www.toyassociation.org/TIA/Events/HOF/Inductees/Events2/Hall_of_Fame/Hall_of_Fame_Inductees.aspx?hkey=513da8d5-c0f8-423a-be33-9a720a8b9276#.VB2nXOcu9xo","TIA Hall of Fame")</f>
        <v>TIA Hall of Fame</v>
      </c>
      <c r="N49" s="28" t="str">
        <f>HYPERLINK("http://secretfunspot.blogspot.com/2008/06/marvin-glass-legendary-toymaker.html","Saturday Evening Post:Troubled King of Toys Transcription")</f>
        <v>Saturday Evening Post:Troubled King of Toys Transcription</v>
      </c>
      <c r="O49" s="28" t="str">
        <f>HYPERLINK("http://news.google.com/newspapers?id=RmhPAAAAIBAJ&amp;sjid=mSQEAAAAIBAJ&amp;dq=marvin-glass&amp;pg=7027%2C3996042","The Times-News:Glass Still Makes Toys at Age 57")</f>
        <v>The Times-News:Glass Still Makes Toys at Age 57</v>
      </c>
      <c r="P49" s="6" t="s">
        <v>56</v>
      </c>
      <c r="Q49" s="28" t="str">
        <f>HYPERLINK("http://blog.chicagohistory.org/index.php/2011/11/mmm-that-game-sounds-delicious/","Chicago History Museum:Mmm, that game sounds delicious!")</f>
        <v>Chicago History Museum:Mmm, that game sounds delicious!</v>
      </c>
      <c r="R49" s="18"/>
      <c r="S49" s="29" t="str">
        <f>HYPERLINK("http://static.giantbomb.com/uploads/scale_small/0/4527/1229430-marvin_glass_side_bar_flattened.jpg","Marvin Glass Logo")</f>
        <v>Marvin Glass Logo</v>
      </c>
      <c r="T49" s="27" t="s">
        <v>265</v>
      </c>
      <c r="U49" s="18"/>
      <c r="V49" s="6" t="s">
        <v>188</v>
      </c>
      <c r="W49" s="6"/>
      <c r="X49" s="6">
        <v>1988.0</v>
      </c>
      <c r="Y49" s="18"/>
      <c r="Z49" s="28" t="str">
        <f>HYPERLINK("http://books.google.com/books?id=CGnr3-sSEdMC&amp;pg=PA141&amp;lpg=PA141&amp;dq=%22lionel+weintraub%22+ideal&amp;source=bl&amp;ots=KweXoadtRc&amp;sig=Ik0V3S_bDnFUvW6Vyquktgx7zOs&amp;hl=en&amp;sa=X&amp;ei=kv0UVJmePPG1sQSjhoHQBw&amp;ved=0CDwQ6AEwBA#v=onepage&amp;q=%22lionel%20weintraub%22%20ideal&amp;f=false","A Passion for Winning:The Troubled King of Toys")</f>
        <v>A Passion for Winning:The Troubled King of Toys</v>
      </c>
      <c r="AA49" s="27"/>
      <c r="AB49" s="27" t="s">
        <v>56</v>
      </c>
      <c r="AC49" s="28" t="str">
        <f>HYPERLINK("http://en.wikipedia.org/wiki/Marvin_Glass_and_Associates","Wikipedia: Marvin Glass and Associates")</f>
        <v>Wikipedia: Marvin Glass and Associates</v>
      </c>
      <c r="AD49" s="28" t="str">
        <f>HYPERLINK("http://www.seizetheplay.com/2009/03/incredbile-marvin-glass-associates.html","Seize The Play:The Incredible Marvin Glass and Associates")</f>
        <v>Seize The Play:The Incredible Marvin Glass and Associates</v>
      </c>
      <c r="AE49" s="6" t="s">
        <v>263</v>
      </c>
      <c r="AF49" s="6" t="s">
        <v>266</v>
      </c>
      <c r="AG49" s="6"/>
      <c r="AH49" s="28" t="str">
        <f>HYPERLINK("http://www.marvinglass.com/","1949")</f>
        <v>1949</v>
      </c>
      <c r="AI49" s="18"/>
      <c r="AJ49" s="18"/>
      <c r="AK49" s="6" t="s">
        <v>267</v>
      </c>
      <c r="AL49" s="29" t="str">
        <f>HYPERLINK("http://www.neatstuff.net/space-robots/Mr-Machine-big-pic.jpg","Mr. Machine")</f>
        <v>Mr. Machine</v>
      </c>
      <c r="AM49" s="36"/>
      <c r="AN49" s="18"/>
      <c r="AO49" s="6">
        <v>1960.0</v>
      </c>
      <c r="AP49" s="18"/>
      <c r="AQ49" s="28" t="str">
        <f>HYPERLINK("http://www.museumofplay.org/online-collections/1/6/112.5467","The Strong online collections:Mr. Machine")</f>
        <v>The Strong online collections:Mr. Machine</v>
      </c>
      <c r="AR49" s="28" t="str">
        <f>HYPERLINK("http://www.youtube.com/watch?v=8WHQI5iKYfM","Mr. Machine Commercial")</f>
        <v>Mr. Machine Commercial</v>
      </c>
      <c r="AS49" s="18"/>
      <c r="AT49" s="6" t="s">
        <v>268</v>
      </c>
      <c r="AU49" s="28" t="str">
        <f>HYPERLINK("http://thisdoesntsuckblog.com/wp-content/uploads/2010/11/lite.jpg","Lite Brite")</f>
        <v>Lite Brite</v>
      </c>
      <c r="AV49" s="40" t="s">
        <v>269</v>
      </c>
      <c r="AW49" s="6">
        <v>1967.0</v>
      </c>
      <c r="AX49" s="18"/>
      <c r="AY49" s="28" t="str">
        <f>HYPERLINK("http://www.museumofplay.org/online-collections/search/index.php?q=lite+brite","Strong Online Collections:Lite Brite")</f>
        <v>Strong Online Collections:Lite Brite</v>
      </c>
      <c r="AZ49" s="28" t="str">
        <f>HYPERLINK("http://www.womansday.com/life/10-totally-transformed-toys-82342","Woman's Day 10 Totally Transformed Toys")</f>
        <v>Woman's Day 10 Totally Transformed Toys</v>
      </c>
      <c r="BA49" s="28" t="str">
        <f>HYPERLINK("http://www.youtube.com/watch?v=XCMLo-8yZF4","Lite Brite Commercial")</f>
        <v>Lite Brite Commercial</v>
      </c>
    </row>
    <row r="50">
      <c r="A50" s="44" t="s">
        <v>270</v>
      </c>
      <c r="B50" s="45"/>
      <c r="C50" s="44" t="s">
        <v>271</v>
      </c>
      <c r="D50" s="25" t="str">
        <f t="shared" si="27"/>
        <v>TRUE</v>
      </c>
      <c r="E50" s="25">
        <v>1911.0</v>
      </c>
      <c r="F50" s="26">
        <v>1988.0</v>
      </c>
      <c r="G50" s="28" t="str">
        <f>HYPERLINK("http://www.nytimes.com/1988/09/30/obituaries/frank-caplan-77-toy-developer.html","Frank Caplan")</f>
        <v>Frank Caplan</v>
      </c>
      <c r="H50" s="6" t="s">
        <v>272</v>
      </c>
      <c r="I50" s="6">
        <v>1945.0</v>
      </c>
      <c r="J50" s="18"/>
      <c r="K50" s="28" t="str">
        <f>HYPERLINK("http://upload.wikimedia.org/wikipedia/commons/thumb/4/41/Frank-Theresa-Caplan.jpg/220px-Frank-Theresa-Caplan.jpg","Frank Caplan")</f>
        <v>Frank Caplan</v>
      </c>
      <c r="L50" s="18"/>
      <c r="M50" s="6" t="s">
        <v>56</v>
      </c>
      <c r="N50" s="6" t="s">
        <v>56</v>
      </c>
      <c r="O50" s="28" t="str">
        <f>HYPERLINK("http://books.google.com/books?id=KHtKPQAACAAJ&amp;dq=Frank+Caplan:+Champion+of+Child%E2%80%99s+Play&amp;hl=en&amp;sa=X&amp;ei=KbYVVLSlGZaQsQTOwIHADg&amp;ved=0CB8Q6AEwAA","Caplan Biography")</f>
        <v>Caplan Biography</v>
      </c>
      <c r="P50" s="18"/>
      <c r="Q50" s="18"/>
      <c r="R50" s="29" t="str">
        <f>HYPERLINK("http://en.wikipedia.org/wiki/Frank_Caplan","Wikipedia: Frank Caplan")</f>
        <v>Wikipedia: Frank Caplan</v>
      </c>
      <c r="S50" s="29" t="str">
        <f>HYPERLINK("http://www.creativeplaythings.com/images/global/logo.gif","Creative Playthings Logo")</f>
        <v>Creative Playthings Logo</v>
      </c>
      <c r="T50" s="18"/>
      <c r="U50" s="18"/>
      <c r="V50" s="6" t="s">
        <v>117</v>
      </c>
      <c r="W50" s="18"/>
      <c r="X50" s="6" t="s">
        <v>68</v>
      </c>
      <c r="Y50" s="6" t="s">
        <v>273</v>
      </c>
      <c r="Z50" s="29" t="str">
        <f>HYPERLINK("http://www.creativeplaythings.com/","Creative Playthings")</f>
        <v>Creative Playthings</v>
      </c>
      <c r="AA50" s="18"/>
      <c r="AB50" s="18"/>
      <c r="AC50" s="18"/>
      <c r="AD50" s="18"/>
      <c r="AE50" s="6" t="s">
        <v>272</v>
      </c>
      <c r="AF50" s="6" t="s">
        <v>274</v>
      </c>
      <c r="AG50" s="18"/>
      <c r="AH50" s="6">
        <v>1945.0</v>
      </c>
      <c r="AI50" s="29" t="str">
        <f>HYPERLINK("http://upload.wikimedia.org/wikipedia/commons/thumb/d/d2/TCMI_Creative_Playthings_Four-Way_Blocks_1.jpg/300px-TCMI_Creative_Playthings_Four-Way_Blocks_1.jpg","Hardwood Building Blocks")</f>
        <v>Hardwood Building Blocks</v>
      </c>
      <c r="AJ50" s="18"/>
      <c r="AK50" s="6" t="s">
        <v>275</v>
      </c>
      <c r="AL50" s="29" t="str">
        <f>HYPERLINK("http://www.creativeplaythings.com/images/product/product_image/83Willy-main-sm.jpg","Swingsets")</f>
        <v>Swingsets</v>
      </c>
      <c r="AM50" s="18"/>
      <c r="AN50" s="18"/>
      <c r="AO50" s="6">
        <v>1951.0</v>
      </c>
      <c r="AP50" s="18"/>
      <c r="AQ50" s="18"/>
      <c r="AR50" s="18"/>
      <c r="AS50" s="18"/>
      <c r="AT50" s="18"/>
      <c r="AU50" s="18"/>
      <c r="AV50" s="18"/>
      <c r="AW50" s="18"/>
      <c r="AX50" s="18"/>
      <c r="AY50" s="18"/>
      <c r="AZ50" s="18"/>
      <c r="BA50" s="18"/>
    </row>
    <row r="51">
      <c r="A51" s="24" t="s">
        <v>276</v>
      </c>
      <c r="B51" s="24" t="s">
        <v>277</v>
      </c>
      <c r="C51" s="24" t="s">
        <v>278</v>
      </c>
      <c r="D51" s="25" t="str">
        <f t="shared" si="27"/>
        <v>TRUE</v>
      </c>
      <c r="E51" s="25">
        <v>1916.0</v>
      </c>
      <c r="F51" s="26">
        <v>2011.0</v>
      </c>
      <c r="G51" s="28" t="str">
        <f>HYPERLINK("http://www.jta.org/2011/08/09/life-religion/the-eulogizer-elliot-handler-barbies-dad-and-more-on-alleged-mobster-francois-abutbul","Elliot Handler")</f>
        <v>Elliot Handler</v>
      </c>
      <c r="H51" s="6" t="s">
        <v>279</v>
      </c>
      <c r="I51" s="6">
        <v>1945.0</v>
      </c>
      <c r="J51" s="6" t="s">
        <v>280</v>
      </c>
      <c r="K51" s="46" t="s">
        <v>280</v>
      </c>
      <c r="L51" s="18"/>
      <c r="M51" s="28" t="str">
        <f t="shared" ref="M51:M52" si="28">HYPERLINK("http://www.toyassociation.org/TIA/Events/HOF/Inductees/Events2/Hall_of_Fame/Hall_of_Fame_Inductees.aspx?hkey=513da8d5-c0f8-423a-be33-9a720a8b9276#.VB2nXOcu9xo","TIA Hall of Fame")</f>
        <v>TIA Hall of Fame</v>
      </c>
      <c r="N51" s="29" t="str">
        <f>HYPERLINK("http://www.tagieawards.com/nominees-and-recipients/handler-elliot","Tagie award: in memoriam 2011")</f>
        <v>Tagie award: in memoriam 2011</v>
      </c>
      <c r="O51" s="28" t="str">
        <f>HYPERLINK("http://money.cnn.com/magazines/fsb/fsb_archive/2003/04/01/341015/index.htm","CNN Money: How a stylish doll...")</f>
        <v>CNN Money: How a stylish doll...</v>
      </c>
      <c r="P51" s="6" t="s">
        <v>56</v>
      </c>
      <c r="Q51" s="29" t="str">
        <f>HYPERLINK("http://corporate.mattel.com/about-us/elliot-handler/","Mattel: Elliot Handler Remembered")</f>
        <v>Mattel: Elliot Handler Remembered</v>
      </c>
      <c r="R51" s="29" t="str">
        <f>HYPERLINK("http://en.wikipedia.org/wiki/Elliot_Handler","Wikipedia: Elliot Handler")</f>
        <v>Wikipedia: Elliot Handler</v>
      </c>
      <c r="S51" s="29" t="str">
        <f t="shared" ref="S51:S52" si="29">HYPERLINK("http://img2.wikia.nocookie.net/__cb20110809224543/pixar/images/d/dc/Mattel_logo.jpg","Mattel Logo")</f>
        <v>Mattel Logo</v>
      </c>
      <c r="T51" s="27" t="s">
        <v>281</v>
      </c>
      <c r="U51" s="18"/>
      <c r="V51" s="6" t="s">
        <v>282</v>
      </c>
      <c r="W51" s="6"/>
      <c r="X51" s="6" t="s">
        <v>68</v>
      </c>
      <c r="Y51" s="18"/>
      <c r="Z51" s="29" t="str">
        <f>HYPERLINK("http://www.mattel.com/","Mattel")</f>
        <v>Mattel</v>
      </c>
      <c r="AA51" s="29" t="str">
        <f t="shared" ref="AA51:AA52" si="30">HYPERLINK("http://www.fundinguniverse.com/company-histories/mattel-inc-history/","Funding Universe: Mattel")</f>
        <v>Funding Universe: Mattel</v>
      </c>
      <c r="AB51" s="29" t="str">
        <f t="shared" ref="AB51:AB52" si="31">HYPERLINK("http://www.playgroundprofessionals.com/encyclopedia/m/mattel","Playground Professionals: Mattel")</f>
        <v>Playground Professionals: Mattel</v>
      </c>
      <c r="AC51" s="29" t="str">
        <f t="shared" ref="AC51:AC52" si="32">HYPERLINK("http://en.wikipedia.org/wiki/Mattel","Wikipedia: Mattel")</f>
        <v>Wikipedia: Mattel</v>
      </c>
      <c r="AD51" s="6" t="s">
        <v>56</v>
      </c>
      <c r="AE51" s="6" t="s">
        <v>279</v>
      </c>
      <c r="AF51" s="6" t="s">
        <v>283</v>
      </c>
      <c r="AG51" s="6"/>
      <c r="AH51" s="6">
        <v>1947.0</v>
      </c>
      <c r="AI51" s="29" t="str">
        <f>HYPERLINK("http://wiki.wildberries.ru/img/2013/04/KGrHqRHJDYFfZoKRjBQWQrh0QQ60_3.jpg","Uke-A-Doodle")</f>
        <v>Uke-A-Doodle</v>
      </c>
      <c r="AJ51" s="18"/>
      <c r="AK51" s="6" t="s">
        <v>284</v>
      </c>
      <c r="AL51" s="18"/>
      <c r="AM51" s="18"/>
      <c r="AN51" s="18"/>
      <c r="AO51" s="18"/>
      <c r="AP51" s="18"/>
      <c r="AQ51" s="18"/>
      <c r="AR51" s="18"/>
      <c r="AS51" s="18"/>
      <c r="AT51" s="18"/>
      <c r="AU51" s="18"/>
      <c r="AV51" s="18"/>
      <c r="AW51" s="18"/>
      <c r="AX51" s="18"/>
      <c r="AY51" s="18"/>
      <c r="AZ51" s="18"/>
      <c r="BA51" s="18"/>
    </row>
    <row r="52">
      <c r="A52" s="24" t="s">
        <v>285</v>
      </c>
      <c r="B52" s="24" t="s">
        <v>286</v>
      </c>
      <c r="C52" s="24" t="s">
        <v>278</v>
      </c>
      <c r="D52" s="25" t="str">
        <f t="shared" si="27"/>
        <v>TRUE</v>
      </c>
      <c r="E52" s="25">
        <v>1916.0</v>
      </c>
      <c r="F52" s="26">
        <v>2002.0</v>
      </c>
      <c r="G52" s="28" t="str">
        <f>HYPERLINK("http://www.findagrave.com/cgi-bin/fg.cgi?page=gr&amp;GRid=6377504","Ruth Handler")</f>
        <v>Ruth Handler</v>
      </c>
      <c r="H52" s="6" t="s">
        <v>279</v>
      </c>
      <c r="I52" s="6">
        <v>1945.0</v>
      </c>
      <c r="J52" s="6" t="s">
        <v>287</v>
      </c>
      <c r="K52" s="29" t="str">
        <f>HYPERLINK("http://i.telegraph.co.uk/multimedia/archive/01956/handler_1956627b.jpg","Elliot and Ruth Handler")</f>
        <v>Elliot and Ruth Handler</v>
      </c>
      <c r="L52" s="18"/>
      <c r="M52" s="28" t="str">
        <f t="shared" si="28"/>
        <v>TIA Hall of Fame</v>
      </c>
      <c r="N52" s="29" t="str">
        <f>HYPERLINK("http://jwa.org/encyclopedia/article/handler-ruth-mosko","Jewish Women's Archive")</f>
        <v>Jewish Women's Archive</v>
      </c>
      <c r="O52" s="18"/>
      <c r="P52" s="6" t="s">
        <v>56</v>
      </c>
      <c r="Q52" s="28" t="str">
        <f>HYPERLINK("http://www.pbs.org/wgbh/theymadeamerica/whomade/handler_hi.html","PBS:Who Made America? Ruth Handler")</f>
        <v>PBS:Who Made America? Ruth Handler</v>
      </c>
      <c r="R52" s="29" t="str">
        <f>HYPERLINK("http://en.wikipedia.org/wiki/Ruth_Handler","Wikipedia: Ruth Handler")</f>
        <v>Wikipedia: Ruth Handler</v>
      </c>
      <c r="S52" s="29" t="str">
        <f t="shared" si="29"/>
        <v>Mattel Logo</v>
      </c>
      <c r="T52" s="36"/>
      <c r="U52" s="18"/>
      <c r="V52" s="6" t="s">
        <v>282</v>
      </c>
      <c r="W52" s="6"/>
      <c r="X52" s="6" t="s">
        <v>68</v>
      </c>
      <c r="Y52" s="18"/>
      <c r="Z52" s="27" t="s">
        <v>56</v>
      </c>
      <c r="AA52" s="29" t="str">
        <f t="shared" si="30"/>
        <v>Funding Universe: Mattel</v>
      </c>
      <c r="AB52" s="29" t="str">
        <f t="shared" si="31"/>
        <v>Playground Professionals: Mattel</v>
      </c>
      <c r="AC52" s="29" t="str">
        <f t="shared" si="32"/>
        <v>Wikipedia: Mattel</v>
      </c>
      <c r="AD52" s="6" t="s">
        <v>56</v>
      </c>
      <c r="AE52" s="6" t="s">
        <v>279</v>
      </c>
      <c r="AF52" s="6" t="s">
        <v>288</v>
      </c>
      <c r="AG52" s="6"/>
      <c r="AH52" s="6">
        <v>1959.0</v>
      </c>
      <c r="AI52" s="28" t="str">
        <f>HYPERLINK("https://changingfacesofbarbie.files.wordpress.com/2015/04/cropped-original-barbie-doll.jpg","Barbie")</f>
        <v>Barbie</v>
      </c>
      <c r="AJ52" s="18"/>
      <c r="AK52" s="18"/>
      <c r="AL52" s="18"/>
      <c r="AM52" s="18"/>
      <c r="AN52" s="18"/>
      <c r="AO52" s="6">
        <v>1959.0</v>
      </c>
      <c r="AP52" s="29" t="str">
        <f>HYPERLINK("http://www.toyhalloffame.org/toys/barbie","Barbie")</f>
        <v>Barbie</v>
      </c>
      <c r="AQ52" s="29" t="str">
        <f>HYPERLINK("http://www.museumofplay.org/online-collections/search/index.php?q=barbie","The Strong Online Collections: Barbie")</f>
        <v>The Strong Online Collections: Barbie</v>
      </c>
      <c r="AR52" s="18"/>
      <c r="AS52" s="18"/>
      <c r="AT52" s="18"/>
      <c r="AU52" s="18"/>
      <c r="AV52" s="18"/>
      <c r="AW52" s="18"/>
      <c r="AX52" s="18"/>
      <c r="AY52" s="18"/>
      <c r="AZ52" s="18"/>
      <c r="BA52" s="18"/>
    </row>
    <row r="53">
      <c r="A53" s="24" t="s">
        <v>289</v>
      </c>
      <c r="B53" s="30"/>
      <c r="C53" s="24" t="s">
        <v>290</v>
      </c>
      <c r="D53" s="25" t="str">
        <f t="shared" si="27"/>
        <v>TRUE</v>
      </c>
      <c r="E53" s="25">
        <v>1898.0</v>
      </c>
      <c r="F53" s="26">
        <v>1993.0</v>
      </c>
      <c r="G53" s="18"/>
      <c r="H53" s="6" t="s">
        <v>291</v>
      </c>
      <c r="I53" s="6">
        <v>1946.0</v>
      </c>
      <c r="J53" s="6" t="s">
        <v>292</v>
      </c>
      <c r="K53" s="29" t="str">
        <f>HYPERLINK("http://www.jewornotjew.com/img/people/a/abe_bookman.jpg","Abe Bookman")</f>
        <v>Abe Bookman</v>
      </c>
      <c r="L53" s="40" t="s">
        <v>293</v>
      </c>
      <c r="M53" s="6" t="s">
        <v>56</v>
      </c>
      <c r="N53" s="27" t="s">
        <v>56</v>
      </c>
      <c r="O53" s="6"/>
      <c r="P53" s="6" t="s">
        <v>56</v>
      </c>
      <c r="Q53" s="28" t="str">
        <f>HYPERLINK("http://magazine.uc.edu/famousalumni/designers/magic8.html","UC Magazine:Abe Bookman, UC alum, created everlasting Magic 8 Ball")</f>
        <v>UC Magazine:Abe Bookman, UC alum, created everlasting Magic 8 Ball</v>
      </c>
      <c r="R53" s="18"/>
      <c r="S53" s="6" t="s">
        <v>124</v>
      </c>
      <c r="T53" s="6" t="s">
        <v>294</v>
      </c>
      <c r="U53" s="18"/>
      <c r="V53" s="6" t="s">
        <v>295</v>
      </c>
      <c r="W53" s="6"/>
      <c r="X53" s="6">
        <v>1971.0</v>
      </c>
      <c r="Y53" s="18"/>
      <c r="Z53" s="6" t="s">
        <v>124</v>
      </c>
      <c r="AA53" s="6" t="s">
        <v>124</v>
      </c>
      <c r="AB53" s="27" t="s">
        <v>56</v>
      </c>
      <c r="AC53" s="6" t="s">
        <v>56</v>
      </c>
      <c r="AD53" s="6" t="s">
        <v>56</v>
      </c>
      <c r="AE53" s="6" t="s">
        <v>291</v>
      </c>
      <c r="AF53" s="6" t="s">
        <v>296</v>
      </c>
      <c r="AG53" s="6"/>
      <c r="AH53" s="6">
        <v>1950.0</v>
      </c>
      <c r="AI53" s="29" t="str">
        <f>HYPERLINK("http://i1.wp.com/libapps.libraries.uc.edu/liblog/wp-content/uploads/2012/02/8ball-original.jpg?w=245","Magic 8 Ball")</f>
        <v>Magic 8 Ball</v>
      </c>
      <c r="AJ53" s="18"/>
      <c r="AK53" s="6" t="s">
        <v>297</v>
      </c>
      <c r="AL53" s="29" t="str">
        <f>HYPERLINK("http://www.baronbob.com/images/custom/magiceightballboxmain.jpg","Magic 8 Ball")</f>
        <v>Magic 8 Ball</v>
      </c>
      <c r="AM53" s="36"/>
      <c r="AN53" s="18"/>
      <c r="AO53" s="6">
        <v>1950.0</v>
      </c>
      <c r="AP53" s="18"/>
      <c r="AQ53" s="29" t="str">
        <f>HYPERLINK("http://www.museumofplay.org/online-collections/search/index.php?q=magic+8+ball","The Strong Online Collections: Magic 8 Ball")</f>
        <v>The Strong Online Collections: Magic 8 Ball</v>
      </c>
      <c r="AR53" s="18"/>
      <c r="AS53" s="18"/>
      <c r="AT53" s="18"/>
      <c r="AU53" s="18"/>
      <c r="AV53" s="18"/>
      <c r="AW53" s="18"/>
      <c r="AX53" s="18"/>
      <c r="AY53" s="18"/>
      <c r="AZ53" s="18"/>
      <c r="BA53" s="18"/>
    </row>
    <row r="54">
      <c r="A54" s="24" t="s">
        <v>298</v>
      </c>
      <c r="B54" s="30"/>
      <c r="C54" s="24" t="s">
        <v>299</v>
      </c>
      <c r="D54" s="25" t="str">
        <f t="shared" si="27"/>
        <v>TRUE</v>
      </c>
      <c r="E54" s="25">
        <v>1913.0</v>
      </c>
      <c r="F54" s="26">
        <v>2011.0</v>
      </c>
      <c r="G54" s="28" t="str">
        <f>HYPERLINK("http://articles.latimes.com/2011/jan/26/local/la-me-milton-levine-20110126","Milton Levine")</f>
        <v>Milton Levine</v>
      </c>
      <c r="H54" s="6" t="s">
        <v>300</v>
      </c>
      <c r="I54" s="6">
        <v>1946.0</v>
      </c>
      <c r="J54" s="6" t="s">
        <v>301</v>
      </c>
      <c r="K54" s="29" t="str">
        <f>HYPERLINK("http://d3trabu2dfbdfb.cloudfront.net/8/3/837913_300x300_1.jpeg","Milton Levine")</f>
        <v>Milton Levine</v>
      </c>
      <c r="L54" s="18"/>
      <c r="M54" s="6" t="s">
        <v>56</v>
      </c>
      <c r="N54" s="6" t="s">
        <v>56</v>
      </c>
      <c r="O54" s="28" t="str">
        <f>HYPERLINK("http://www.debbieschlussel.com/32134/milton-levine-ant-farm-inventor-wwii-vet-proud-jewish-american/","Debbie Schlussel:Milton Levine")</f>
        <v>Debbie Schlussel:Milton Levine</v>
      </c>
      <c r="P54" s="28" t="str">
        <f>HYPERLINK("http://money.cnn.com/magazines/fsb/fsb_archive/2002/11/01/331972/","CNN Money:King of the Hill")</f>
        <v>CNN Money:King of the Hill</v>
      </c>
      <c r="Q54" s="6" t="s">
        <v>56</v>
      </c>
      <c r="R54" s="6" t="s">
        <v>56</v>
      </c>
      <c r="S54" s="29" t="str">
        <f>HYPERLINK("https://mcneilldesigns.files.wordpress.com/2011/01/milton.jpg","Uncle Milton")</f>
        <v>Uncle Milton</v>
      </c>
      <c r="T54" s="27" t="s">
        <v>302</v>
      </c>
      <c r="U54" s="18"/>
      <c r="V54" s="6" t="s">
        <v>303</v>
      </c>
      <c r="W54" s="6"/>
      <c r="X54" s="6" t="s">
        <v>68</v>
      </c>
      <c r="Y54" s="18"/>
      <c r="Z54" s="29" t="str">
        <f>HYPERLINK("http://unclemilton.com/","unclemilton.com")</f>
        <v>unclemilton.com</v>
      </c>
      <c r="AA54" s="27" t="s">
        <v>56</v>
      </c>
      <c r="AB54" s="27" t="s">
        <v>56</v>
      </c>
      <c r="AC54" s="27" t="s">
        <v>56</v>
      </c>
      <c r="AD54" s="27" t="s">
        <v>56</v>
      </c>
      <c r="AE54" s="6" t="s">
        <v>300</v>
      </c>
      <c r="AF54" s="6" t="s">
        <v>304</v>
      </c>
      <c r="AG54" s="6"/>
      <c r="AH54" s="6">
        <v>1956.0</v>
      </c>
      <c r="AI54" s="29" t="str">
        <f>HYPERLINK("http://ecx.images-amazon.com/images/I/51w7qLiwoRL._SY300_.jpg","Ant Farm")</f>
        <v>Ant Farm</v>
      </c>
      <c r="AJ54" s="18"/>
      <c r="AK54" s="6" t="s">
        <v>304</v>
      </c>
      <c r="AL54" s="18"/>
      <c r="AM54" s="18"/>
      <c r="AN54" s="18"/>
      <c r="AO54" s="18"/>
      <c r="AP54" s="18"/>
      <c r="AQ54" s="18"/>
      <c r="AR54" s="18"/>
      <c r="AS54" s="18"/>
      <c r="AT54" s="18"/>
      <c r="AU54" s="18"/>
      <c r="AV54" s="18"/>
      <c r="AW54" s="18"/>
      <c r="AX54" s="18"/>
      <c r="AY54" s="18"/>
      <c r="AZ54" s="18"/>
      <c r="BA54" s="18"/>
    </row>
    <row r="55">
      <c r="A55" s="24" t="s">
        <v>305</v>
      </c>
      <c r="B55" s="24" t="s">
        <v>306</v>
      </c>
      <c r="C55" s="24" t="s">
        <v>307</v>
      </c>
      <c r="D55" s="25" t="str">
        <f t="shared" si="27"/>
        <v>TRUE</v>
      </c>
      <c r="E55" s="25">
        <v>1895.0</v>
      </c>
      <c r="F55" s="26">
        <v>1977.0</v>
      </c>
      <c r="G55" s="27" t="s">
        <v>56</v>
      </c>
      <c r="H55" s="6" t="s">
        <v>308</v>
      </c>
      <c r="I55" s="6">
        <v>1947.0</v>
      </c>
      <c r="J55" s="6" t="s">
        <v>309</v>
      </c>
      <c r="K55" s="29" t="str">
        <f>HYPERLINK("http://www.kennercollector.com/wp-content/uploads/2010/09/Albert-Steiner.jpg","Albert Steiner")</f>
        <v>Albert Steiner</v>
      </c>
      <c r="L55" s="18"/>
      <c r="M55" s="28" t="str">
        <f>HYPERLINK("http://www.toyassociation.org/TIA/Events/HOF/Inductees/Events2/Hall_of_Fame/Hall_of_Fame_Inductees.aspx?hkey=513da8d5-c0f8-423a-be33-9a720a8b9276#.VB2nXOcu9xo","TIA Hall of Fame")</f>
        <v>TIA Hall of Fame</v>
      </c>
      <c r="N55" s="6" t="s">
        <v>56</v>
      </c>
      <c r="O55" s="18"/>
      <c r="P55" s="28" t="str">
        <f t="shared" ref="P55:P58" si="33">HYPERLINK("http://www.playgroundprofessionals.com/encyclopedia/k/kenner","PP: Kenner")</f>
        <v>PP: Kenner</v>
      </c>
      <c r="Q55" s="6" t="s">
        <v>56</v>
      </c>
      <c r="R55" s="6" t="s">
        <v>56</v>
      </c>
      <c r="S55" s="29" t="str">
        <f t="shared" ref="S55:S58" si="34">HYPERLINK("http://www.kennercollector.com/downloads/KENLOG.JPG","Kenner Logo")</f>
        <v>Kenner Logo</v>
      </c>
      <c r="T55" s="36"/>
      <c r="U55" s="18"/>
      <c r="V55" s="6" t="s">
        <v>295</v>
      </c>
      <c r="W55" s="6"/>
      <c r="X55" s="6">
        <v>2000.0</v>
      </c>
      <c r="Y55" s="18"/>
      <c r="Z55" s="27" t="s">
        <v>56</v>
      </c>
      <c r="AA55" s="27" t="s">
        <v>56</v>
      </c>
      <c r="AB55" s="29" t="str">
        <f t="shared" ref="AB55:AB58" si="35">HYPERLINK("http://www.playgroundprofessionals.com/encyclopedia/k/kenner","Kenner")</f>
        <v>Kenner</v>
      </c>
      <c r="AC55" s="29" t="str">
        <f t="shared" ref="AC55:AC58" si="36">HYPERLINK("http://en.wikipedia.org/wiki/Kenner_Products","Wikipedia: Kenner")</f>
        <v>Wikipedia: Kenner</v>
      </c>
      <c r="AD55" s="6" t="s">
        <v>56</v>
      </c>
      <c r="AE55" s="6" t="s">
        <v>308</v>
      </c>
      <c r="AF55" s="6" t="s">
        <v>310</v>
      </c>
      <c r="AG55" s="6"/>
      <c r="AH55" s="6">
        <v>1946.0</v>
      </c>
      <c r="AI55" s="18"/>
      <c r="AJ55" s="18"/>
      <c r="AK55" s="18"/>
      <c r="AL55" s="18"/>
      <c r="AM55" s="18"/>
      <c r="AN55" s="18"/>
      <c r="AO55" s="18"/>
      <c r="AP55" s="18"/>
      <c r="AQ55" s="18"/>
      <c r="AR55" s="18"/>
      <c r="AS55" s="18"/>
      <c r="AT55" s="18"/>
      <c r="AU55" s="18"/>
      <c r="AV55" s="18"/>
      <c r="AW55" s="18"/>
      <c r="AX55" s="18"/>
      <c r="AY55" s="18"/>
      <c r="AZ55" s="18"/>
      <c r="BA55" s="18"/>
    </row>
    <row r="56">
      <c r="A56" s="24" t="s">
        <v>311</v>
      </c>
      <c r="B56" s="24" t="s">
        <v>306</v>
      </c>
      <c r="C56" s="24" t="s">
        <v>307</v>
      </c>
      <c r="D56" s="25" t="str">
        <f t="shared" si="27"/>
        <v>TRUE</v>
      </c>
      <c r="E56" s="25">
        <v>1901.0</v>
      </c>
      <c r="F56" s="26">
        <v>1993.0</v>
      </c>
      <c r="G56" s="28" t="str">
        <f>HYPERLINK("http://articles.orlandosentinel.com/1993-11-27/news/9311270190_1_spirograph-kenner-steiner","Phil Steiner")</f>
        <v>Phil Steiner</v>
      </c>
      <c r="H56" s="6" t="s">
        <v>308</v>
      </c>
      <c r="I56" s="6">
        <v>1947.0</v>
      </c>
      <c r="J56" s="6" t="s">
        <v>309</v>
      </c>
      <c r="K56" s="29" t="str">
        <f>HYPERLINK("http://www.kennercollector.com/wp-content/uploads/2010/09/Philip-Steiner.jpg","Philip Steiner")</f>
        <v>Philip Steiner</v>
      </c>
      <c r="L56" s="18"/>
      <c r="M56" s="6" t="s">
        <v>56</v>
      </c>
      <c r="N56" s="6" t="s">
        <v>56</v>
      </c>
      <c r="O56" s="18"/>
      <c r="P56" s="28" t="str">
        <f t="shared" si="33"/>
        <v>PP: Kenner</v>
      </c>
      <c r="Q56" s="6" t="s">
        <v>56</v>
      </c>
      <c r="R56" s="6" t="s">
        <v>56</v>
      </c>
      <c r="S56" s="29" t="str">
        <f t="shared" si="34"/>
        <v>Kenner Logo</v>
      </c>
      <c r="T56" s="36"/>
      <c r="U56" s="18"/>
      <c r="V56" s="6" t="s">
        <v>295</v>
      </c>
      <c r="W56" s="6"/>
      <c r="X56" s="6">
        <v>2000.0</v>
      </c>
      <c r="Y56" s="18"/>
      <c r="Z56" s="27" t="s">
        <v>56</v>
      </c>
      <c r="AA56" s="27" t="s">
        <v>56</v>
      </c>
      <c r="AB56" s="29" t="str">
        <f t="shared" si="35"/>
        <v>Kenner</v>
      </c>
      <c r="AC56" s="29" t="str">
        <f t="shared" si="36"/>
        <v>Wikipedia: Kenner</v>
      </c>
      <c r="AD56" s="6" t="s">
        <v>56</v>
      </c>
      <c r="AE56" s="6" t="s">
        <v>308</v>
      </c>
      <c r="AF56" s="6" t="s">
        <v>310</v>
      </c>
      <c r="AG56" s="6"/>
      <c r="AH56" s="6">
        <v>1946.0</v>
      </c>
      <c r="AI56" s="18"/>
      <c r="AJ56" s="18"/>
      <c r="AK56" s="18"/>
      <c r="AL56" s="18"/>
      <c r="AM56" s="18"/>
      <c r="AN56" s="18"/>
      <c r="AO56" s="18"/>
      <c r="AP56" s="18"/>
      <c r="AQ56" s="18"/>
      <c r="AR56" s="18"/>
      <c r="AS56" s="18"/>
      <c r="AT56" s="6" t="s">
        <v>312</v>
      </c>
      <c r="AU56" s="29" t="str">
        <f>HYPERLINK("https://c2.staticflickr.com/4/3471/3838268091_0d5308d949.jpg","Play Doh")</f>
        <v>Play Doh</v>
      </c>
      <c r="AV56" s="18"/>
      <c r="AW56" s="6">
        <v>1970.0</v>
      </c>
      <c r="AX56" s="29" t="str">
        <f>HYPERLINK("http://www.toyhalloffame.org/toys/play-doh","THF Play Doh")</f>
        <v>THF Play Doh</v>
      </c>
      <c r="AY56" s="18"/>
      <c r="AZ56" s="18"/>
      <c r="BA56" s="18"/>
    </row>
    <row r="57">
      <c r="A57" s="24" t="s">
        <v>313</v>
      </c>
      <c r="B57" s="24" t="s">
        <v>306</v>
      </c>
      <c r="C57" s="47" t="str">
        <f>HYPERLINK("http://freepages.genealogy.rootsweb.ancestry.com/~prohel/names/misc/steiner1.html","Steiner")</f>
        <v>Steiner</v>
      </c>
      <c r="D57" s="25" t="str">
        <f t="shared" si="27"/>
        <v>TRUE</v>
      </c>
      <c r="E57" s="25">
        <v>1907.0</v>
      </c>
      <c r="F57" s="26">
        <v>2002.0</v>
      </c>
      <c r="G57" s="28" t="str">
        <f>HYPERLINK("http://articles.latimes.com/2002/may/15/local/me-passings15.1","Joe Steiner")</f>
        <v>Joe Steiner</v>
      </c>
      <c r="H57" s="6" t="s">
        <v>308</v>
      </c>
      <c r="I57" s="6">
        <v>1947.0</v>
      </c>
      <c r="J57" s="6" t="s">
        <v>314</v>
      </c>
      <c r="K57" s="29" t="str">
        <f>HYPERLINK("http://www.kennercollector.com/wp-content/uploads/2010/09/Joseph-L.-Steiner.jpg","Joseph Steiner")</f>
        <v>Joseph Steiner</v>
      </c>
      <c r="L57" s="18"/>
      <c r="M57" s="6" t="s">
        <v>56</v>
      </c>
      <c r="N57" s="6" t="s">
        <v>56</v>
      </c>
      <c r="O57" s="18"/>
      <c r="P57" s="28" t="str">
        <f t="shared" si="33"/>
        <v>PP: Kenner</v>
      </c>
      <c r="Q57" s="29" t="str">
        <f>HYPERLINK("http://www.kennercollector.com/","Kenner Collector")</f>
        <v>Kenner Collector</v>
      </c>
      <c r="R57" s="6" t="s">
        <v>56</v>
      </c>
      <c r="S57" s="29" t="str">
        <f t="shared" si="34"/>
        <v>Kenner Logo</v>
      </c>
      <c r="T57" s="27" t="s">
        <v>315</v>
      </c>
      <c r="U57" s="18"/>
      <c r="V57" s="6" t="s">
        <v>295</v>
      </c>
      <c r="W57" s="6"/>
      <c r="X57" s="6">
        <v>2000.0</v>
      </c>
      <c r="Y57" s="18"/>
      <c r="Z57" s="28" t="str">
        <f>HYPERLINK("http://www2.cincinnati.com/blogs/ourhistory/2013/01/24/remember-kenner-it-made-christmas-toys-fun/","Cincinnati.com:Remember Kenner? It made Christmas fun")</f>
        <v>Cincinnati.com:Remember Kenner? It made Christmas fun</v>
      </c>
      <c r="AA57" s="18"/>
      <c r="AB57" s="29" t="str">
        <f t="shared" si="35"/>
        <v>Kenner</v>
      </c>
      <c r="AC57" s="29" t="str">
        <f t="shared" si="36"/>
        <v>Wikipedia: Kenner</v>
      </c>
      <c r="AD57" s="6" t="s">
        <v>56</v>
      </c>
      <c r="AE57" s="6" t="s">
        <v>308</v>
      </c>
      <c r="AF57" s="6" t="s">
        <v>310</v>
      </c>
      <c r="AG57" s="6"/>
      <c r="AH57" s="6">
        <v>1946.0</v>
      </c>
      <c r="AI57" s="18"/>
      <c r="AJ57" s="18"/>
      <c r="AK57" s="6" t="s">
        <v>316</v>
      </c>
      <c r="AL57" s="29" t="str">
        <f>HYPERLINK("http://www.museumofplay.org/online-collections/images/Z002/Z00226/Z0022607.jpg","Easy Bake Oven")</f>
        <v>Easy Bake Oven</v>
      </c>
      <c r="AM57" s="36"/>
      <c r="AN57" s="18"/>
      <c r="AO57" s="6">
        <v>1963.0</v>
      </c>
      <c r="AP57" s="18"/>
      <c r="AQ57" s="29" t="str">
        <f>HYPERLINK("http://www.museumofplay.org/online-collections/search/index.php?q=easy+bake+oven","The Strong Online Collections: Easy Bake Oven")</f>
        <v>The Strong Online Collections: Easy Bake Oven</v>
      </c>
      <c r="AR57" s="18"/>
      <c r="AS57" s="18"/>
      <c r="AT57" s="18"/>
      <c r="AU57" s="18"/>
      <c r="AV57" s="18"/>
      <c r="AW57" s="18"/>
      <c r="AX57" s="18"/>
      <c r="AY57" s="18"/>
      <c r="AZ57" s="18"/>
      <c r="BA57" s="18"/>
    </row>
    <row r="58">
      <c r="A58" s="24" t="s">
        <v>317</v>
      </c>
      <c r="B58" s="24" t="s">
        <v>306</v>
      </c>
      <c r="C58" s="24" t="s">
        <v>307</v>
      </c>
      <c r="D58" s="25" t="str">
        <f t="shared" si="27"/>
        <v>TRUE</v>
      </c>
      <c r="E58" s="25">
        <v>1923.0</v>
      </c>
      <c r="F58" s="26">
        <v>2013.0</v>
      </c>
      <c r="G58" s="28" t="str">
        <f>HYPERLINK("http://www.legacy.com/obituaries/nytimes/obituary.aspx?pid=168174342","Robert Steiner")</f>
        <v>Robert Steiner</v>
      </c>
      <c r="H58" s="6" t="s">
        <v>308</v>
      </c>
      <c r="I58" s="6">
        <v>1947.0</v>
      </c>
      <c r="J58" s="6" t="s">
        <v>309</v>
      </c>
      <c r="K58" s="29" t="str">
        <f>HYPERLINK("http://ak-cache.legacy.net/legacy/images/Cobrands/NYTimes/Photos/NYT-1000596281-STEINERR.1_012848.jpg","Robert Steiner")</f>
        <v>Robert Steiner</v>
      </c>
      <c r="L58" s="18"/>
      <c r="M58" s="6" t="s">
        <v>56</v>
      </c>
      <c r="N58" s="6" t="s">
        <v>56</v>
      </c>
      <c r="O58" s="18"/>
      <c r="P58" s="28" t="str">
        <f t="shared" si="33"/>
        <v>PP: Kenner</v>
      </c>
      <c r="Q58" s="6" t="s">
        <v>56</v>
      </c>
      <c r="R58" s="6" t="s">
        <v>56</v>
      </c>
      <c r="S58" s="29" t="str">
        <f t="shared" si="34"/>
        <v>Kenner Logo</v>
      </c>
      <c r="T58" s="36"/>
      <c r="U58" s="18"/>
      <c r="V58" s="6" t="s">
        <v>295</v>
      </c>
      <c r="W58" s="6"/>
      <c r="X58" s="6">
        <v>2000.0</v>
      </c>
      <c r="Y58" s="18"/>
      <c r="Z58" s="27" t="s">
        <v>56</v>
      </c>
      <c r="AA58" s="27" t="s">
        <v>56</v>
      </c>
      <c r="AB58" s="29" t="str">
        <f t="shared" si="35"/>
        <v>Kenner</v>
      </c>
      <c r="AC58" s="29" t="str">
        <f t="shared" si="36"/>
        <v>Wikipedia: Kenner</v>
      </c>
      <c r="AD58" s="6" t="s">
        <v>56</v>
      </c>
      <c r="AE58" s="6" t="s">
        <v>308</v>
      </c>
      <c r="AF58" s="6" t="s">
        <v>310</v>
      </c>
      <c r="AG58" s="6"/>
      <c r="AH58" s="6">
        <v>1946.0</v>
      </c>
      <c r="AI58" s="18"/>
      <c r="AJ58" s="18"/>
      <c r="AK58" s="18"/>
      <c r="AL58" s="18"/>
      <c r="AM58" s="18"/>
      <c r="AN58" s="18"/>
      <c r="AO58" s="18"/>
      <c r="AP58" s="18"/>
      <c r="AQ58" s="18"/>
      <c r="AR58" s="18"/>
      <c r="AS58" s="18"/>
      <c r="AT58" s="18"/>
      <c r="AU58" s="18"/>
      <c r="AV58" s="18"/>
      <c r="AW58" s="18"/>
      <c r="AX58" s="18"/>
      <c r="AY58" s="18"/>
      <c r="AZ58" s="18"/>
      <c r="BA58" s="18"/>
    </row>
    <row r="59">
      <c r="A59" s="44" t="s">
        <v>318</v>
      </c>
      <c r="B59" s="45"/>
      <c r="C59" s="44" t="s">
        <v>319</v>
      </c>
      <c r="D59" s="25" t="str">
        <f t="shared" si="27"/>
        <v>TRUE</v>
      </c>
      <c r="E59" s="25">
        <v>1919.0</v>
      </c>
      <c r="F59" s="26">
        <v>2014.0</v>
      </c>
      <c r="G59" s="28" t="str">
        <f>HYPERLINK("http://www.toyassociation.org/PressRoom2/News/2014_News/Leslie_Berger__Founder_of_Cardinal_Industries__Dies_at_95.aspx#.VB8Y8-cu9xo","Leslie Berger")</f>
        <v>Leslie Berger</v>
      </c>
      <c r="H59" s="6" t="s">
        <v>320</v>
      </c>
      <c r="I59" s="6">
        <v>1948.0</v>
      </c>
      <c r="J59" s="18"/>
      <c r="K59" s="28" t="str">
        <f>HYPERLINK("http://www.toyassociation.org/App_Themes/tia/images/events/hof/berger.jpg","Leslie Berger")</f>
        <v>Leslie Berger</v>
      </c>
      <c r="L59" s="18"/>
      <c r="M59" s="28" t="str">
        <f>HYPERLINK("http://www.toyassociation.org/TIA/Events/HOF/Inductees/Events2/Hall_of_Fame/Hall_of_Fame_Inductees.aspx?hkey=513da8d5-c0f8-423a-be33-9a720a8b9276#.VB2nXOcu9xo","TIA Hall of Fame")</f>
        <v>TIA Hall of Fame</v>
      </c>
      <c r="N59" s="6" t="s">
        <v>56</v>
      </c>
      <c r="O59" s="28" t="str">
        <f>HYPERLINK("http://toydreamers.blogspot.com/search/label/Cardinal%20Industries","ToyDreamers:A Lucky Man")</f>
        <v>ToyDreamers:A Lucky Man</v>
      </c>
      <c r="P59" s="6" t="s">
        <v>56</v>
      </c>
      <c r="Q59" s="6" t="s">
        <v>56</v>
      </c>
      <c r="R59" s="18"/>
      <c r="S59" s="29" t="str">
        <f>HYPERLINK("http://ww1.prweb.com/prfiles/2011/02/08/2459414/cardinallogorgb.jpg","Cardinal Industries Logo")</f>
        <v>Cardinal Industries Logo</v>
      </c>
      <c r="T59" s="36"/>
      <c r="U59" s="18"/>
      <c r="V59" s="6" t="s">
        <v>321</v>
      </c>
      <c r="W59" s="18"/>
      <c r="X59" s="6" t="s">
        <v>68</v>
      </c>
      <c r="Y59" s="18"/>
      <c r="Z59" s="29" t="str">
        <f>HYPERLINK("http://www.cardinalgames.com/","Cardinal")</f>
        <v>Cardinal</v>
      </c>
      <c r="AA59" s="27" t="s">
        <v>56</v>
      </c>
      <c r="AB59" s="27" t="s">
        <v>56</v>
      </c>
      <c r="AC59" s="27" t="s">
        <v>56</v>
      </c>
      <c r="AD59" s="27" t="s">
        <v>56</v>
      </c>
      <c r="AE59" s="6" t="s">
        <v>320</v>
      </c>
      <c r="AF59" s="6" t="s">
        <v>322</v>
      </c>
      <c r="AG59" s="6"/>
      <c r="AH59" s="18"/>
      <c r="AI59" s="18"/>
      <c r="AJ59" s="18"/>
      <c r="AK59" s="6" t="s">
        <v>323</v>
      </c>
      <c r="AL59" s="18"/>
      <c r="AM59" s="18"/>
      <c r="AN59" s="18"/>
      <c r="AO59" s="18"/>
      <c r="AP59" s="18"/>
      <c r="AQ59" s="18"/>
      <c r="AR59" s="18"/>
      <c r="AS59" s="18"/>
      <c r="AT59" s="18"/>
      <c r="AU59" s="18"/>
      <c r="AV59" s="18"/>
      <c r="AW59" s="18"/>
      <c r="AX59" s="18"/>
      <c r="AY59" s="18"/>
      <c r="AZ59" s="18"/>
      <c r="BA59" s="18"/>
    </row>
    <row r="60">
      <c r="A60" s="24" t="s">
        <v>324</v>
      </c>
      <c r="B60" s="30"/>
      <c r="C60" s="24" t="s">
        <v>325</v>
      </c>
      <c r="D60" s="25" t="str">
        <f t="shared" si="27"/>
        <v>TRUE</v>
      </c>
      <c r="E60" s="25">
        <v>1922.0</v>
      </c>
      <c r="F60" s="26">
        <v>1995.0</v>
      </c>
      <c r="G60" s="18"/>
      <c r="H60" s="6" t="s">
        <v>326</v>
      </c>
      <c r="I60" s="6">
        <v>1951.0</v>
      </c>
      <c r="J60" s="6" t="s">
        <v>327</v>
      </c>
      <c r="K60" s="28" t="str">
        <f>HYPERLINK("http://image2.findagrave.com/photos250/photos/2013/148/111439957_136988193592.jpg","George Lerner")</f>
        <v>George Lerner</v>
      </c>
      <c r="L60" s="18"/>
      <c r="M60" s="27" t="s">
        <v>56</v>
      </c>
      <c r="N60" s="28" t="str">
        <f>HYPERLINK("http://www.tagieawards.com/nominees-and-recipients/lerner-george","Tagie Award: In Memoriam 2010")</f>
        <v>Tagie Award: In Memoriam 2010</v>
      </c>
      <c r="O60" s="27"/>
      <c r="P60" s="6" t="s">
        <v>56</v>
      </c>
      <c r="Q60" s="6" t="s">
        <v>56</v>
      </c>
      <c r="R60" s="29" t="str">
        <f>HYPERLINK("http://en.wikipedia.org/wiki/George_Lerner","George Lerner")</f>
        <v>George Lerner</v>
      </c>
      <c r="S60" s="28" t="str">
        <f>HYPERLINK("http://www.lernell.com/lernellfront.jpg","Lernell ")</f>
        <v>Lernell </v>
      </c>
      <c r="T60" s="6" t="s">
        <v>328</v>
      </c>
      <c r="U60" s="18"/>
      <c r="V60" s="6" t="s">
        <v>329</v>
      </c>
      <c r="W60" s="6"/>
      <c r="X60" s="6" t="s">
        <v>68</v>
      </c>
      <c r="Y60" s="18"/>
      <c r="Z60" s="40" t="s">
        <v>330</v>
      </c>
      <c r="AA60" s="27" t="s">
        <v>124</v>
      </c>
      <c r="AB60" s="27" t="s">
        <v>56</v>
      </c>
      <c r="AC60" s="27"/>
      <c r="AD60" s="27"/>
      <c r="AE60" s="6" t="s">
        <v>326</v>
      </c>
      <c r="AF60" s="6" t="s">
        <v>331</v>
      </c>
      <c r="AG60" s="6"/>
      <c r="AH60" s="6">
        <v>1952.0</v>
      </c>
      <c r="AI60" s="28" t="str">
        <f>HYPERLINK("http://en.wikipedia.org/wiki/Mr._Potato_Head#mediaviewer/File:Mr_Potato_Head_1952.jpg","Mr. Potato Head")</f>
        <v>Mr. Potato Head</v>
      </c>
      <c r="AJ60" s="18"/>
      <c r="AK60" s="29" t="str">
        <f>HYPERLINK("http://en.wikipedia.org/wiki/Mr._Potato_Head","Mr. Potato Head")</f>
        <v>Mr. Potato Head</v>
      </c>
      <c r="AL60" s="28" t="str">
        <f>HYPERLINK("http://en.wikipedia.org/wiki/Mr._Potato_Head#mediaviewer/File:Mr_Potato_Head_1952.jpg","Mr. Potato Head")</f>
        <v>Mr. Potato Head</v>
      </c>
      <c r="AM60" s="27"/>
      <c r="AN60" s="18"/>
      <c r="AO60" s="6">
        <v>1952.0</v>
      </c>
      <c r="AP60" s="28" t="str">
        <f>HYPERLINK("http://www.toyhalloffame.org/toys/mr-potato-head","Potato Head")</f>
        <v>Potato Head</v>
      </c>
      <c r="AQ60" s="28" t="str">
        <f>HYPERLINK("http://www.museumofplay.org/online-collections/search/index.php?q=potato+head","The Strong Online Collections:Mr. Potato Head")</f>
        <v>The Strong Online Collections:Mr. Potato Head</v>
      </c>
      <c r="AR60" s="27"/>
      <c r="AS60" s="28" t="str">
        <f>HYPERLINK("http://books.google.com/books?id=tOUJdHhF6-QC&amp;pg=PA17&amp;lpg=PA17&amp;dq=hassenfeld+doctor+kit+1930&amp;source=bl&amp;ots=ctXj593K-s&amp;sig=YiPGlZzW5vb8KPVxhpg7UzhPGxg&amp;hl=en&amp;sa=X&amp;ei=YTryU7fRKISdygSEvYKoDw&amp;ved=0CEYQ6AEwBQ#v=onepage&amp;q=hassenfeld%20doctor%20kit%201930&amp;f=false","Funny Face!")</f>
        <v>Funny Face!</v>
      </c>
      <c r="AT60" s="6"/>
      <c r="AU60" s="27"/>
      <c r="AV60" s="6"/>
      <c r="AW60" s="6"/>
      <c r="AX60" s="18"/>
      <c r="AY60" s="27"/>
      <c r="AZ60" s="27"/>
      <c r="BA60" s="27"/>
    </row>
    <row r="61">
      <c r="A61" s="24" t="s">
        <v>332</v>
      </c>
      <c r="B61" s="30"/>
      <c r="C61" s="24" t="s">
        <v>333</v>
      </c>
      <c r="D61" s="25" t="str">
        <f t="shared" si="27"/>
        <v>TRUE</v>
      </c>
      <c r="E61" s="25">
        <v>1925.0</v>
      </c>
      <c r="F61" s="26" t="s">
        <v>56</v>
      </c>
      <c r="G61" s="6" t="s">
        <v>56</v>
      </c>
      <c r="H61" s="28" t="str">
        <f>HYPERLINK("http://www.babydollbemine.com/deluxe.htm","Deluxe Reading/Topper Toys")</f>
        <v>Deluxe Reading/Topper Toys</v>
      </c>
      <c r="I61" s="6">
        <v>1951.0</v>
      </c>
      <c r="J61" s="6" t="s">
        <v>334</v>
      </c>
      <c r="K61" s="29" t="str">
        <f>HYPERLINK("https://pnimg.net/w/articles/4/53b/60ddfe1307.jpg","Henry Orenstein")</f>
        <v>Henry Orenstein</v>
      </c>
      <c r="L61" s="18"/>
      <c r="M61" s="6" t="s">
        <v>56</v>
      </c>
      <c r="N61" s="6" t="s">
        <v>56</v>
      </c>
      <c r="O61" s="28" t="str">
        <f>HYPERLINK("http://tfwiki.net/wiki/Henry_Orenstein","Transformers Wiki:Henry Orenstein")</f>
        <v>Transformers Wiki:Henry Orenstein</v>
      </c>
      <c r="P61" s="6" t="s">
        <v>56</v>
      </c>
      <c r="Q61" s="28" t="str">
        <f>HYPERLINK("http://www.pokernews.com/news/2014/07/henry-orenstein-the-holocaust-survivor-and-inventor-poker-18711.htm","Hole Cam")</f>
        <v>Hole Cam</v>
      </c>
      <c r="R61" s="29" t="str">
        <f>HYPERLINK("http://en.wikipedia.org/wiki/Henry_Orenstein","Henry Orenstein")</f>
        <v>Henry Orenstein</v>
      </c>
      <c r="S61" s="29" t="str">
        <f>HYPERLINK("http://www.blippee.com/images/topper-logo.png","Topper Toys Logo")</f>
        <v>Topper Toys Logo</v>
      </c>
      <c r="T61" s="27" t="s">
        <v>335</v>
      </c>
      <c r="U61" s="18"/>
      <c r="V61" s="6" t="s">
        <v>336</v>
      </c>
      <c r="W61" s="6"/>
      <c r="X61" s="6" t="s">
        <v>124</v>
      </c>
      <c r="Y61" s="18"/>
      <c r="Z61" s="27" t="s">
        <v>56</v>
      </c>
      <c r="AA61" s="27" t="s">
        <v>56</v>
      </c>
      <c r="AB61" s="27" t="s">
        <v>56</v>
      </c>
      <c r="AC61" s="27" t="s">
        <v>56</v>
      </c>
      <c r="AD61" s="28" t="str">
        <f>HYPERLINK("http://www.dr-goop.com/toppermonstermaker/topperhistory","Dr. Goop:Topper Toys")</f>
        <v>Dr. Goop:Topper Toys</v>
      </c>
      <c r="AE61" s="6" t="s">
        <v>337</v>
      </c>
      <c r="AF61" s="6" t="s">
        <v>338</v>
      </c>
      <c r="AG61" s="6"/>
      <c r="AH61" s="6">
        <v>1951.0</v>
      </c>
      <c r="AI61" s="18"/>
      <c r="AJ61" s="18"/>
      <c r="AK61" s="28" t="str">
        <f>HYPERLINK("http://www.museumofplay.org/online-collections/images/Z000/Z00036/Z0003678.jpg","Dream Kitchen, Playmobile Dash, Six Finger, Motorized Monster Maker")</f>
        <v>Dream Kitchen, Playmobile Dash, Six Finger, Motorized Monster Maker</v>
      </c>
      <c r="AL61" s="28" t="str">
        <f>HYPERLINK("https://s-media-cache-ak0.pinimg.com/564x/0a/ca/c5/0acac587836d6504152ab28937b1292e.jpg","Motorized Monsters")</f>
        <v>Motorized Monsters</v>
      </c>
      <c r="AM61" s="18"/>
      <c r="AN61" s="18"/>
      <c r="AO61" s="18"/>
      <c r="AP61" s="18"/>
      <c r="AQ61" s="29" t="str">
        <f>HYPERLINK("http://www.museumofplay.org/online-collections/search/index.php?q=dream+kitchen","The Strong Online Collections: Dream Kitchen")</f>
        <v>The Strong Online Collections: Dream Kitchen</v>
      </c>
      <c r="AR61" s="18"/>
      <c r="AS61" s="18"/>
      <c r="AT61" s="18"/>
      <c r="AU61" s="18"/>
      <c r="AV61" s="18"/>
      <c r="AW61" s="18"/>
      <c r="AX61" s="18"/>
      <c r="AY61" s="18"/>
      <c r="AZ61" s="18"/>
      <c r="BA61" s="18"/>
    </row>
    <row r="62">
      <c r="A62" s="24" t="s">
        <v>339</v>
      </c>
      <c r="B62" s="30"/>
      <c r="C62" s="24" t="s">
        <v>340</v>
      </c>
      <c r="D62" s="25" t="str">
        <f t="shared" si="27"/>
        <v>TRUE</v>
      </c>
      <c r="E62" s="25">
        <v>1917.0</v>
      </c>
      <c r="F62" s="26">
        <v>1984.0</v>
      </c>
      <c r="G62" s="6" t="s">
        <v>56</v>
      </c>
      <c r="H62" s="6" t="s">
        <v>341</v>
      </c>
      <c r="I62" s="6">
        <v>1953.0</v>
      </c>
      <c r="J62" s="6" t="s">
        <v>342</v>
      </c>
      <c r="K62" s="28" t="str">
        <f>HYPERLINK("https://videogamehistorian.files.wordpress.com/2015/06/kogan.png?w=300&amp;h=300","Michael Kogan")</f>
        <v>Michael Kogan</v>
      </c>
      <c r="L62" s="18"/>
      <c r="M62" s="6" t="s">
        <v>56</v>
      </c>
      <c r="N62" s="28" t="str">
        <f>HYPERLINK("http://en.wikipedia.org/wiki/Michael_Kogan","Wikipedia:Michael Kogan")</f>
        <v>Wikipedia:Michael Kogan</v>
      </c>
      <c r="O62" s="29" t="str">
        <f>HYPERLINK("http://books.google.com/books?id=5dCY1mp2R2gC&amp;pg=PR11&amp;lpg=PR11&amp;dq=kogan+fugu+plan&amp;source=bl&amp;ots=8NGARH8T2o&amp;sig=LxolAEDIPFjMyAeQy7ue-qH63cs&amp;hl=en&amp;sa=X&amp;ei=lKsmVIOIDpD_yQT3-YLgCQ&amp;ved=0CCAQ6AEwAA#v=onepage&amp;q=kogan%20fugu%20plan&amp;f=false","The Fugu Plan: The Untold Story of the Japanese and the Jews during World War Two:")</f>
        <v>The Fugu Plan: The Untold Story of the Japanese and the Jews during World War Two:</v>
      </c>
      <c r="P62" s="6" t="s">
        <v>56</v>
      </c>
      <c r="Q62" s="6" t="s">
        <v>56</v>
      </c>
      <c r="R62" s="29" t="str">
        <f>HYPERLINK("http://en.wikipedia.org/wiki/Michael_Kogan","Michael Kogan")</f>
        <v>Michael Kogan</v>
      </c>
      <c r="S62" s="29" t="str">
        <f>HYPERLINK("https://upload.wikimedia.org/wikipedia/en/5/5c/Taito_Corporation_%28old_logo%29.jpg","Taito Logo")</f>
        <v>Taito Logo</v>
      </c>
      <c r="T62" s="27" t="s">
        <v>343</v>
      </c>
      <c r="U62" s="18"/>
      <c r="V62" s="43" t="s">
        <v>344</v>
      </c>
      <c r="W62" s="43"/>
      <c r="X62" s="6">
        <v>2005.0</v>
      </c>
      <c r="Y62" s="18"/>
      <c r="Z62" s="29" t="str">
        <f>HYPERLINK("http://www.taito.com/","Taito")</f>
        <v>Taito</v>
      </c>
      <c r="AA62" s="27" t="s">
        <v>56</v>
      </c>
      <c r="AB62" s="27" t="s">
        <v>56</v>
      </c>
      <c r="AC62" s="28" t="str">
        <f>HYPERLINK("http://en.wikipedia.org/wiki/Taito_Corporation","Wikipedia: Taito")</f>
        <v>Wikipedia: Taito</v>
      </c>
      <c r="AD62" s="28" t="str">
        <f>HYPERLINK("http://www.system16.com/taito_history.php","Taito")</f>
        <v>Taito</v>
      </c>
      <c r="AE62" s="6" t="s">
        <v>341</v>
      </c>
      <c r="AF62" s="6" t="s">
        <v>345</v>
      </c>
      <c r="AG62" s="6"/>
      <c r="AH62" s="6">
        <v>1973.0</v>
      </c>
      <c r="AI62" s="18"/>
      <c r="AJ62" s="18"/>
      <c r="AK62" s="28" t="str">
        <f>HYPERLINK("http://en.wikipedia.org/wiki/Space_Invaders","Space Invaders")</f>
        <v>Space Invaders</v>
      </c>
      <c r="AL62" s="18"/>
      <c r="AM62" s="18"/>
      <c r="AN62" s="18"/>
      <c r="AO62" s="18"/>
      <c r="AP62" s="18"/>
      <c r="AQ62" s="28" t="str">
        <f>HYPERLINK("http://www.museumofplay.org/online-collections/search/index.php?q=space+invaders","The Strong On-Line Collections")</f>
        <v>The Strong On-Line Collections</v>
      </c>
      <c r="AR62" s="18"/>
      <c r="AS62" s="18"/>
      <c r="AT62" s="18"/>
      <c r="AU62" s="18"/>
      <c r="AV62" s="18"/>
      <c r="AW62" s="18"/>
      <c r="AX62" s="18"/>
      <c r="AY62" s="18"/>
      <c r="AZ62" s="18"/>
      <c r="BA62" s="18"/>
    </row>
    <row r="63">
      <c r="A63" s="24" t="s">
        <v>346</v>
      </c>
      <c r="B63" s="30"/>
      <c r="C63" s="24" t="s">
        <v>347</v>
      </c>
      <c r="D63" s="25" t="str">
        <f t="shared" si="27"/>
        <v>TRUE</v>
      </c>
      <c r="E63" s="25">
        <v>1928.0</v>
      </c>
      <c r="F63" s="26">
        <v>2012.0</v>
      </c>
      <c r="G63" s="28" t="str">
        <f>HYPERLINK("http://www.nytimes.com/2012/04/11/technology/jack-tramiel-a-pioneer-in-computers-dies-at-83.html?_r=0","Tramiel Obit")</f>
        <v>Tramiel Obit</v>
      </c>
      <c r="H63" s="6" t="s">
        <v>348</v>
      </c>
      <c r="I63" s="6">
        <v>1954.0</v>
      </c>
      <c r="J63" s="6" t="s">
        <v>349</v>
      </c>
      <c r="K63" s="29" t="str">
        <f>HYPERLINK("http://www.atarimagazines.com/v3n10/jack_tramiel.JPG","Jack Tramiel")</f>
        <v>Jack Tramiel</v>
      </c>
      <c r="L63" s="18"/>
      <c r="M63" s="6" t="s">
        <v>56</v>
      </c>
      <c r="N63" s="28" t="str">
        <f>HYPERLINK("http://en.wikipedia.org/wiki/Jack_Tramiel","Wikipedia:Jack Tramiel")</f>
        <v>Wikipedia:Jack Tramiel</v>
      </c>
      <c r="O63" s="28" t="str">
        <f>HYPERLINK("http://www.npr.org/2007/09/25/14661020/holocaust-survivors-honor-camp-liberator","NPR:Holocaust Survivors Honor Camp Liberator")</f>
        <v>NPR:Holocaust Survivors Honor Camp Liberator</v>
      </c>
      <c r="P63" s="6" t="s">
        <v>56</v>
      </c>
      <c r="Q63" s="6" t="s">
        <v>56</v>
      </c>
      <c r="R63" s="29" t="str">
        <f>HYPERLINK("http://en.wikipedia.org/wiki/Jack_Tramiel","Jack Tramiel")</f>
        <v>Jack Tramiel</v>
      </c>
      <c r="S63" s="29" t="str">
        <f>HYPERLINK("http://upload.wikimedia.org/wikipedia/en/7/74/Commodore196x.svg","Commodore Logo")</f>
        <v>Commodore Logo</v>
      </c>
      <c r="T63" s="27" t="s">
        <v>350</v>
      </c>
      <c r="U63" s="18"/>
      <c r="V63" s="48" t="s">
        <v>351</v>
      </c>
      <c r="W63" s="48"/>
      <c r="X63" s="6">
        <v>1994.0</v>
      </c>
      <c r="Y63" s="18"/>
      <c r="Z63" s="27" t="s">
        <v>56</v>
      </c>
      <c r="AA63" s="29" t="str">
        <f>HYPERLINK("http://www.fundinguniverse.com/company-histories/commodore-international-ltd-history/","Funding Universe: Commodore")</f>
        <v>Funding Universe: Commodore</v>
      </c>
      <c r="AB63" s="27" t="s">
        <v>56</v>
      </c>
      <c r="AC63" s="29" t="str">
        <f>HYPERLINK("http://en.wikipedia.org/wiki/Commodore_International","Wikipedia: Commodore International")</f>
        <v>Wikipedia: Commodore International</v>
      </c>
      <c r="AD63" s="27" t="s">
        <v>56</v>
      </c>
      <c r="AE63" s="6" t="s">
        <v>348</v>
      </c>
      <c r="AF63" s="6" t="s">
        <v>352</v>
      </c>
      <c r="AG63" s="6"/>
      <c r="AH63" s="6">
        <v>1982.0</v>
      </c>
      <c r="AI63" s="29" t="str">
        <f>HYPERLINK("http://upload.wikimedia.org/wikipedia/commons/8/84/C64c_system.jpg","http://upload.wikimedia.org/wikipedia/commons/8/84/C64c_system.jpg")</f>
        <v>http://upload.wikimedia.org/wikipedia/commons/8/84/C64c_system.jpg</v>
      </c>
      <c r="AJ63" s="18"/>
      <c r="AK63" s="18"/>
      <c r="AL63" s="18"/>
      <c r="AM63" s="18"/>
      <c r="AN63" s="18"/>
      <c r="AO63" s="18"/>
      <c r="AP63" s="18"/>
      <c r="AQ63" s="18"/>
      <c r="AR63" s="18"/>
      <c r="AS63" s="18"/>
      <c r="AT63" s="18"/>
      <c r="AU63" s="18"/>
      <c r="AV63" s="18"/>
      <c r="AW63" s="18"/>
      <c r="AX63" s="18"/>
      <c r="AY63" s="18"/>
      <c r="AZ63" s="18"/>
      <c r="BA63" s="18"/>
    </row>
    <row r="64">
      <c r="A64" s="19" t="s">
        <v>182</v>
      </c>
      <c r="B64" s="32"/>
      <c r="C64" s="19" t="s">
        <v>353</v>
      </c>
      <c r="D64" s="25" t="b">
        <v>0</v>
      </c>
      <c r="E64" s="33"/>
      <c r="F64" s="34"/>
      <c r="G64" s="18"/>
      <c r="H64" s="6" t="s">
        <v>354</v>
      </c>
      <c r="I64" s="6">
        <v>1954.0</v>
      </c>
      <c r="J64" s="18"/>
      <c r="K64" s="18"/>
      <c r="L64" s="18"/>
      <c r="M64" s="18"/>
      <c r="N64" s="18"/>
      <c r="O64" s="18"/>
      <c r="P64" s="18"/>
      <c r="Q64" s="18"/>
      <c r="R64" s="18"/>
      <c r="S64" s="29" t="str">
        <f>HYPERLINK("http://reboxyourmego.com/mc.jpg","Mego Logo")</f>
        <v>Mego Logo</v>
      </c>
      <c r="T64" s="36"/>
      <c r="U64" s="18"/>
      <c r="V64" s="18"/>
      <c r="W64" s="18"/>
      <c r="X64" s="18"/>
      <c r="Y64" s="18"/>
      <c r="Z64" s="28" t="str">
        <f>HYPERLINK("http://www.megomuseum.com/","Mego Museum")</f>
        <v>Mego Museum</v>
      </c>
      <c r="AA64" s="18"/>
      <c r="AB64" s="18"/>
      <c r="AC64" s="18"/>
      <c r="AD64" s="18"/>
      <c r="AE64" s="6" t="s">
        <v>354</v>
      </c>
      <c r="AF64" s="18"/>
      <c r="AG64" s="18"/>
      <c r="AH64" s="18"/>
      <c r="AI64" s="18"/>
      <c r="AJ64" s="18"/>
      <c r="AK64" s="18"/>
      <c r="AL64" s="18"/>
      <c r="AM64" s="18"/>
      <c r="AN64" s="18"/>
      <c r="AO64" s="18"/>
      <c r="AP64" s="18"/>
      <c r="AQ64" s="18"/>
      <c r="AR64" s="18"/>
      <c r="AS64" s="18"/>
      <c r="AT64" s="18"/>
      <c r="AU64" s="18"/>
      <c r="AV64" s="18"/>
      <c r="AW64" s="18"/>
      <c r="AX64" s="18"/>
      <c r="AY64" s="18"/>
      <c r="AZ64" s="18"/>
      <c r="BA64" s="18"/>
    </row>
    <row r="65">
      <c r="A65" s="24" t="s">
        <v>355</v>
      </c>
      <c r="B65" s="24"/>
      <c r="C65" s="24" t="s">
        <v>356</v>
      </c>
      <c r="D65" s="25" t="str">
        <f t="shared" ref="D65:D68" si="37">TRUE</f>
        <v>TRUE</v>
      </c>
      <c r="E65" s="25">
        <v>1921.0</v>
      </c>
      <c r="F65" s="26">
        <v>2003.0</v>
      </c>
      <c r="G65" s="28" t="str">
        <f>HYPERLINK("http://www.giftsanddec.com/article/464381-obituary-fred-kroll-toy-inventor","Fred Kroll")</f>
        <v>Fred Kroll</v>
      </c>
      <c r="H65" s="6" t="s">
        <v>357</v>
      </c>
      <c r="I65" s="6">
        <v>1956.0</v>
      </c>
      <c r="J65" s="6" t="s">
        <v>358</v>
      </c>
      <c r="K65" s="29" t="str">
        <f>HYPERLINK("https://cf.geekdo-images.com/images/pic935645_t.jpg","Fred Kroll")</f>
        <v>Fred Kroll</v>
      </c>
      <c r="L65" s="18"/>
      <c r="M65" s="6" t="s">
        <v>56</v>
      </c>
      <c r="N65" s="6" t="s">
        <v>56</v>
      </c>
      <c r="O65" s="28" t="str">
        <f>HYPERLINK("http://articles.sun-sentinel.com/1988-12-18/news/8803120636_1_toy-drive-water-pistols-children","Sun Sentinel:Beardless Santa Claus Has Toys for Migrant Children")</f>
        <v>Sun Sentinel:Beardless Santa Claus Has Toys for Migrant Children</v>
      </c>
      <c r="P65" s="28" t="str">
        <f>HYPERLINK("http://books.google.es/books?id=H9kSRbYITlYC&amp;pg=PT26&amp;dq=fred+kroll&amp;hl=en&amp;sa=X&amp;ei=GedEVNi0J6ac7gbrjoCQAQ&amp;redir_esc=y#v=onepage&amp;q=fred%20kroll&amp;f=false","The Real Toy Story")</f>
        <v>The Real Toy Story</v>
      </c>
      <c r="Q65" s="6" t="s">
        <v>56</v>
      </c>
      <c r="R65" s="6" t="s">
        <v>56</v>
      </c>
      <c r="S65" s="29" t="str">
        <f>HYPERLINK("http://lifeinlegacy.com/2003/0809/KrollFred.jpg","Fred Kroll")</f>
        <v>Fred Kroll</v>
      </c>
      <c r="T65" s="27" t="s">
        <v>359</v>
      </c>
      <c r="U65" s="18"/>
      <c r="V65" s="6" t="s">
        <v>360</v>
      </c>
      <c r="W65" s="6"/>
      <c r="X65" s="6" t="s">
        <v>361</v>
      </c>
      <c r="Y65" s="6" t="s">
        <v>362</v>
      </c>
      <c r="Z65" s="27" t="s">
        <v>56</v>
      </c>
      <c r="AA65" s="27" t="s">
        <v>56</v>
      </c>
      <c r="AB65" s="27" t="s">
        <v>56</v>
      </c>
      <c r="AC65" s="27" t="s">
        <v>56</v>
      </c>
      <c r="AD65" s="27" t="s">
        <v>56</v>
      </c>
      <c r="AE65" s="6" t="s">
        <v>363</v>
      </c>
      <c r="AF65" s="18"/>
      <c r="AG65" s="18"/>
      <c r="AH65" s="18"/>
      <c r="AI65" s="18"/>
      <c r="AJ65" s="18"/>
      <c r="AK65" s="6" t="s">
        <v>362</v>
      </c>
      <c r="AL65" s="29" t="str">
        <f>HYPERLINK("http://www.groovyjuice.com/images/products/1335_image.jpg","Trouble")</f>
        <v>Trouble</v>
      </c>
      <c r="AM65" s="36"/>
      <c r="AN65" s="18"/>
      <c r="AO65" s="6">
        <v>1965.0</v>
      </c>
      <c r="AP65" s="18"/>
      <c r="AQ65" s="18"/>
      <c r="AR65" s="18"/>
      <c r="AS65" s="18"/>
      <c r="AT65" s="6" t="s">
        <v>364</v>
      </c>
      <c r="AU65" s="29" t="str">
        <f>HYPERLINK("http://4.bp.blogspot.com/_1I7KiCuAU4k/SXVmeQfjW6I/AAAAAAAAEW8/xtR58oYmRLs/s1600-h/hungry_hungry_hippos.jpg","Hungry Hungry Hippos")</f>
        <v>Hungry Hungry Hippos</v>
      </c>
      <c r="AV65" s="18"/>
      <c r="AW65" s="6">
        <v>1966.0</v>
      </c>
      <c r="AX65" s="18"/>
      <c r="AY65" s="18"/>
      <c r="AZ65" s="18"/>
      <c r="BA65" s="18"/>
    </row>
    <row r="66">
      <c r="A66" s="24" t="s">
        <v>365</v>
      </c>
      <c r="B66" s="30"/>
      <c r="C66" s="24" t="s">
        <v>366</v>
      </c>
      <c r="D66" s="25" t="str">
        <f t="shared" si="37"/>
        <v>TRUE</v>
      </c>
      <c r="E66" s="25">
        <v>1922.0</v>
      </c>
      <c r="F66" s="26">
        <v>2014.0</v>
      </c>
      <c r="G66" s="6" t="s">
        <v>56</v>
      </c>
      <c r="H66" s="6" t="s">
        <v>367</v>
      </c>
      <c r="I66" s="6">
        <v>1956.0</v>
      </c>
      <c r="J66" s="6" t="s">
        <v>368</v>
      </c>
      <c r="K66" s="29" t="str">
        <f>HYPERLINK("http://www.ralphbaer.com/images/rhb3a.jpg","Ralph Baer")</f>
        <v>Ralph Baer</v>
      </c>
      <c r="L66" s="18"/>
      <c r="M66" s="6" t="s">
        <v>56</v>
      </c>
      <c r="N66" s="6" t="s">
        <v>56</v>
      </c>
      <c r="O66" s="18"/>
      <c r="P66" s="29" t="str">
        <f>HYPERLINK("http://ieeexplore.ieee.org/xpl/articleDetails.jsp?arnumber=6776536","The 2014  IEEE Edison  Medal Recipient Meet the father of video games")</f>
        <v>The 2014  IEEE Edison  Medal Recipient Meet the father of video games</v>
      </c>
      <c r="Q66" s="28" t="str">
        <f>HYPERLINK("http://www.ralphbaer.com/","Ralph")</f>
        <v>Ralph</v>
      </c>
      <c r="R66" s="49" t="str">
        <f>HYPERLINK("http://en.wikipedia.org/wiki/Ralph_H._Baer","Ralph Baer")</f>
        <v>Ralph Baer</v>
      </c>
      <c r="S66" s="29" t="str">
        <f>HYPERLINK("http://www.ralphbaer.com/images/rhb3a.jpg","Ralph Baer")</f>
        <v>Ralph Baer</v>
      </c>
      <c r="T66" s="27" t="s">
        <v>369</v>
      </c>
      <c r="U66" s="50"/>
      <c r="V66" s="6" t="s">
        <v>370</v>
      </c>
      <c r="W66" s="6"/>
      <c r="X66" s="6" t="s">
        <v>68</v>
      </c>
      <c r="Y66" s="18"/>
      <c r="Z66" s="27" t="s">
        <v>56</v>
      </c>
      <c r="AA66" s="27" t="s">
        <v>56</v>
      </c>
      <c r="AB66" s="27" t="s">
        <v>56</v>
      </c>
      <c r="AC66" s="27" t="s">
        <v>56</v>
      </c>
      <c r="AD66" s="27" t="s">
        <v>56</v>
      </c>
      <c r="AE66" s="6" t="s">
        <v>367</v>
      </c>
      <c r="AF66" s="28" t="str">
        <f>HYPERLINK("http://en.wikipedia.org/wiki/Magnavox_Odyssey","Magnavox Odyssey")</f>
        <v>Magnavox Odyssey</v>
      </c>
      <c r="AG66" s="27"/>
      <c r="AH66" s="6">
        <v>1972.0</v>
      </c>
      <c r="AI66" s="18"/>
      <c r="AJ66" s="18"/>
      <c r="AK66" s="28" t="str">
        <f>HYPERLINK("http://en.wikipedia.org/wiki/Simon_%28game%29","Simon")</f>
        <v>Simon</v>
      </c>
      <c r="AL66" s="29" t="str">
        <f>HYPERLINK("http://upload.wikimedia.org/wikipedia/commons/thumb/9/99/OriginalSimon.jpg/200px-OriginalSimon.jpg","Simon")</f>
        <v>Simon</v>
      </c>
      <c r="AM66" s="36"/>
      <c r="AN66" s="18"/>
      <c r="AO66" s="18"/>
      <c r="AP66" s="18"/>
      <c r="AQ66" s="28" t="str">
        <f>HYPERLINK("http://www.museumofplay.org/online-collections/search/index.php?q=simon","The Strong Online Collections")</f>
        <v>The Strong Online Collections</v>
      </c>
      <c r="AR66" s="18"/>
      <c r="AS66" s="18"/>
      <c r="AT66" s="18"/>
      <c r="AU66" s="18"/>
      <c r="AV66" s="18"/>
      <c r="AW66" s="18"/>
      <c r="AX66" s="18"/>
      <c r="AY66" s="18"/>
      <c r="AZ66" s="18"/>
      <c r="BA66" s="18"/>
    </row>
    <row r="67">
      <c r="A67" s="24" t="s">
        <v>371</v>
      </c>
      <c r="B67" s="30"/>
      <c r="C67" s="24" t="s">
        <v>372</v>
      </c>
      <c r="D67" s="25" t="str">
        <f t="shared" si="37"/>
        <v>TRUE</v>
      </c>
      <c r="E67" s="25">
        <v>1922.0</v>
      </c>
      <c r="F67" s="26" t="s">
        <v>56</v>
      </c>
      <c r="G67" s="6" t="s">
        <v>56</v>
      </c>
      <c r="H67" s="6" t="s">
        <v>373</v>
      </c>
      <c r="I67" s="51">
        <v>1960.0</v>
      </c>
      <c r="J67" s="6" t="s">
        <v>374</v>
      </c>
      <c r="K67" s="29" t="str">
        <f>HYPERLINK("http://www.dispatch.com/content/graphics/2012/09/15/life-guy-art-g12jat28-1life-guy-crr1.jpg","Reuben Klamer")</f>
        <v>Reuben Klamer</v>
      </c>
      <c r="L67" s="18"/>
      <c r="M67" s="28" t="str">
        <f t="shared" ref="M67:M68" si="38">HYPERLINK("http://www.toyassociation.org/TIA/Events/HOF/Inductees/Events2/Hall_of_Fame/Hall_of_Fame_Inductees.aspx?hkey=513da8d5-c0f8-423a-be33-9a720a8b9276#.VB2nXOcu9xo","TIA Hall of Fame")</f>
        <v>TIA Hall of Fame</v>
      </c>
      <c r="N67" s="28" t="str">
        <f>HYPERLINK("http://www.tagieawards.com/nominees-and-recipients/klamer-reuben","Tagie Award Lifetime Achievement, 2009")</f>
        <v>Tagie Award Lifetime Achievement, 2009</v>
      </c>
      <c r="O67" s="18"/>
      <c r="P67" s="29" t="str">
        <f>HYPERLINK("http://www.playgroundprofessionals.com/encyclopedia/k/reuben-klamer","Klamer")</f>
        <v>Klamer</v>
      </c>
      <c r="Q67" s="28" t="str">
        <f>HYPERLINK("http://sandiegojewishworld.com/2008-SDJW-Quarter%204/20081223-jewish-tuesday304.html#soilleklamer","San Diego Jewish World")</f>
        <v>San Diego Jewish World</v>
      </c>
      <c r="R67" s="29" t="str">
        <f>HYPERLINK("http://en.wikipedia.org/wiki/Reuben_Klamer","Reuben Klamer")</f>
        <v>Reuben Klamer</v>
      </c>
      <c r="S67" s="6" t="s">
        <v>124</v>
      </c>
      <c r="T67" s="6" t="s">
        <v>375</v>
      </c>
      <c r="U67" s="18"/>
      <c r="V67" s="6"/>
      <c r="W67" s="6"/>
      <c r="X67" s="51"/>
      <c r="Y67" s="18"/>
      <c r="Z67" s="27" t="s">
        <v>56</v>
      </c>
      <c r="AA67" s="27" t="s">
        <v>56</v>
      </c>
      <c r="AB67" s="27" t="s">
        <v>56</v>
      </c>
      <c r="AC67" s="27" t="s">
        <v>56</v>
      </c>
      <c r="AD67" s="6" t="s">
        <v>56</v>
      </c>
      <c r="AE67" s="6" t="s">
        <v>373</v>
      </c>
      <c r="AF67" s="6" t="s">
        <v>376</v>
      </c>
      <c r="AG67" s="6"/>
      <c r="AH67" s="6">
        <v>1959.0</v>
      </c>
      <c r="AI67" s="18"/>
      <c r="AJ67" s="18"/>
      <c r="AK67" s="6" t="s">
        <v>377</v>
      </c>
      <c r="AL67" s="29" t="str">
        <f>HYPERLINK("http://www.gonecountryantiques.com/pictures/1960-Milton-Bradley-The-Game-of-Life%281%29.jpg","The Game of Life")</f>
        <v>The Game of Life</v>
      </c>
      <c r="AM67" s="36"/>
      <c r="AN67" s="18"/>
      <c r="AO67" s="6">
        <v>1960.0</v>
      </c>
      <c r="AP67" s="29" t="str">
        <f>HYPERLINK("http://www.toyhalloffame.org/toys/game-life","The Game of Life")</f>
        <v>The Game of Life</v>
      </c>
      <c r="AQ67" s="29" t="str">
        <f>HYPERLINK("http://www.museumofplay.org/online-collections/3/48/108.6136","The Strong Online Collections: The Game of Life")</f>
        <v>The Strong Online Collections: The Game of Life</v>
      </c>
      <c r="AR67" s="18"/>
      <c r="AS67" s="18"/>
      <c r="AT67" s="6" t="s">
        <v>378</v>
      </c>
      <c r="AU67" s="29" t="str">
        <f>HYPERLINK("https://s-media-cache-ak0.pinimg.com/236x/c9/ec/e6/c9ece6c4bd384e93f6d26e528afa0f21.jpg","Gaylord the Walking Dog")</f>
        <v>Gaylord the Walking Dog</v>
      </c>
      <c r="AV67" s="18"/>
      <c r="AW67" s="6">
        <v>1963.0</v>
      </c>
      <c r="AX67" s="18"/>
      <c r="AY67" s="18"/>
      <c r="AZ67" s="18"/>
      <c r="BA67" s="18"/>
    </row>
    <row r="68">
      <c r="A68" s="24" t="s">
        <v>379</v>
      </c>
      <c r="B68" s="30"/>
      <c r="C68" s="24" t="s">
        <v>380</v>
      </c>
      <c r="D68" s="25" t="str">
        <f t="shared" si="37"/>
        <v>TRUE</v>
      </c>
      <c r="E68" s="25">
        <v>1933.0</v>
      </c>
      <c r="F68" s="26">
        <v>2002.0</v>
      </c>
      <c r="G68" s="28" t="str">
        <f>HYPERLINK("http://www.nytimes.com/2002/12/27/business/russell-berrie-69-founder-of-a-toy-and-gift-company.html","Russ Berrie")</f>
        <v>Russ Berrie</v>
      </c>
      <c r="H68" s="6" t="s">
        <v>381</v>
      </c>
      <c r="I68" s="6">
        <v>1963.0</v>
      </c>
      <c r="J68" s="6" t="s">
        <v>382</v>
      </c>
      <c r="K68" s="29" t="str">
        <f>HYPERLINK("http://russellberriefoundation.org/files/2015/12/photo_russ.jpg","Russ Berrie")</f>
        <v>Russ Berrie</v>
      </c>
      <c r="L68" s="18"/>
      <c r="M68" s="28" t="str">
        <f t="shared" si="38"/>
        <v>TIA Hall of Fame</v>
      </c>
      <c r="N68" s="6" t="s">
        <v>56</v>
      </c>
      <c r="O68" s="18"/>
      <c r="P68" s="6" t="s">
        <v>56</v>
      </c>
      <c r="Q68" s="6" t="s">
        <v>56</v>
      </c>
      <c r="R68" s="6" t="s">
        <v>56</v>
      </c>
      <c r="S68" s="29" t="str">
        <f>HYPERLINK("http://media.marketwire.com/attachments/201403/231338_logo.jpg","Kid Brands Logo")</f>
        <v>Kid Brands Logo</v>
      </c>
      <c r="T68" s="27" t="s">
        <v>383</v>
      </c>
      <c r="U68" s="18"/>
      <c r="V68" s="6" t="s">
        <v>384</v>
      </c>
      <c r="W68" s="6"/>
      <c r="X68" s="6">
        <v>2011.0</v>
      </c>
      <c r="Y68" s="18"/>
      <c r="Z68" s="27" t="s">
        <v>56</v>
      </c>
      <c r="AA68" s="29" t="str">
        <f>HYPERLINK("http://www.fundinguniverse.com/company-histories/russ-berrie-and-company-inc-history/","Funding Universe: Russ Berrie and Co")</f>
        <v>Funding Universe: Russ Berrie and Co</v>
      </c>
      <c r="AB68" s="27" t="s">
        <v>56</v>
      </c>
      <c r="AC68" s="27" t="s">
        <v>56</v>
      </c>
      <c r="AD68" s="27" t="s">
        <v>56</v>
      </c>
      <c r="AE68" s="6" t="s">
        <v>381</v>
      </c>
      <c r="AF68" s="6" t="s">
        <v>385</v>
      </c>
      <c r="AG68" s="6"/>
      <c r="AH68" s="6">
        <v>1964.0</v>
      </c>
      <c r="AI68" s="29" t="str">
        <f>HYPERLINK("https://s-media-cache-ak0.pinimg.com/736x/96/71/d2/9671d2926aaaab52f42f2971d2b6fdd0.jpg","Fuzzy Wuzzy")</f>
        <v>Fuzzy Wuzzy</v>
      </c>
      <c r="AJ68" s="18"/>
      <c r="AK68" s="28" t="str">
        <f>HYPERLINK("https://upload.wikimedia.org/wikipedia/en/thumb/9/93/Wizard_troll_doll-low_res.jpg/220px-Wizard_troll_doll-low_res.jpg","Troll dolls")</f>
        <v>Troll dolls</v>
      </c>
      <c r="AL68" s="18"/>
      <c r="AM68" s="18"/>
      <c r="AN68" s="18"/>
      <c r="AO68" s="18"/>
      <c r="AP68" s="18"/>
      <c r="AQ68" s="29" t="str">
        <f>HYPERLINK("http://www.museumofplay.org/online-collections/search/index.php?q=troll+doll","The Strong Online Collections: Troll Dolls")</f>
        <v>The Strong Online Collections: Troll Dolls</v>
      </c>
      <c r="AR68" s="18"/>
      <c r="AS68" s="18"/>
      <c r="AT68" s="18"/>
      <c r="AU68" s="18"/>
      <c r="AV68" s="18"/>
      <c r="AW68" s="18"/>
      <c r="AX68" s="18"/>
      <c r="AY68" s="18"/>
      <c r="AZ68" s="18"/>
      <c r="BA68" s="18"/>
    </row>
    <row r="69">
      <c r="A69" s="19" t="s">
        <v>386</v>
      </c>
      <c r="B69" s="32"/>
      <c r="C69" s="19" t="s">
        <v>387</v>
      </c>
      <c r="D69" s="25" t="b">
        <v>0</v>
      </c>
      <c r="E69" s="33"/>
      <c r="F69" s="34"/>
      <c r="G69" s="18"/>
      <c r="H69" s="6" t="s">
        <v>388</v>
      </c>
      <c r="I69" s="6">
        <v>1965.0</v>
      </c>
      <c r="J69" s="18"/>
      <c r="K69" s="18"/>
      <c r="L69" s="18"/>
      <c r="M69" s="18"/>
      <c r="N69" s="28" t="str">
        <f>HYPERLINK("http://www.tagieawards.com/nominees-and-recipients/coster-theo-and-ora","Coster Family")</f>
        <v>Coster Family</v>
      </c>
      <c r="O69" s="18"/>
      <c r="P69" s="18"/>
      <c r="Q69" s="28" t="str">
        <f>HYPERLINK("http://tandgcon.com/business-of-play/theora-design-recognized-with-tagie-lifetime-achievement-award","TandGcon.Com:THeora Design TAGIE Award")</f>
        <v>TandGcon.Com:THeora Design TAGIE Award</v>
      </c>
      <c r="R69" s="18"/>
      <c r="S69" s="18"/>
      <c r="T69" s="18"/>
      <c r="U69" s="18"/>
      <c r="V69" s="6" t="s">
        <v>389</v>
      </c>
      <c r="W69" s="6"/>
      <c r="X69" s="18"/>
      <c r="Y69" s="18"/>
      <c r="Z69" s="29" t="str">
        <f>HYPERLINK("http://www.mastermindtoys.com/","Theora Design")</f>
        <v>Theora Design</v>
      </c>
      <c r="AA69" s="18"/>
      <c r="AB69" s="29" t="str">
        <f t="shared" ref="AB69:AB70" si="39">HYPERLINK("http://www.playgroundprofessionals.com/encyclopedia/t/theora-design","Playground Professionals: Theora Design")</f>
        <v>Playground Professionals: Theora Design</v>
      </c>
      <c r="AC69" s="18"/>
      <c r="AD69" s="18"/>
      <c r="AE69" s="6" t="s">
        <v>388</v>
      </c>
      <c r="AF69" s="6" t="s">
        <v>390</v>
      </c>
      <c r="AG69" s="6"/>
      <c r="AH69" s="6" t="s">
        <v>391</v>
      </c>
      <c r="AI69" s="29" t="str">
        <f>HYPERLINK("http://theoradesign.com/assets/images/B2/001001B.jpg","Elsie Stix")</f>
        <v>Elsie Stix</v>
      </c>
      <c r="AJ69" s="18"/>
      <c r="AK69" s="6" t="s">
        <v>392</v>
      </c>
      <c r="AL69" s="18"/>
      <c r="AM69" s="18"/>
      <c r="AN69" s="18"/>
      <c r="AO69" s="18"/>
      <c r="AP69" s="18"/>
      <c r="AQ69" s="18"/>
      <c r="AR69" s="18"/>
      <c r="AS69" s="18"/>
      <c r="AT69" s="18"/>
      <c r="AU69" s="18"/>
      <c r="AV69" s="18"/>
      <c r="AW69" s="18"/>
      <c r="AX69" s="18"/>
      <c r="AY69" s="18"/>
      <c r="AZ69" s="18"/>
      <c r="BA69" s="18"/>
    </row>
    <row r="70">
      <c r="A70" s="19" t="s">
        <v>393</v>
      </c>
      <c r="B70" s="32"/>
      <c r="C70" s="19" t="s">
        <v>387</v>
      </c>
      <c r="D70" s="25" t="b">
        <v>0</v>
      </c>
      <c r="E70" s="33"/>
      <c r="F70" s="34"/>
      <c r="G70" s="18"/>
      <c r="H70" s="6" t="s">
        <v>388</v>
      </c>
      <c r="I70" s="6">
        <v>1965.0</v>
      </c>
      <c r="J70" s="18"/>
      <c r="K70" s="18"/>
      <c r="L70" s="18"/>
      <c r="M70" s="18"/>
      <c r="N70" s="18"/>
      <c r="O70" s="18"/>
      <c r="P70" s="18"/>
      <c r="Q70" s="18"/>
      <c r="R70" s="18"/>
      <c r="S70" s="18"/>
      <c r="T70" s="18"/>
      <c r="U70" s="18"/>
      <c r="V70" s="18"/>
      <c r="W70" s="18"/>
      <c r="X70" s="18"/>
      <c r="Y70" s="18"/>
      <c r="Z70" s="18"/>
      <c r="AA70" s="18"/>
      <c r="AB70" s="29" t="str">
        <f t="shared" si="39"/>
        <v>Playground Professionals: Theora Design</v>
      </c>
      <c r="AC70" s="18"/>
      <c r="AD70" s="18"/>
      <c r="AE70" s="6" t="s">
        <v>388</v>
      </c>
      <c r="AF70" s="18"/>
      <c r="AG70" s="18"/>
      <c r="AH70" s="18"/>
      <c r="AI70" s="18"/>
      <c r="AJ70" s="18"/>
      <c r="AK70" s="18"/>
      <c r="AL70" s="18"/>
      <c r="AM70" s="18"/>
      <c r="AN70" s="18"/>
      <c r="AO70" s="18"/>
      <c r="AP70" s="18"/>
      <c r="AQ70" s="18"/>
      <c r="AR70" s="18"/>
      <c r="AS70" s="18"/>
      <c r="AT70" s="18"/>
      <c r="AU70" s="18"/>
      <c r="AV70" s="18"/>
      <c r="AW70" s="18"/>
      <c r="AX70" s="18"/>
      <c r="AY70" s="18"/>
      <c r="AZ70" s="18"/>
      <c r="BA70" s="18"/>
    </row>
    <row r="71">
      <c r="A71" s="24" t="s">
        <v>394</v>
      </c>
      <c r="B71" s="30"/>
      <c r="C71" s="24" t="s">
        <v>395</v>
      </c>
      <c r="D71" s="25" t="str">
        <f t="shared" ref="D71:D76" si="40">TRUE</f>
        <v>TRUE</v>
      </c>
      <c r="E71" s="25">
        <v>1944.0</v>
      </c>
      <c r="F71" s="26" t="s">
        <v>56</v>
      </c>
      <c r="G71" s="18"/>
      <c r="H71" s="6" t="s">
        <v>396</v>
      </c>
      <c r="I71" s="6">
        <v>1974.0</v>
      </c>
      <c r="J71" s="6" t="s">
        <v>397</v>
      </c>
      <c r="K71" s="29" t="str">
        <f>HYPERLINK("https://lh5.googleusercontent.com/-ZEUH9E9p7Wk/AAAAAAAAAAI/AAAAAAAAAxA/xEzfg8XPiIo/photo.jpg","Erno Rubik")</f>
        <v>Erno Rubik</v>
      </c>
      <c r="L71" s="18"/>
      <c r="M71" s="28" t="str">
        <f>HYPERLINK("http://www.cnn.com/2012/10/10/tech/rubiks-cube-inventor","CNN:The Little Cube that Changed the World")</f>
        <v>CNN:The Little Cube that Changed the World</v>
      </c>
      <c r="N71" s="28" t="str">
        <f>HYPERLINK("http://israeljewishnews.blogspot.com/2009/02/mozel-tov-professor-rubik-rubiks-360.html","Israel Jewish News: Rubik's 360")</f>
        <v>Israel Jewish News: Rubik's 360</v>
      </c>
      <c r="O71" s="28" t="str">
        <f>HYPERLINK("http://www.politics.hu/20140425/rubiks-cube-one-of-worlds-greatest-hungarian-inventions-says-president/","Politics HU:Rubik's Cube One of World's Greatest Hungarian Inventions")</f>
        <v>Politics HU:Rubik's Cube One of World's Greatest Hungarian Inventions</v>
      </c>
      <c r="P71" s="6" t="s">
        <v>56</v>
      </c>
      <c r="Q71" s="6" t="s">
        <v>56</v>
      </c>
      <c r="R71" s="6" t="s">
        <v>56</v>
      </c>
      <c r="S71" s="29" t="str">
        <f>HYPERLINK("https://lh5.googleusercontent.com/-ZEUH9E9p7Wk/AAAAAAAAAAI/AAAAAAAAAxA/xEzfg8XPiIo/photo.jpg","Erno Rubik")</f>
        <v>Erno Rubik</v>
      </c>
      <c r="T71" s="27" t="s">
        <v>398</v>
      </c>
      <c r="U71" s="18"/>
      <c r="V71" s="6" t="s">
        <v>399</v>
      </c>
      <c r="W71" s="6"/>
      <c r="X71" s="6" t="s">
        <v>124</v>
      </c>
      <c r="Y71" s="28" t="str">
        <f>HYPERLINK("http://www.rubiks.com/history","Rubik's Cube")</f>
        <v>Rubik's Cube</v>
      </c>
      <c r="Z71" s="28" t="str">
        <f>HYPERLINK("http://www.rubiks.com/","Rubiks.com")</f>
        <v>Rubiks.com</v>
      </c>
      <c r="AA71" s="27" t="s">
        <v>56</v>
      </c>
      <c r="AB71" s="27" t="s">
        <v>56</v>
      </c>
      <c r="AC71" s="27" t="s">
        <v>56</v>
      </c>
      <c r="AD71" s="27" t="s">
        <v>56</v>
      </c>
      <c r="AE71" s="6" t="s">
        <v>396</v>
      </c>
      <c r="AF71" s="6" t="s">
        <v>400</v>
      </c>
      <c r="AG71" s="6"/>
      <c r="AH71" s="6">
        <v>1980.0</v>
      </c>
      <c r="AI71" s="29" t="str">
        <f>HYPERLINK("http://www.speedcubing.com/ton/images/Rubik%27s%2004%20Ideal%201980%20%20clone%20type%20cube%20Square%20logo%20sticker.jpg","Rubik's Cube")</f>
        <v>Rubik's Cube</v>
      </c>
      <c r="AJ71" s="18"/>
      <c r="AK71" s="18"/>
      <c r="AL71" s="18"/>
      <c r="AM71" s="18"/>
      <c r="AN71" s="18"/>
      <c r="AO71" s="18"/>
      <c r="AP71" s="29" t="str">
        <f>HYPERLINK("http://www.toyhalloffame.org/toys/rubiks-cube","THF Rubik's Cube")</f>
        <v>THF Rubik's Cube</v>
      </c>
      <c r="AQ71" s="18"/>
      <c r="AR71" s="18"/>
      <c r="AS71" s="18"/>
      <c r="AT71" s="18"/>
      <c r="AU71" s="18"/>
      <c r="AV71" s="18"/>
      <c r="AW71" s="18"/>
      <c r="AX71" s="18"/>
      <c r="AY71" s="18"/>
      <c r="AZ71" s="18"/>
      <c r="BA71" s="18"/>
    </row>
    <row r="72">
      <c r="A72" s="24" t="s">
        <v>207</v>
      </c>
      <c r="B72" s="30"/>
      <c r="C72" s="24" t="s">
        <v>401</v>
      </c>
      <c r="D72" s="25" t="str">
        <f t="shared" si="40"/>
        <v>TRUE</v>
      </c>
      <c r="E72" s="25" t="s">
        <v>184</v>
      </c>
      <c r="F72" s="26">
        <v>1984.0</v>
      </c>
      <c r="G72" s="6" t="s">
        <v>56</v>
      </c>
      <c r="H72" s="6" t="s">
        <v>402</v>
      </c>
      <c r="I72" s="6">
        <v>1977.0</v>
      </c>
      <c r="J72" s="6" t="s">
        <v>403</v>
      </c>
      <c r="K72" s="29" t="str">
        <f>HYPERLINK("http://www.sternpinball.com/upload/games/203/photos/Resize.ashx.jpeg","Sam Stern")</f>
        <v>Sam Stern</v>
      </c>
      <c r="L72" s="18"/>
      <c r="M72" s="6" t="s">
        <v>56</v>
      </c>
      <c r="N72" s="6" t="s">
        <v>56</v>
      </c>
      <c r="O72" s="28" t="str">
        <f>HYPERLINK("http://www.8-bitcentral.com/blog/2013/7800berzerk.html","Stern Videogames")</f>
        <v>Stern Videogames</v>
      </c>
      <c r="P72" s="28" t="str">
        <f>HYPERLINK("http://www.pinballnews.com/comment/sterndesign.html","Stern Pinball Machines")</f>
        <v>Stern Pinball Machines</v>
      </c>
      <c r="Q72" s="28" t="str">
        <f>HYPERLINK("http://gamearchive.askey.org/Pinball/Oldies/cmotm_samstern.html","Game Archive: Coinman of the MOnth Sam Stern")</f>
        <v>Game Archive: Coinman of the MOnth Sam Stern</v>
      </c>
      <c r="R72" s="18"/>
      <c r="S72" s="29" t="str">
        <f>HYPERLINK("http://www.mobygames.com/images/i/38/43/619643.jpeg","Stern Electronics Logo")</f>
        <v>Stern Electronics Logo</v>
      </c>
      <c r="T72" s="27" t="s">
        <v>404</v>
      </c>
      <c r="U72" s="18"/>
      <c r="V72" s="6" t="s">
        <v>188</v>
      </c>
      <c r="W72" s="6"/>
      <c r="X72" s="6">
        <v>1999.0</v>
      </c>
      <c r="Y72" s="18"/>
      <c r="Z72" s="28" t="str">
        <f>HYPERLINK("http://en.wikipedia.org/wiki/Stern_%28game_company%29","Wikipedia:Stern Electronics")</f>
        <v>Wikipedia:Stern Electronics</v>
      </c>
      <c r="AA72" s="28" t="str">
        <f>HYPERLINK("http://www.sternpinball.com/about","Stern:History")</f>
        <v>Stern:History</v>
      </c>
      <c r="AB72" s="27" t="s">
        <v>56</v>
      </c>
      <c r="AC72" s="29" t="str">
        <f>HYPERLINK("http://en.wikipedia.org/wiki/Stern_%28game_company%29#Stern_Electronics.2C_Inc.","Wikipedia: Stern Electronics")</f>
        <v>Wikipedia: Stern Electronics</v>
      </c>
      <c r="AD72" s="27" t="s">
        <v>56</v>
      </c>
      <c r="AE72" s="6" t="s">
        <v>402</v>
      </c>
      <c r="AF72" s="6" t="s">
        <v>405</v>
      </c>
      <c r="AG72" s="6" t="s">
        <v>406</v>
      </c>
      <c r="AH72" s="6">
        <v>1977.0</v>
      </c>
      <c r="AI72" s="28" t="str">
        <f>HYPERLINK("http://dnok91peocsw3.cloudfront.net/product/326141-610x610-1359988738-primary.png","Machine")</f>
        <v>Machine</v>
      </c>
      <c r="AJ72" s="18"/>
      <c r="AK72" s="6" t="s">
        <v>407</v>
      </c>
      <c r="AL72" s="28" t="str">
        <f>HYPERLINK("http://mirror2.ipdb.org/images/1580/1580f4.jpg","Image of meteor")</f>
        <v>Image of meteor</v>
      </c>
      <c r="AM72" s="6" t="s">
        <v>408</v>
      </c>
      <c r="AN72" s="18"/>
      <c r="AO72" s="6">
        <v>1979.0</v>
      </c>
      <c r="AP72" s="18"/>
      <c r="AQ72" s="18"/>
      <c r="AR72" s="28" t="str">
        <f>HYPERLINK("http://www.mopinball.com/me/meteor.html","MoPinbal:Meteor")</f>
        <v>MoPinbal:Meteor</v>
      </c>
      <c r="AS72" s="18"/>
      <c r="AT72" s="6" t="s">
        <v>409</v>
      </c>
      <c r="AU72" s="28" t="str">
        <f>HYPERLINK("http://thedoteaters.com/tde/wp-content/uploads/2013/03/berzerk_cab.png","Bezerk Cabinet")</f>
        <v>Bezerk Cabinet</v>
      </c>
      <c r="AV72" s="18"/>
      <c r="AW72" s="6">
        <v>1980.0</v>
      </c>
      <c r="AX72" s="18"/>
      <c r="AY72" s="18"/>
      <c r="AZ72" s="28" t="str">
        <f>HYPERLINK("http://thedoteaters.com/tde/wp-content/uploads/2013/03/berzerk_cab.png","Dot Eaters:Bezerk")</f>
        <v>Dot Eaters:Bezerk</v>
      </c>
      <c r="BA72" s="28" t="str">
        <f>HYPERLINK("http://www.arcade-history.com/?n=berzerk&amp;page=detail&amp;id=236","Gaming History:Bezerk")</f>
        <v>Gaming History:Bezerk</v>
      </c>
    </row>
    <row r="73">
      <c r="A73" s="24" t="s">
        <v>410</v>
      </c>
      <c r="B73" s="30"/>
      <c r="C73" s="24" t="s">
        <v>232</v>
      </c>
      <c r="D73" s="25" t="str">
        <f t="shared" si="40"/>
        <v>TRUE</v>
      </c>
      <c r="E73" s="25">
        <v>1926.0</v>
      </c>
      <c r="F73" s="26">
        <v>1992.0</v>
      </c>
      <c r="G73" s="6" t="s">
        <v>56</v>
      </c>
      <c r="H73" s="6" t="s">
        <v>411</v>
      </c>
      <c r="I73" s="6">
        <v>1978.0</v>
      </c>
      <c r="J73" s="12" t="s">
        <v>412</v>
      </c>
      <c r="K73" s="6" t="s">
        <v>56</v>
      </c>
      <c r="L73" s="18"/>
      <c r="M73" s="6" t="s">
        <v>56</v>
      </c>
      <c r="N73" s="28" t="str">
        <f>HYPERLINK("http://www.geni.com/people/Lawrence-Greenberg/6000000017518906088","Geneology")</f>
        <v>Geneology</v>
      </c>
      <c r="O73" s="18"/>
      <c r="P73" s="6" t="s">
        <v>56</v>
      </c>
      <c r="Q73" s="6" t="s">
        <v>56</v>
      </c>
      <c r="R73" s="6" t="s">
        <v>56</v>
      </c>
      <c r="S73" s="6" t="s">
        <v>413</v>
      </c>
      <c r="T73" s="6"/>
      <c r="U73" s="18"/>
      <c r="V73" s="6" t="s">
        <v>414</v>
      </c>
      <c r="W73" s="6"/>
      <c r="X73" s="6" t="s">
        <v>68</v>
      </c>
      <c r="Y73" s="6" t="s">
        <v>415</v>
      </c>
      <c r="Z73" s="18"/>
      <c r="AA73" s="27" t="s">
        <v>56</v>
      </c>
      <c r="AB73" s="27" t="s">
        <v>56</v>
      </c>
      <c r="AC73" s="27" t="s">
        <v>56</v>
      </c>
      <c r="AD73" s="27" t="s">
        <v>56</v>
      </c>
      <c r="AE73" s="6" t="s">
        <v>411</v>
      </c>
      <c r="AF73" s="28" t="str">
        <f t="shared" ref="AF73:AF74" si="41">HYPERLINK("http://www.museumofplay.org/blog/play-stuff/2012/04/the-path-to-toy-invention-greg-hyman/","Little Maestro Piano Organ")</f>
        <v>Little Maestro Piano Organ</v>
      </c>
      <c r="AG73" s="27"/>
      <c r="AH73" s="6">
        <v>1977.0</v>
      </c>
      <c r="AI73" s="18"/>
      <c r="AJ73" s="18"/>
      <c r="AK73" s="6" t="s">
        <v>416</v>
      </c>
      <c r="AL73" s="29" t="str">
        <f t="shared" ref="AL73:AL74" si="42">HYPERLINK("http://upload.wikimedia.org/wikipedia/en/thumb/e/e3/Tickle_me_elmo.jpg/200px-Tickle_me_elmo.jpg","Tickle Me Elmo")</f>
        <v>Tickle Me Elmo</v>
      </c>
      <c r="AM73" s="36"/>
      <c r="AN73" s="18"/>
      <c r="AO73" s="6">
        <v>1996.0</v>
      </c>
      <c r="AP73" s="18"/>
      <c r="AQ73" s="18"/>
      <c r="AR73" s="18"/>
      <c r="AS73" s="18"/>
      <c r="AT73" s="18"/>
      <c r="AU73" s="18"/>
      <c r="AV73" s="18"/>
      <c r="AW73" s="18"/>
      <c r="AX73" s="18"/>
      <c r="AY73" s="18"/>
      <c r="AZ73" s="18"/>
      <c r="BA73" s="18"/>
    </row>
    <row r="74">
      <c r="A74" s="24" t="s">
        <v>417</v>
      </c>
      <c r="B74" s="30"/>
      <c r="C74" s="24" t="s">
        <v>418</v>
      </c>
      <c r="D74" s="25" t="str">
        <f t="shared" si="40"/>
        <v>TRUE</v>
      </c>
      <c r="E74" s="25">
        <v>1947.0</v>
      </c>
      <c r="F74" s="26" t="s">
        <v>56</v>
      </c>
      <c r="G74" s="6" t="s">
        <v>56</v>
      </c>
      <c r="H74" s="6" t="s">
        <v>411</v>
      </c>
      <c r="I74" s="6">
        <v>1978.0</v>
      </c>
      <c r="J74" s="12" t="s">
        <v>419</v>
      </c>
      <c r="K74" s="29" t="str">
        <f>HYPERLINK("http://1.bp.blogspot.com/_S7TurMwfxag/S6ll4k6_qEI/AAAAAAAAAXg/_EPZolms0SM/s400/Larry_Greenberg_Greg_check.jpg","Greg Hyman")</f>
        <v>Greg Hyman</v>
      </c>
      <c r="L74" s="18"/>
      <c r="M74" s="6" t="s">
        <v>56</v>
      </c>
      <c r="N74" s="28" t="str">
        <f>HYPERLINK("http://toydreamers.blogspot.com/2010_03_01_archive.html","Toy Dreamers:March 2010")</f>
        <v>Toy Dreamers:March 2010</v>
      </c>
      <c r="O74" s="18"/>
      <c r="P74" s="6" t="s">
        <v>56</v>
      </c>
      <c r="Q74" s="6" t="s">
        <v>56</v>
      </c>
      <c r="R74" s="6" t="s">
        <v>56</v>
      </c>
      <c r="S74" s="29" t="str">
        <f>HYPERLINK("http://1.bp.blogspot.com/_S7TurMwfxag/S6ll4k6_qEI/AAAAAAAAAXg/_EPZolms0SM/s400/Larry_Greenberg_Greg_check.jpg","Greg Hyman")</f>
        <v>Greg Hyman</v>
      </c>
      <c r="T74" s="36"/>
      <c r="U74" s="18"/>
      <c r="V74" s="6" t="s">
        <v>414</v>
      </c>
      <c r="W74" s="6"/>
      <c r="X74" s="6" t="s">
        <v>68</v>
      </c>
      <c r="Y74" s="6" t="s">
        <v>415</v>
      </c>
      <c r="Z74" s="18"/>
      <c r="AA74" s="27" t="s">
        <v>56</v>
      </c>
      <c r="AB74" s="27" t="s">
        <v>56</v>
      </c>
      <c r="AC74" s="28" t="str">
        <f>HYPERLINK("http://www.museumofplay.org/blog/play-stuff/2012/04/the-path-to-toy-invention-greg-hyman/","Play Stuff Blog:")</f>
        <v>Play Stuff Blog:</v>
      </c>
      <c r="AD74" s="27" t="s">
        <v>56</v>
      </c>
      <c r="AE74" s="6" t="s">
        <v>411</v>
      </c>
      <c r="AF74" s="28" t="str">
        <f t="shared" si="41"/>
        <v>Little Maestro Piano Organ</v>
      </c>
      <c r="AG74" s="27"/>
      <c r="AH74" s="6">
        <v>1977.0</v>
      </c>
      <c r="AI74" s="29" t="str">
        <f>HYPERLINK("http://www.museumofplay.org/online-collections/images/Z005/Z00586/Z0058670.jpg","Little Maestro Piano Organ")</f>
        <v>Little Maestro Piano Organ</v>
      </c>
      <c r="AJ74" s="18"/>
      <c r="AK74" s="6" t="s">
        <v>416</v>
      </c>
      <c r="AL74" s="29" t="str">
        <f t="shared" si="42"/>
        <v>Tickle Me Elmo</v>
      </c>
      <c r="AM74" s="36"/>
      <c r="AN74" s="18"/>
      <c r="AO74" s="6">
        <v>1996.0</v>
      </c>
      <c r="AP74" s="18"/>
      <c r="AQ74" s="29" t="str">
        <f>HYPERLINK("http://www.museumofplay.org/online-collections/search/index.php?q=tickle+me+elmo","The Strong Online Collections: Tickle Me Elmo")</f>
        <v>The Strong Online Collections: Tickle Me Elmo</v>
      </c>
      <c r="AR74" s="18"/>
      <c r="AS74" s="18"/>
      <c r="AT74" s="18"/>
      <c r="AU74" s="18"/>
      <c r="AV74" s="18"/>
      <c r="AW74" s="18"/>
      <c r="AX74" s="18"/>
      <c r="AY74" s="18"/>
      <c r="AZ74" s="18"/>
      <c r="BA74" s="18"/>
    </row>
    <row r="75">
      <c r="A75" s="24" t="s">
        <v>420</v>
      </c>
      <c r="B75" s="30"/>
      <c r="C75" s="24" t="s">
        <v>421</v>
      </c>
      <c r="D75" s="25" t="str">
        <f t="shared" si="40"/>
        <v>TRUE</v>
      </c>
      <c r="E75" s="25">
        <v>1948.0</v>
      </c>
      <c r="F75" s="26" t="s">
        <v>56</v>
      </c>
      <c r="G75" s="6" t="s">
        <v>56</v>
      </c>
      <c r="H75" s="6" t="s">
        <v>422</v>
      </c>
      <c r="I75" s="6">
        <v>1979.0</v>
      </c>
      <c r="J75" s="6" t="s">
        <v>423</v>
      </c>
      <c r="K75" s="29" t="str">
        <f>HYPERLINK("https://speakerdata.s3.amazonaws.com/photo/image/811269/daniel-okrent_custom-0d192ba206742edead0bfcdd4435bdb8d0957812-s6-c30.jpg","Daniel Okrent")</f>
        <v>Daniel Okrent</v>
      </c>
      <c r="L75" s="18"/>
      <c r="M75" s="6" t="s">
        <v>56</v>
      </c>
      <c r="N75" s="28" t="str">
        <f>HYPERLINK("http://www.vanityfair.com/online/daily/2008/03/qa-fantasy-base","Vanity Fair:Q&amp;A Fantasy Baseball Creator Daniel Okrent")</f>
        <v>Vanity Fair:Q&amp;A Fantasy Baseball Creator Daniel Okrent</v>
      </c>
      <c r="O75" s="18"/>
      <c r="P75" s="6" t="s">
        <v>56</v>
      </c>
      <c r="Q75" s="6" t="s">
        <v>56</v>
      </c>
      <c r="R75" s="29" t="str">
        <f>HYPERLINK("http://en.wikipedia.org/wiki/Daniel_Okrent","Daniel Okrent")</f>
        <v>Daniel Okrent</v>
      </c>
      <c r="S75" s="29" t="str">
        <f>HYPERLINK("https://speakerdata.s3.amazonaws.com/photo/image/811269/daniel-okrent_custom-0d192ba206742edead0bfcdd4435bdb8d0957812-s6-c30.jpg","Daniel Okrent")</f>
        <v>Daniel Okrent</v>
      </c>
      <c r="T75" s="27" t="s">
        <v>56</v>
      </c>
      <c r="U75" s="18"/>
      <c r="V75" s="6" t="s">
        <v>124</v>
      </c>
      <c r="W75" s="6"/>
      <c r="X75" s="6" t="s">
        <v>124</v>
      </c>
      <c r="Y75" s="18"/>
      <c r="Z75" s="29" t="str">
        <f>HYPERLINK("http://www.danielokrent.com/","Daniel Okrent")</f>
        <v>Daniel Okrent</v>
      </c>
      <c r="AA75" s="27" t="s">
        <v>56</v>
      </c>
      <c r="AB75" s="27" t="s">
        <v>56</v>
      </c>
      <c r="AC75" s="27" t="s">
        <v>56</v>
      </c>
      <c r="AD75" s="27" t="s">
        <v>56</v>
      </c>
      <c r="AE75" s="6" t="s">
        <v>422</v>
      </c>
      <c r="AF75" s="6" t="s">
        <v>424</v>
      </c>
      <c r="AG75" s="6"/>
      <c r="AH75" s="6">
        <v>1979.0</v>
      </c>
      <c r="AI75" s="18"/>
      <c r="AJ75" s="18"/>
      <c r="AK75" s="6" t="s">
        <v>424</v>
      </c>
      <c r="AL75" s="18"/>
      <c r="AM75" s="18"/>
      <c r="AN75" s="18"/>
      <c r="AO75" s="18"/>
      <c r="AP75" s="18"/>
      <c r="AQ75" s="18"/>
      <c r="AR75" s="18"/>
      <c r="AS75" s="18"/>
      <c r="AT75" s="18"/>
      <c r="AU75" s="18"/>
      <c r="AV75" s="18"/>
      <c r="AW75" s="18"/>
      <c r="AX75" s="18"/>
      <c r="AY75" s="18"/>
      <c r="AZ75" s="18"/>
      <c r="BA75" s="18"/>
    </row>
    <row r="76">
      <c r="A76" s="24" t="s">
        <v>425</v>
      </c>
      <c r="B76" s="24"/>
      <c r="C76" s="24" t="s">
        <v>426</v>
      </c>
      <c r="D76" s="25" t="str">
        <f t="shared" si="40"/>
        <v>TRUE</v>
      </c>
      <c r="E76" s="25">
        <v>1954.0</v>
      </c>
      <c r="F76" s="26" t="s">
        <v>56</v>
      </c>
      <c r="G76" s="6" t="s">
        <v>56</v>
      </c>
      <c r="H76" s="6" t="s">
        <v>427</v>
      </c>
      <c r="I76" s="6">
        <v>1982.0</v>
      </c>
      <c r="J76" s="12" t="s">
        <v>428</v>
      </c>
      <c r="K76" s="29" t="str">
        <f>HYPERLINK("https://pbs.twimg.com/profile_images/1089031872/Isaac_Portrait_B.jpg","Isaac Larian")</f>
        <v>Isaac Larian</v>
      </c>
      <c r="L76" s="18"/>
      <c r="M76" s="6" t="s">
        <v>56</v>
      </c>
      <c r="N76" s="28" t="str">
        <f>HYPERLINK("http://www.forbes.com/sites/abrambrown/2013/10/30/the-toy-mogul-who-became-a-billionaire-through-his-fight-to-the-death-with-barbie/","Forbes:The Toy Mogul who Became a Billionaire Through His Fight to the Death With Barbie")</f>
        <v>Forbes:The Toy Mogul who Became a Billionaire Through His Fight to the Death With Barbie</v>
      </c>
      <c r="O76" s="28" t="str">
        <f>HYPERLINK("http://www.jewishjournal.com/iranianamericanjews/item/bratz_toymaker_isaac_larian_living_the_american_dream/","Jewish Journal:Bratz toymaker Issac Larian Living the American Dream")</f>
        <v>Jewish Journal:Bratz toymaker Issac Larian Living the American Dream</v>
      </c>
      <c r="P76" s="40" t="s">
        <v>429</v>
      </c>
      <c r="Q76" s="6" t="s">
        <v>56</v>
      </c>
      <c r="R76" s="29" t="str">
        <f>HYPERLINK("http://en.wikipedia.org/wiki/Isaac_Larian","Isaac Larian")</f>
        <v>Isaac Larian</v>
      </c>
      <c r="S76" s="29" t="str">
        <f>HYPERLINK("https://upload.wikimedia.org/wikipedia/en/2/27/MGA_Entertainment_Logo.png","MGA Entertainment Logo")</f>
        <v>MGA Entertainment Logo</v>
      </c>
      <c r="T76" s="27" t="s">
        <v>430</v>
      </c>
      <c r="U76" s="18"/>
      <c r="V76" s="6" t="s">
        <v>431</v>
      </c>
      <c r="W76" s="6"/>
      <c r="X76" s="6" t="s">
        <v>68</v>
      </c>
      <c r="Y76" s="18"/>
      <c r="Z76" s="29" t="str">
        <f>HYPERLINK("http://www.mgae.com/","MGA Entertainment")</f>
        <v>MGA Entertainment</v>
      </c>
      <c r="AA76" s="27" t="s">
        <v>56</v>
      </c>
      <c r="AB76" s="27" t="s">
        <v>56</v>
      </c>
      <c r="AC76" s="28" t="str">
        <f>HYPERLINK("http://en.wikipedia.org/wiki/MGA_Entertainment","Wikipedia: MGA Entertainment")</f>
        <v>Wikipedia: MGA Entertainment</v>
      </c>
      <c r="AD76" s="18"/>
      <c r="AE76" s="6" t="s">
        <v>427</v>
      </c>
      <c r="AF76" s="6" t="s">
        <v>432</v>
      </c>
      <c r="AG76" s="6"/>
      <c r="AH76" s="6">
        <v>2001.0</v>
      </c>
      <c r="AI76" s="29" t="str">
        <f>HYPERLINK("http://upload.mediatly.com/card_pictures/ea/6d/bc/ea6dbccb-083d-463c-a65e-f1fedaa46b9f.jpg","Isaac and his Bratz")</f>
        <v>Isaac and his Bratz</v>
      </c>
      <c r="AJ76" s="18"/>
      <c r="AK76" s="18"/>
      <c r="AL76" s="18"/>
      <c r="AM76" s="18"/>
      <c r="AN76" s="18"/>
      <c r="AO76" s="18"/>
      <c r="AP76" s="18"/>
      <c r="AQ76" s="18"/>
      <c r="AR76" s="18"/>
      <c r="AS76" s="18"/>
      <c r="AT76" s="18"/>
      <c r="AU76" s="18"/>
      <c r="AV76" s="18"/>
      <c r="AW76" s="18"/>
      <c r="AX76" s="18"/>
      <c r="AY76" s="18"/>
      <c r="AZ76" s="18"/>
      <c r="BA76" s="18"/>
    </row>
    <row r="77">
      <c r="A77" s="20" t="s">
        <v>433</v>
      </c>
      <c r="B77" s="35"/>
      <c r="C77" s="19" t="s">
        <v>434</v>
      </c>
      <c r="D77" s="25" t="b">
        <v>0</v>
      </c>
      <c r="E77" s="33"/>
      <c r="F77" s="34"/>
      <c r="G77" s="18"/>
      <c r="H77" s="6" t="s">
        <v>435</v>
      </c>
      <c r="I77" s="6">
        <v>1984.0</v>
      </c>
      <c r="J77" s="18"/>
      <c r="K77" s="18"/>
      <c r="L77" s="18"/>
      <c r="M77" s="18"/>
      <c r="N77" s="18"/>
      <c r="O77" s="18"/>
      <c r="P77" s="18"/>
      <c r="Q77" s="18"/>
      <c r="R77" s="18"/>
      <c r="S77" s="18"/>
      <c r="T77" s="18"/>
      <c r="U77" s="18"/>
      <c r="V77" s="18"/>
      <c r="W77" s="18"/>
      <c r="X77" s="6" t="s">
        <v>68</v>
      </c>
      <c r="Y77" s="18"/>
      <c r="Z77" s="29" t="str">
        <f>HYPERLINK("http://www.mastermindtoys.com/","Mastermind Toys")</f>
        <v>Mastermind Toys</v>
      </c>
      <c r="AA77" s="18"/>
      <c r="AB77" s="18"/>
      <c r="AC77" s="18"/>
      <c r="AD77" s="18"/>
      <c r="AE77" s="6" t="s">
        <v>435</v>
      </c>
      <c r="AF77" s="6" t="s">
        <v>56</v>
      </c>
      <c r="AG77" s="6"/>
      <c r="AH77" s="18"/>
      <c r="AI77" s="18"/>
      <c r="AJ77" s="18"/>
      <c r="AK77" s="6" t="s">
        <v>56</v>
      </c>
      <c r="AL77" s="18"/>
      <c r="AM77" s="18"/>
      <c r="AN77" s="18"/>
      <c r="AO77" s="18"/>
      <c r="AP77" s="18"/>
      <c r="AQ77" s="18"/>
      <c r="AR77" s="18"/>
      <c r="AS77" s="18"/>
      <c r="AT77" s="18"/>
      <c r="AU77" s="18"/>
      <c r="AV77" s="18"/>
      <c r="AW77" s="18"/>
      <c r="AX77" s="18"/>
      <c r="AY77" s="18"/>
      <c r="AZ77" s="18"/>
      <c r="BA77" s="18"/>
    </row>
    <row r="78">
      <c r="A78" s="20" t="s">
        <v>436</v>
      </c>
      <c r="B78" s="35"/>
      <c r="C78" s="19" t="s">
        <v>434</v>
      </c>
      <c r="D78" s="25" t="b">
        <v>0</v>
      </c>
      <c r="E78" s="33"/>
      <c r="F78" s="34"/>
      <c r="G78" s="18"/>
      <c r="H78" s="6" t="s">
        <v>435</v>
      </c>
      <c r="I78" s="6">
        <v>1984.0</v>
      </c>
      <c r="J78" s="18"/>
      <c r="K78" s="18"/>
      <c r="L78" s="18"/>
      <c r="M78" s="18"/>
      <c r="N78" s="18"/>
      <c r="O78" s="18"/>
      <c r="P78" s="18"/>
      <c r="Q78" s="18"/>
      <c r="R78" s="18"/>
      <c r="S78" s="18"/>
      <c r="T78" s="18"/>
      <c r="U78" s="18"/>
      <c r="V78" s="18"/>
      <c r="W78" s="18"/>
      <c r="X78" s="18"/>
      <c r="Y78" s="18"/>
      <c r="Z78" s="18"/>
      <c r="AA78" s="18"/>
      <c r="AB78" s="18"/>
      <c r="AC78" s="18"/>
      <c r="AD78" s="18"/>
      <c r="AE78" s="6" t="s">
        <v>435</v>
      </c>
      <c r="AF78" s="18"/>
      <c r="AG78" s="18"/>
      <c r="AH78" s="18"/>
      <c r="AI78" s="18"/>
      <c r="AJ78" s="18"/>
      <c r="AK78" s="18"/>
      <c r="AL78" s="18"/>
      <c r="AM78" s="18"/>
      <c r="AN78" s="18"/>
      <c r="AO78" s="18"/>
      <c r="AP78" s="18"/>
      <c r="AQ78" s="18"/>
      <c r="AR78" s="18"/>
      <c r="AS78" s="18"/>
      <c r="AT78" s="18"/>
      <c r="AU78" s="18"/>
      <c r="AV78" s="18"/>
      <c r="AW78" s="18"/>
      <c r="AX78" s="18"/>
      <c r="AY78" s="18"/>
      <c r="AZ78" s="18"/>
      <c r="BA78" s="18"/>
    </row>
    <row r="79">
      <c r="A79" s="24" t="s">
        <v>437</v>
      </c>
      <c r="B79" s="30"/>
      <c r="C79" s="24" t="s">
        <v>438</v>
      </c>
      <c r="D79" s="25" t="str">
        <f>TRUE</f>
        <v>TRUE</v>
      </c>
      <c r="E79" s="25">
        <v>1947.0</v>
      </c>
      <c r="F79" s="26" t="s">
        <v>56</v>
      </c>
      <c r="G79" s="6" t="s">
        <v>56</v>
      </c>
      <c r="H79" s="6" t="s">
        <v>439</v>
      </c>
      <c r="I79" s="6">
        <v>1987.0</v>
      </c>
      <c r="J79" s="6" t="s">
        <v>440</v>
      </c>
      <c r="K79" s="29" t="str">
        <f>HYPERLINK("http://www.iso.org/iso/arnie-rubin.gif","Arnie Rubin")</f>
        <v>Arnie Rubin</v>
      </c>
      <c r="L79" s="18"/>
      <c r="M79" s="28" t="str">
        <f>HYPERLINK("http://www.toyassociation.org/TIA/Events/HOF/Inductees/Events2/Hall_of_Fame/Hall_of_Fame_Inductees.aspx?hkey=513da8d5-c0f8-423a-be33-9a720a8b9276#.VB2nXOcu9xo","TIA Hall of Fame")</f>
        <v>TIA Hall of Fame</v>
      </c>
      <c r="N79" s="6" t="s">
        <v>56</v>
      </c>
      <c r="O79" s="18"/>
      <c r="P79" s="6" t="s">
        <v>56</v>
      </c>
      <c r="Q79" s="6" t="s">
        <v>56</v>
      </c>
      <c r="R79" s="6" t="s">
        <v>56</v>
      </c>
      <c r="S79" s="29" t="str">
        <f>HYPERLINK("http://ww1.prweb.com/prfiles/2011/09/13/8901260/funrise_logo_NO%20METAL.png","Funrise Toys Logo")</f>
        <v>Funrise Toys Logo</v>
      </c>
      <c r="T79" s="27" t="s">
        <v>441</v>
      </c>
      <c r="U79" s="18"/>
      <c r="V79" s="6" t="s">
        <v>431</v>
      </c>
      <c r="W79" s="6"/>
      <c r="X79" s="6" t="s">
        <v>68</v>
      </c>
      <c r="Y79" s="18"/>
      <c r="Z79" s="29" t="str">
        <f>HYPERLINK("http://www.funrise.com/","Funrise Toys")</f>
        <v>Funrise Toys</v>
      </c>
      <c r="AA79" s="27" t="s">
        <v>56</v>
      </c>
      <c r="AB79" s="27" t="s">
        <v>56</v>
      </c>
      <c r="AC79" s="27" t="s">
        <v>56</v>
      </c>
      <c r="AD79" s="27" t="s">
        <v>56</v>
      </c>
      <c r="AE79" s="6" t="s">
        <v>439</v>
      </c>
      <c r="AF79" s="6" t="s">
        <v>442</v>
      </c>
      <c r="AG79" s="6"/>
      <c r="AH79" s="6">
        <v>1969.0</v>
      </c>
      <c r="AI79" s="18"/>
      <c r="AJ79" s="18"/>
      <c r="AK79" s="6" t="s">
        <v>443</v>
      </c>
      <c r="AL79" s="18"/>
      <c r="AM79" s="18"/>
      <c r="AN79" s="18"/>
      <c r="AO79" s="18"/>
      <c r="AP79" s="29" t="str">
        <f>HYPERLINK("http://www.toyhalloffame.org/toys/bubbles","THF Bubbles")</f>
        <v>THF Bubbles</v>
      </c>
      <c r="AQ79" s="29" t="str">
        <f>HYPERLINK("http://www.museumofplay.org/online-collections/search/index.php?q=gazillion+bubbles","The Strong Online Collections: Gazillion Bubbles")</f>
        <v>The Strong Online Collections: Gazillion Bubbles</v>
      </c>
      <c r="AR79" s="18"/>
      <c r="AS79" s="18"/>
      <c r="AT79" s="18"/>
      <c r="AU79" s="18"/>
      <c r="AV79" s="18"/>
      <c r="AW79" s="18"/>
      <c r="AX79" s="18"/>
      <c r="AY79" s="18"/>
      <c r="AZ79" s="18"/>
      <c r="BA79" s="18"/>
    </row>
    <row r="80">
      <c r="A80" s="2" t="s">
        <v>444</v>
      </c>
      <c r="B80" s="32"/>
      <c r="C80" s="20" t="s">
        <v>445</v>
      </c>
      <c r="D80" s="25" t="b">
        <v>0</v>
      </c>
      <c r="E80" s="33"/>
      <c r="F80" s="34"/>
      <c r="G80" s="18"/>
      <c r="H80" s="6" t="s">
        <v>446</v>
      </c>
      <c r="I80" s="6">
        <v>1987.0</v>
      </c>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row>
    <row r="81">
      <c r="A81" s="24" t="s">
        <v>447</v>
      </c>
      <c r="B81" s="30"/>
      <c r="C81" s="24" t="s">
        <v>448</v>
      </c>
      <c r="D81" s="25" t="str">
        <f t="shared" ref="D81:D84" si="43">TRUE</f>
        <v>TRUE</v>
      </c>
      <c r="E81" s="25">
        <v>1943.0</v>
      </c>
      <c r="F81" s="26" t="s">
        <v>56</v>
      </c>
      <c r="G81" s="6" t="s">
        <v>56</v>
      </c>
      <c r="H81" s="6" t="s">
        <v>449</v>
      </c>
      <c r="I81" s="6">
        <v>1988.0</v>
      </c>
      <c r="J81" s="6" t="s">
        <v>450</v>
      </c>
      <c r="K81" s="29" t="str">
        <f>HYPERLINK("http://static.squarespace.com/static/53617a69e4b0a59d3a7843f1/t/5399eda6e4b09a5bd6c975b9/1402596787366/jeffrey-breslow.jpg?format=300w","Jeffrey Breslow")</f>
        <v>Jeffrey Breslow</v>
      </c>
      <c r="L81" s="18"/>
      <c r="M81" s="28" t="str">
        <f t="shared" ref="M81:M82" si="44">HYPERLINK("http://www.toyassociation.org/TIA/Events/HOF/Inductees/Events2/Hall_of_Fame/Hall_of_Fame_Inductees.aspx?hkey=513da8d5-c0f8-423a-be33-9a720a8b9276#.VB2nXOcu9xo","TIA Hall of Fame")</f>
        <v>TIA Hall of Fame</v>
      </c>
      <c r="N81" s="29" t="str">
        <f>HYPERLINK("http://www.tagieawards.com/nominees-and-recipients/2014/5/19/breslow-jeffrey","tagie lifetime achievement award 2008")</f>
        <v>tagie lifetime achievement award 2008</v>
      </c>
      <c r="O81" s="18"/>
      <c r="P81" s="6" t="s">
        <v>56</v>
      </c>
      <c r="Q81" s="6" t="s">
        <v>56</v>
      </c>
      <c r="R81" s="6" t="s">
        <v>56</v>
      </c>
      <c r="S81" s="28" t="str">
        <f>HYPERLINK("http://hmcdesign.com/2014/wordpress/wp-content/uploads/2014/03/hmc_port_LRG_G4-640x350.jpg","BMT Logo")</f>
        <v>BMT Logo</v>
      </c>
      <c r="T81" s="27" t="s">
        <v>451</v>
      </c>
      <c r="U81" s="18"/>
      <c r="V81" s="6" t="s">
        <v>188</v>
      </c>
      <c r="W81" s="6"/>
      <c r="X81" s="6" t="s">
        <v>68</v>
      </c>
      <c r="Y81" s="18"/>
      <c r="Z81" s="29" t="str">
        <f>HYPERLINK("http://www.bmttoys.com/bmt/index.html","Big Monster Toys")</f>
        <v>Big Monster Toys</v>
      </c>
      <c r="AA81" s="27" t="s">
        <v>56</v>
      </c>
      <c r="AB81" s="27" t="s">
        <v>56</v>
      </c>
      <c r="AC81" s="29" t="str">
        <f>HYPERLINK("http://en.wikipedia.org/wiki/Big_Monster_Toys","Wikipedia: Big Monster Toys")</f>
        <v>Wikipedia: Big Monster Toys</v>
      </c>
      <c r="AD81" s="28" t="str">
        <f>HYPERLINK("http://www.chicagoreader.com/pdf/051118/051118_cover.pdf","Chicago Reader:THe Wizards of Iz")</f>
        <v>Chicago Reader:THe Wizards of Iz</v>
      </c>
      <c r="AE81" s="6" t="s">
        <v>452</v>
      </c>
      <c r="AF81" s="6" t="s">
        <v>453</v>
      </c>
      <c r="AG81" s="6"/>
      <c r="AH81" s="6">
        <v>1969.0</v>
      </c>
      <c r="AI81" s="29" t="str">
        <f>HYPERLINK("http://www.patsoldhouseofantiques.com/toys_games/page%20-2/ants_in_the_pants.jpg","Ants in the Pants")</f>
        <v>Ants in the Pants</v>
      </c>
      <c r="AJ81" s="18"/>
      <c r="AK81" s="6" t="s">
        <v>454</v>
      </c>
      <c r="AL81" s="18"/>
      <c r="AM81" s="18"/>
      <c r="AN81" s="18"/>
      <c r="AO81" s="18"/>
      <c r="AP81" s="29" t="str">
        <f>HYPERLINK("http://www.toyhalloffame.org/toys/hot-wheels","THF Hot Wheels")</f>
        <v>THF Hot Wheels</v>
      </c>
      <c r="AQ81" s="29" t="str">
        <f>HYPERLINK("http://www.museumofplay.org/online-collections/search/index.php?q=hot+wheels","The Strong Online Collections: Hot Wheels")</f>
        <v>The Strong Online Collections: Hot Wheels</v>
      </c>
      <c r="AR81" s="6" t="s">
        <v>455</v>
      </c>
      <c r="AS81" s="18"/>
      <c r="AT81" s="18"/>
      <c r="AU81" s="18"/>
      <c r="AV81" s="18"/>
      <c r="AW81" s="18"/>
      <c r="AX81" s="18"/>
      <c r="AY81" s="18"/>
      <c r="AZ81" s="18"/>
      <c r="BA81" s="18"/>
    </row>
    <row r="82">
      <c r="A82" s="24" t="s">
        <v>456</v>
      </c>
      <c r="B82" s="24" t="s">
        <v>457</v>
      </c>
      <c r="C82" s="24" t="s">
        <v>458</v>
      </c>
      <c r="D82" s="25" t="str">
        <f t="shared" si="43"/>
        <v>TRUE</v>
      </c>
      <c r="E82" s="25">
        <v>1921.0</v>
      </c>
      <c r="F82" s="26" t="s">
        <v>56</v>
      </c>
      <c r="G82" s="6" t="s">
        <v>56</v>
      </c>
      <c r="H82" s="6" t="s">
        <v>459</v>
      </c>
      <c r="I82" s="6">
        <v>1989.0</v>
      </c>
      <c r="J82" s="6" t="s">
        <v>460</v>
      </c>
      <c r="K82" s="29" t="str">
        <f>HYPERLINK("http://static.squarespace.com/static/53617a69e4b0a59d3a7843f1/t/537be640e4b05e70b37017e0/1400628801031/eddie-goldfarb.jpg?format=300w","Eddy Goldfarb")</f>
        <v>Eddy Goldfarb</v>
      </c>
      <c r="L82" s="18"/>
      <c r="M82" s="28" t="str">
        <f t="shared" si="44"/>
        <v>TIA Hall of Fame</v>
      </c>
      <c r="N82" s="29" t="str">
        <f>HYPERLINK("http://www.tagieawards.com/nominees-and-recipients/goldfarb-eddie","tagie lifetime achievement award 2010")</f>
        <v>tagie lifetime achievement award 2010</v>
      </c>
      <c r="O82" s="18"/>
      <c r="P82" s="6" t="s">
        <v>56</v>
      </c>
      <c r="Q82" s="6" t="s">
        <v>56</v>
      </c>
      <c r="R82" s="6" t="s">
        <v>56</v>
      </c>
      <c r="S82" s="6" t="s">
        <v>124</v>
      </c>
      <c r="T82" s="6" t="s">
        <v>461</v>
      </c>
      <c r="U82" s="18"/>
      <c r="V82" s="6" t="s">
        <v>462</v>
      </c>
      <c r="W82" s="6"/>
      <c r="X82" s="6" t="s">
        <v>68</v>
      </c>
      <c r="Y82" s="18"/>
      <c r="Z82" s="27" t="s">
        <v>56</v>
      </c>
      <c r="AA82" s="27" t="s">
        <v>56</v>
      </c>
      <c r="AB82" s="27" t="s">
        <v>56</v>
      </c>
      <c r="AC82" s="6" t="s">
        <v>56</v>
      </c>
      <c r="AD82" s="28" t="str">
        <f>HYPERLINK("http://tdn.com/lifestyles/meet-eddy-goldfarb-toy-genius/article_ff2b1e0d-44e0-5f3a-ab82-5d15d23e9715.html","TDN.com:Meet Eddy goldfarb, toy genius")</f>
        <v>TDN.com:Meet Eddy goldfarb, toy genius</v>
      </c>
      <c r="AE82" s="6" t="s">
        <v>463</v>
      </c>
      <c r="AF82" s="6" t="s">
        <v>464</v>
      </c>
      <c r="AG82" s="6"/>
      <c r="AH82" s="6">
        <v>1949.0</v>
      </c>
      <c r="AI82" s="29" t="str">
        <f>HYPERLINK("http://cf.collectorsweekly.com/uploads/2011/10/teeth.jpg","Yakkity Yak Talking Teeth")</f>
        <v>Yakkity Yak Talking Teeth</v>
      </c>
      <c r="AJ82" s="18"/>
      <c r="AK82" s="27" t="s">
        <v>465</v>
      </c>
      <c r="AL82" s="29" t="str">
        <f>HYPERLINK("http://www.modernkiddo.com/images/vkm118_kerplunk.png","Kerplunk")</f>
        <v>Kerplunk</v>
      </c>
      <c r="AM82" s="36"/>
      <c r="AN82" s="18"/>
      <c r="AO82" s="18"/>
      <c r="AP82" s="18"/>
      <c r="AQ82" s="29" t="str">
        <f>HYPERLINK("http://www.museumofplay.org/online-collections/1/6/111.416","The Strong Online Collections: Yakity Yak Talking Teeth")</f>
        <v>The Strong Online Collections: Yakity Yak Talking Teeth</v>
      </c>
      <c r="AR82" s="18"/>
      <c r="AS82" s="18"/>
      <c r="AT82" s="6" t="s">
        <v>466</v>
      </c>
      <c r="AU82" s="29" t="str">
        <f>HYPERLINK("https://img0.etsystatic.com/000/0/5220158/il_570xN.71323692.jpg","Kerplunk")</f>
        <v>Kerplunk</v>
      </c>
      <c r="AV82" s="18"/>
      <c r="AW82" s="6">
        <v>1967.0</v>
      </c>
      <c r="AX82" s="18"/>
      <c r="AY82" s="29" t="str">
        <f>HYPERLINK("http://www.museumofplay.org/online-collections/3/49/104.1465","Strong Online Collections: Kerplunk")</f>
        <v>Strong Online Collections: Kerplunk</v>
      </c>
      <c r="AZ82" s="18"/>
      <c r="BA82" s="18"/>
    </row>
    <row r="83">
      <c r="A83" s="24" t="s">
        <v>467</v>
      </c>
      <c r="B83" s="30"/>
      <c r="C83" s="24" t="s">
        <v>468</v>
      </c>
      <c r="D83" s="25" t="str">
        <f t="shared" si="43"/>
        <v>TRUE</v>
      </c>
      <c r="E83" s="25">
        <v>1942.0</v>
      </c>
      <c r="F83" s="26" t="s">
        <v>56</v>
      </c>
      <c r="G83" s="6" t="s">
        <v>56</v>
      </c>
      <c r="H83" s="6" t="s">
        <v>469</v>
      </c>
      <c r="I83" s="6">
        <v>1992.0</v>
      </c>
      <c r="J83" s="12" t="s">
        <v>470</v>
      </c>
      <c r="K83" s="29" t="str">
        <f>HYPERLINK("http://fm.cnbc.com/applications/cnbc.com/resources/img/editorial/2012/06/14/47814139-100-million-dollar-ideas-knex.jpg","Joel Glickman")</f>
        <v>Joel Glickman</v>
      </c>
      <c r="L83" s="18"/>
      <c r="M83" s="29" t="str">
        <f>HYPERLINK("http://www.toyassociation.org/TIA/Events/HOF/2012_Nominees/Events2/Hall_of_Fame/2012_Nominees.aspx#3","TIA Hall of Fame Nominee:Joel Glickman")</f>
        <v>TIA Hall of Fame Nominee:Joel Glickman</v>
      </c>
      <c r="N83" s="18"/>
      <c r="O83" s="36"/>
      <c r="P83" s="6" t="s">
        <v>56</v>
      </c>
      <c r="Q83" s="6" t="s">
        <v>56</v>
      </c>
      <c r="R83" s="28" t="str">
        <f>HYPERLINK("http://en.wikipedia.org/wiki/K%27Nex","Wikipedia: KNex")</f>
        <v>Wikipedia: KNex</v>
      </c>
      <c r="S83" s="28" t="str">
        <f>HYPERLINK("http://www.toynews-online.biz/cimages/28e737a3fad78ecf1a24131012b6865b.jpg?940","K'nex Logo")</f>
        <v>K'nex Logo</v>
      </c>
      <c r="T83" s="27" t="s">
        <v>471</v>
      </c>
      <c r="U83" s="18"/>
      <c r="V83" s="52" t="s">
        <v>472</v>
      </c>
      <c r="W83" s="52"/>
      <c r="X83" s="6" t="s">
        <v>68</v>
      </c>
      <c r="Y83" s="6" t="s">
        <v>473</v>
      </c>
      <c r="Z83" s="29" t="str">
        <f>HYPERLINK("http://www.knex.com/","KNex")</f>
        <v>KNex</v>
      </c>
      <c r="AA83" s="27" t="s">
        <v>56</v>
      </c>
      <c r="AB83" s="27" t="s">
        <v>56</v>
      </c>
      <c r="AC83" s="28" t="str">
        <f>HYPERLINK("http://www.knex.com/info/history-of-KNEX/","Knex History off their www site")</f>
        <v>Knex History off their www site</v>
      </c>
      <c r="AD83" s="29" t="str">
        <f>HYPERLINK("http://en.wikipedia.org/wiki/K%27Nex","Wikipedia: KNex")</f>
        <v>Wikipedia: KNex</v>
      </c>
      <c r="AE83" s="6" t="s">
        <v>469</v>
      </c>
      <c r="AF83" s="6" t="s">
        <v>469</v>
      </c>
      <c r="AG83" s="6"/>
      <c r="AH83" s="6">
        <v>1993.0</v>
      </c>
      <c r="AI83" s="29" t="str">
        <f>HYPERLINK("http://www.knexusergroup.org.uk/acatalog/K63030.jpg","KNex Roller Coaster")</f>
        <v>KNex Roller Coaster</v>
      </c>
      <c r="AJ83" s="18"/>
      <c r="AK83" s="6" t="s">
        <v>469</v>
      </c>
      <c r="AL83" s="29" t="str">
        <f>HYPERLINK("http://www.knexusergroup.org.uk/acatalog/K63030.jpg","KNex Roller Coaster")</f>
        <v>KNex Roller Coaster</v>
      </c>
      <c r="AM83" s="36"/>
      <c r="AN83" s="18"/>
      <c r="AO83" s="6">
        <v>1992.0</v>
      </c>
      <c r="AP83" s="18"/>
      <c r="AQ83" s="18"/>
      <c r="AR83" s="18"/>
      <c r="AS83" s="18"/>
      <c r="AT83" s="18"/>
      <c r="AU83" s="18"/>
      <c r="AV83" s="18"/>
      <c r="AW83" s="18"/>
      <c r="AX83" s="18"/>
      <c r="AY83" s="18"/>
      <c r="AZ83" s="18"/>
      <c r="BA83" s="18"/>
    </row>
    <row r="84">
      <c r="A84" s="24" t="s">
        <v>474</v>
      </c>
      <c r="B84" s="30"/>
      <c r="C84" s="24" t="s">
        <v>475</v>
      </c>
      <c r="D84" s="25" t="str">
        <f t="shared" si="43"/>
        <v>TRUE</v>
      </c>
      <c r="E84" s="25">
        <v>1964.0</v>
      </c>
      <c r="F84" s="26" t="s">
        <v>56</v>
      </c>
      <c r="G84" s="6" t="s">
        <v>56</v>
      </c>
      <c r="H84" s="6" t="s">
        <v>476</v>
      </c>
      <c r="I84" s="6">
        <v>1993.0</v>
      </c>
      <c r="J84" s="6" t="s">
        <v>477</v>
      </c>
      <c r="K84" s="29" t="str">
        <f>HYPERLINK("http://almostnerdy.com/wp-content/uploads/2012/02/jordanmechner_23290_screen.jpg","Jordan Mechner")</f>
        <v>Jordan Mechner</v>
      </c>
      <c r="L84" s="18"/>
      <c r="M84" s="6" t="s">
        <v>56</v>
      </c>
      <c r="N84" s="6" t="s">
        <v>56</v>
      </c>
      <c r="O84" s="18"/>
      <c r="P84" s="6" t="s">
        <v>56</v>
      </c>
      <c r="Q84" s="6" t="s">
        <v>56</v>
      </c>
      <c r="R84" s="29" t="str">
        <f>HYPERLINK("http://en.wikipedia.org/wiki/Jordan_Mechner","Jordan Mechner")</f>
        <v>Jordan Mechner</v>
      </c>
      <c r="S84" s="29" t="str">
        <f>HYPERLINK("http://en.wikipedia.org/wiki/Smoking_Car_Productions#mediaviewer/File:Smoking-car-logo.jpeg","Smoking Car Productions")</f>
        <v>Smoking Car Productions</v>
      </c>
      <c r="T84" s="27" t="s">
        <v>478</v>
      </c>
      <c r="U84" s="18"/>
      <c r="V84" s="6" t="s">
        <v>479</v>
      </c>
      <c r="W84" s="6"/>
      <c r="X84" s="6">
        <v>1997.0</v>
      </c>
      <c r="Y84" s="18"/>
      <c r="Z84" s="27" t="s">
        <v>56</v>
      </c>
      <c r="AA84" s="27" t="s">
        <v>56</v>
      </c>
      <c r="AB84" s="27" t="s">
        <v>56</v>
      </c>
      <c r="AC84" s="27" t="s">
        <v>56</v>
      </c>
      <c r="AD84" s="27" t="s">
        <v>56</v>
      </c>
      <c r="AE84" s="6" t="s">
        <v>476</v>
      </c>
      <c r="AF84" s="6" t="s">
        <v>480</v>
      </c>
      <c r="AG84" s="6"/>
      <c r="AH84" s="6">
        <v>1984.0</v>
      </c>
      <c r="AI84" s="29" t="str">
        <f>HYPERLINK("http://www.mundogamers.com/new/app/webroot/uploaded/Karateka_cover.jpg","http://www.mundogamers.com/new/app/webroot/uploaded/Karateka_cover.jpg")</f>
        <v>http://www.mundogamers.com/new/app/webroot/uploaded/Karateka_cover.jpg</v>
      </c>
      <c r="AJ84" s="18"/>
      <c r="AK84" s="18"/>
      <c r="AL84" s="18"/>
      <c r="AM84" s="18"/>
      <c r="AN84" s="18"/>
      <c r="AO84" s="18"/>
      <c r="AP84" s="18"/>
      <c r="AQ84" s="18"/>
      <c r="AR84" s="18"/>
      <c r="AS84" s="18"/>
      <c r="AT84" s="18"/>
      <c r="AU84" s="18"/>
      <c r="AV84" s="18"/>
      <c r="AW84" s="18"/>
      <c r="AX84" s="18"/>
      <c r="AY84" s="18"/>
      <c r="AZ84" s="18"/>
      <c r="BA84" s="18"/>
    </row>
    <row r="85">
      <c r="A85" s="19" t="s">
        <v>481</v>
      </c>
      <c r="B85" s="32"/>
      <c r="C85" s="19" t="s">
        <v>482</v>
      </c>
      <c r="D85" s="25" t="b">
        <v>0</v>
      </c>
      <c r="E85" s="25" t="s">
        <v>483</v>
      </c>
      <c r="F85" s="26" t="s">
        <v>56</v>
      </c>
      <c r="G85" s="6" t="s">
        <v>56</v>
      </c>
      <c r="H85" s="6" t="s">
        <v>484</v>
      </c>
      <c r="I85" s="6">
        <v>1998.0</v>
      </c>
      <c r="J85" s="12" t="s">
        <v>485</v>
      </c>
      <c r="K85" s="29" t="str">
        <f>HYPERLINK("http://www.theinspiracy.com/uploads/4/1/5/5/4155681/1336689614.jpg","Noah Falstein")</f>
        <v>Noah Falstein</v>
      </c>
      <c r="L85" s="18"/>
      <c r="M85" s="6" t="s">
        <v>56</v>
      </c>
      <c r="N85" s="6" t="s">
        <v>56</v>
      </c>
      <c r="O85" s="18"/>
      <c r="P85" s="6" t="s">
        <v>56</v>
      </c>
      <c r="Q85" s="6" t="s">
        <v>56</v>
      </c>
      <c r="R85" s="29" t="str">
        <f>HYPERLINK("http://en.wikipedia.org/wiki/Noah_Falstein","Noah Falstein")</f>
        <v>Noah Falstein</v>
      </c>
      <c r="S85" s="29" t="str">
        <f>HYPERLINK("http://upload.wikimedia.org/wikipedia/commons/4/4a/Logo_2013_Google.png","Google Logo")</f>
        <v>Google Logo</v>
      </c>
      <c r="T85" s="27" t="s">
        <v>486</v>
      </c>
      <c r="U85" s="18"/>
      <c r="V85" s="6" t="s">
        <v>487</v>
      </c>
      <c r="W85" s="6"/>
      <c r="X85" s="6" t="s">
        <v>124</v>
      </c>
      <c r="Y85" s="18"/>
      <c r="Z85" s="29" t="str">
        <f>HYPERLINK("https://www.google.com/about/company/","Google")</f>
        <v>Google</v>
      </c>
      <c r="AA85" s="29" t="str">
        <f>HYPERLINK("http://www.fundinguniverse.com/company-histories/google-inc-history/","Funding Universe: Google")</f>
        <v>Funding Universe: Google</v>
      </c>
      <c r="AB85" s="27" t="s">
        <v>56</v>
      </c>
      <c r="AC85" s="29" t="str">
        <f>HYPERLINK("en.wikipedia.org/wiki/Google","Wikipedia: Google")</f>
        <v>Wikipedia: Google</v>
      </c>
      <c r="AD85" s="27" t="s">
        <v>56</v>
      </c>
      <c r="AE85" s="6" t="s">
        <v>488</v>
      </c>
      <c r="AF85" s="6" t="s">
        <v>489</v>
      </c>
      <c r="AG85" s="6"/>
      <c r="AH85" s="6">
        <v>1982.0</v>
      </c>
      <c r="AI85" s="29" t="str">
        <f>HYPERLINK("http://www.atari2600homebrew.com/uploads/1/1/0/7/11070919/7508098.jpg","http://www.atari2600homebrew.com/uploads/1/1/0/7/11070919/7508098.jpg")</f>
        <v>http://www.atari2600homebrew.com/uploads/1/1/0/7/11070919/7508098.jpg</v>
      </c>
      <c r="AJ85" s="18"/>
      <c r="AK85" s="18"/>
      <c r="AL85" s="18"/>
      <c r="AM85" s="18"/>
      <c r="AN85" s="18"/>
      <c r="AO85" s="18"/>
      <c r="AP85" s="18"/>
      <c r="AQ85" s="18"/>
      <c r="AR85" s="18"/>
      <c r="AS85" s="18"/>
      <c r="AT85" s="18"/>
      <c r="AU85" s="18"/>
      <c r="AV85" s="18"/>
      <c r="AW85" s="18"/>
      <c r="AX85" s="18"/>
      <c r="AY85" s="18"/>
      <c r="AZ85" s="18"/>
      <c r="BA85" s="18"/>
    </row>
    <row r="86">
      <c r="A86" s="24" t="s">
        <v>490</v>
      </c>
      <c r="B86" s="30"/>
      <c r="C86" s="24" t="s">
        <v>401</v>
      </c>
      <c r="D86" s="25" t="str">
        <f t="shared" ref="D86:D97" si="45">TRUE</f>
        <v>TRUE</v>
      </c>
      <c r="E86" s="25">
        <v>1946.0</v>
      </c>
      <c r="F86" s="26" t="s">
        <v>56</v>
      </c>
      <c r="G86" s="6" t="s">
        <v>56</v>
      </c>
      <c r="H86" s="28" t="str">
        <f>HYPERLINK("http://www.sternpinball.com/","Stern Pinball")</f>
        <v>Stern Pinball</v>
      </c>
      <c r="I86" s="6">
        <v>1999.0</v>
      </c>
      <c r="J86" s="6" t="s">
        <v>491</v>
      </c>
      <c r="K86" s="29" t="str">
        <f>HYPERLINK("http://www.nytimes.com/slideshow/2008/04/25/us/0425-PINBALL_index.html","Gary Stern")</f>
        <v>Gary Stern</v>
      </c>
      <c r="L86" s="18"/>
      <c r="M86" s="6" t="s">
        <v>56</v>
      </c>
      <c r="N86" s="6" t="s">
        <v>56</v>
      </c>
      <c r="O86" s="18"/>
      <c r="P86" s="6" t="s">
        <v>56</v>
      </c>
      <c r="Q86" s="28" t="str">
        <f>HYPERLINK("http://www.engadget.com/2014/01/09/stern-interview/","Engadget Interview with Gary Stern")</f>
        <v>Engadget Interview with Gary Stern</v>
      </c>
      <c r="R86" s="29" t="str">
        <f>HYPERLINK("http://www.nytimes.com/2008/04/25/us/25pinball.html?ex=1366862400&amp;en=cf20500b61a66ca3&amp;ei=5124&amp;partner=permalink&amp;exprod=permalink&amp;_r=0","NYTimes: For a Pinball Survivor the game isn't over")</f>
        <v>NYTimes: For a Pinball Survivor the game isn't over</v>
      </c>
      <c r="S86" s="29" t="str">
        <f>HYPERLINK("http://www.pinballnews.com/news/newwebsite2.jpg","Stern Pinball Logo")</f>
        <v>Stern Pinball Logo</v>
      </c>
      <c r="T86" s="27" t="s">
        <v>492</v>
      </c>
      <c r="U86" s="18"/>
      <c r="V86" s="53" t="s">
        <v>188</v>
      </c>
      <c r="W86" s="53"/>
      <c r="X86" s="6" t="s">
        <v>68</v>
      </c>
      <c r="Y86" s="18"/>
      <c r="Z86" s="28" t="str">
        <f>HYPERLINK("http://www.sternpinball.com/","Stern Pinball")</f>
        <v>Stern Pinball</v>
      </c>
      <c r="AA86" s="28" t="str">
        <f>HYPERLINK("http://parade.condenast.com/38172/mitchalbom/100829-keeping-a-pinball-wizards-dream-alive/","Parade:Keeping a Pinball Wizard's Dream Alive")</f>
        <v>Parade:Keeping a Pinball Wizard's Dream Alive</v>
      </c>
      <c r="AB86" s="27" t="s">
        <v>56</v>
      </c>
      <c r="AC86" s="29" t="str">
        <f>HYPERLINK("http://en.wikipedia.org/wiki/Stern_%28game_company%29#Stern_Pinball.2C_Inc.","Wikipedia: Stern Pinball")</f>
        <v>Wikipedia: Stern Pinball</v>
      </c>
      <c r="AD86" s="27" t="s">
        <v>56</v>
      </c>
      <c r="AE86" s="28" t="str">
        <f>HYPERLINK("http://www.sternpinball.com/","Stern Pinball")</f>
        <v>Stern Pinball</v>
      </c>
      <c r="AF86" s="6" t="s">
        <v>493</v>
      </c>
      <c r="AG86" s="6" t="s">
        <v>494</v>
      </c>
      <c r="AH86" s="6">
        <v>1999.0</v>
      </c>
      <c r="AI86" s="28" t="str">
        <f>HYPERLINK("http://www.videoamusement.com/wp-content/uploads/2014/08/harley-pinball.jpg","Harley Davidson Image")</f>
        <v>Harley Davidson Image</v>
      </c>
      <c r="AJ86" s="18"/>
      <c r="AK86" s="6" t="s">
        <v>495</v>
      </c>
      <c r="AL86" s="28" t="str">
        <f>HYPERLINK("http://cdn.arstechnica.net/wp-content/uploads/2013/09/stern-star-trek-intro.jpg","Star Trek Pinballs")</f>
        <v>Star Trek Pinballs</v>
      </c>
      <c r="AM86" s="6" t="s">
        <v>496</v>
      </c>
      <c r="AN86" s="18"/>
      <c r="AO86" s="6">
        <v>2013.0</v>
      </c>
      <c r="AP86" s="18"/>
      <c r="AQ86" s="18"/>
      <c r="AR86" s="28" t="str">
        <f>HYPERLINK("http://www.ipdb.org/machine.cgi?id=6046","Internet Pinball Database::Star Trek")</f>
        <v>Internet Pinball Database::Star Trek</v>
      </c>
      <c r="AS86" s="18"/>
      <c r="AT86" s="18"/>
      <c r="AU86" s="18"/>
      <c r="AV86" s="18"/>
      <c r="AW86" s="18"/>
      <c r="AX86" s="18"/>
      <c r="AY86" s="18"/>
      <c r="AZ86" s="18"/>
      <c r="BA86" s="18"/>
    </row>
    <row r="87">
      <c r="A87" s="24" t="s">
        <v>497</v>
      </c>
      <c r="B87" s="30"/>
      <c r="C87" s="24" t="s">
        <v>498</v>
      </c>
      <c r="D87" s="25" t="str">
        <f t="shared" si="45"/>
        <v>TRUE</v>
      </c>
      <c r="E87" s="25">
        <v>1955.0</v>
      </c>
      <c r="F87" s="26" t="s">
        <v>56</v>
      </c>
      <c r="G87" s="6" t="s">
        <v>56</v>
      </c>
      <c r="H87" s="6" t="s">
        <v>499</v>
      </c>
      <c r="I87" s="6">
        <v>2005.0</v>
      </c>
      <c r="J87" s="6" t="s">
        <v>500</v>
      </c>
      <c r="K87" s="29" t="str">
        <f>HYPERLINK("http://www.redbull.co.uk/cs/userfiles/image/WarrenSpector_casual.jpg","Warren Spector")</f>
        <v>Warren Spector</v>
      </c>
      <c r="L87" s="18"/>
      <c r="M87" s="6" t="s">
        <v>56</v>
      </c>
      <c r="N87" s="6" t="s">
        <v>56</v>
      </c>
      <c r="O87" s="18"/>
      <c r="P87" s="6" t="s">
        <v>56</v>
      </c>
      <c r="Q87" s="29" t="str">
        <f>HYPERLINK("http://www.mobygames.com/developer/sheet/view/developerId,127/","Moby Games:Warren Spector")</f>
        <v>Moby Games:Warren Spector</v>
      </c>
      <c r="R87" s="29" t="str">
        <f>HYPERLINK("http://en.wikipedia.org/wiki/Warren_Spector","Warren Spector")</f>
        <v>Warren Spector</v>
      </c>
      <c r="S87" s="29" t="str">
        <f>HYPERLINK("http://www.mcvuk.com/cimages/d91b87fb4396e2efa3e075bfe00b219e.png","Junction Point Studios Logo")</f>
        <v>Junction Point Studios Logo</v>
      </c>
      <c r="T87" s="36"/>
      <c r="U87" s="18"/>
      <c r="V87" s="6" t="s">
        <v>501</v>
      </c>
      <c r="W87" s="6"/>
      <c r="X87" s="6">
        <v>2013.0</v>
      </c>
      <c r="Y87" s="18"/>
      <c r="Z87" s="27" t="s">
        <v>56</v>
      </c>
      <c r="AA87" s="27" t="s">
        <v>56</v>
      </c>
      <c r="AB87" s="27" t="s">
        <v>56</v>
      </c>
      <c r="AC87" s="28" t="str">
        <f>HYPERLINK("http://www.giantbomb.com/junction-point-studios/3010-6886/","Junction Point Studios")</f>
        <v>Junction Point Studios</v>
      </c>
      <c r="AD87" s="29" t="str">
        <f>HYPERLINK("http://en.wikipedia.org/wiki/Junction_Point_Studios","Wikipedia: Junction Point Studios")</f>
        <v>Wikipedia: Junction Point Studios</v>
      </c>
      <c r="AE87" s="6" t="s">
        <v>502</v>
      </c>
      <c r="AF87" s="28" t="str">
        <f>HYPERLINK("http://en.wikipedia.org/wiki/Toon_%28role-playing_game%29","Toon")</f>
        <v>Toon</v>
      </c>
      <c r="AG87" s="27"/>
      <c r="AH87" s="6">
        <v>1984.0</v>
      </c>
      <c r="AI87" s="29" t="str">
        <f>HYPERLINK("http://www.sjgames.com/toon/img/toon-lg.jpg","http://www.sjgames.com/toon/img/toon-lg.jpg")</f>
        <v>http://www.sjgames.com/toon/img/toon-lg.jpg</v>
      </c>
      <c r="AJ87" s="18"/>
      <c r="AK87" s="28" t="str">
        <f>HYPERLINK("http://www.mobygames.com/game/deus-ex","Deus Ex")</f>
        <v>Deus Ex</v>
      </c>
      <c r="AL87" s="18"/>
      <c r="AM87" s="18"/>
      <c r="AN87" s="18"/>
      <c r="AO87" s="18"/>
      <c r="AP87" s="18"/>
      <c r="AQ87" s="18"/>
      <c r="AR87" s="18"/>
      <c r="AS87" s="18"/>
      <c r="AT87" s="18"/>
      <c r="AU87" s="18"/>
      <c r="AV87" s="18"/>
      <c r="AW87" s="18"/>
      <c r="AX87" s="18"/>
      <c r="AY87" s="18"/>
      <c r="AZ87" s="18"/>
      <c r="BA87" s="18"/>
    </row>
    <row r="88">
      <c r="A88" s="24" t="s">
        <v>503</v>
      </c>
      <c r="B88" s="30"/>
      <c r="C88" s="24" t="s">
        <v>504</v>
      </c>
      <c r="D88" s="25" t="str">
        <f t="shared" si="45"/>
        <v>TRUE</v>
      </c>
      <c r="E88" s="25">
        <v>1976.0</v>
      </c>
      <c r="F88" s="26" t="s">
        <v>56</v>
      </c>
      <c r="G88" s="6" t="s">
        <v>56</v>
      </c>
      <c r="H88" s="6" t="s">
        <v>505</v>
      </c>
      <c r="I88" s="6">
        <v>2006.0</v>
      </c>
      <c r="J88" s="6" t="s">
        <v>506</v>
      </c>
      <c r="K88" s="29" t="str">
        <f>HYPERLINK("http://www.adventurecorner.de/images/davegilbert_header.jpg","Dave Gilbert")</f>
        <v>Dave Gilbert</v>
      </c>
      <c r="L88" s="18"/>
      <c r="M88" s="6" t="s">
        <v>56</v>
      </c>
      <c r="N88" s="28" t="str">
        <f>HYPERLINK("http://www.rockpapershotgun.com/2014/03/31/interview-dave-gilbert-on-adventures-blackwell-pixels/","Rock, Paper, Shotgun:Interview Dave Gilbert on Adventures, Blackwell and Pixels")</f>
        <v>Rock, Paper, Shotgun:Interview Dave Gilbert on Adventures, Blackwell and Pixels</v>
      </c>
      <c r="O88" s="28" t="str">
        <f>HYPERLINK("http://www.gamasutra.com/view/feature/1816/are_there_any_jews_in_the_.php","Gamasutra:Are there any Jews in the audience?")</f>
        <v>Gamasutra:Are there any Jews in the audience?</v>
      </c>
      <c r="P88" s="6" t="s">
        <v>56</v>
      </c>
      <c r="Q88" s="6" t="s">
        <v>56</v>
      </c>
      <c r="R88" s="6" t="s">
        <v>56</v>
      </c>
      <c r="S88" s="29" t="str">
        <f>HYPERLINK("http://www.wadjeteyegames.com/wp-content/themes/wadjet/images/logo.png","Wadjet Eye Games Logo")</f>
        <v>Wadjet Eye Games Logo</v>
      </c>
      <c r="T88" s="27" t="s">
        <v>507</v>
      </c>
      <c r="U88" s="18"/>
      <c r="V88" s="6" t="s">
        <v>117</v>
      </c>
      <c r="W88" s="6"/>
      <c r="X88" s="6" t="s">
        <v>124</v>
      </c>
      <c r="Y88" s="18"/>
      <c r="Z88" s="29" t="str">
        <f>HYPERLINK("http://www.wadjeteyegames.com/","Wadjet Eye Games")</f>
        <v>Wadjet Eye Games</v>
      </c>
      <c r="AA88" s="27" t="s">
        <v>56</v>
      </c>
      <c r="AB88" s="28" t="str">
        <f>HYPERLINK("http://adventure-game.wikia.com/wiki/Dave_Gilbert","Adventure Game Wiki:Dave Gilbert")</f>
        <v>Adventure Game Wiki:Dave Gilbert</v>
      </c>
      <c r="AC88" s="29" t="str">
        <f>HYPERLINK("http://en.wikipedia.org/wiki/Wadjet_Eye_Games","Wikipedia: Wadjet Eye Games")</f>
        <v>Wikipedia: Wadjet Eye Games</v>
      </c>
      <c r="AD88" s="27" t="s">
        <v>56</v>
      </c>
      <c r="AE88" s="6" t="s">
        <v>505</v>
      </c>
      <c r="AF88" s="6" t="s">
        <v>508</v>
      </c>
      <c r="AG88" s="6"/>
      <c r="AH88" s="6">
        <v>2001.0</v>
      </c>
      <c r="AI88" s="29" t="str">
        <f>HYPERLINK("http://www.realityonthenorm.info/images/games/10.gif","http://www.realityonthenorm.info/images/games/10.gif")</f>
        <v>http://www.realityonthenorm.info/images/games/10.gif</v>
      </c>
      <c r="AJ88" s="18"/>
      <c r="AK88" s="6" t="s">
        <v>509</v>
      </c>
      <c r="AL88" s="6" t="s">
        <v>510</v>
      </c>
      <c r="AM88" s="6"/>
      <c r="AN88" s="18"/>
      <c r="AO88" s="18"/>
      <c r="AP88" s="18"/>
      <c r="AQ88" s="18"/>
      <c r="AR88" s="18"/>
      <c r="AS88" s="18"/>
      <c r="AT88" s="18"/>
      <c r="AU88" s="18"/>
      <c r="AV88" s="18"/>
      <c r="AW88" s="18"/>
      <c r="AX88" s="18"/>
      <c r="AY88" s="18"/>
      <c r="AZ88" s="18"/>
      <c r="BA88" s="18"/>
    </row>
    <row r="89">
      <c r="A89" s="24" t="s">
        <v>511</v>
      </c>
      <c r="B89" s="30"/>
      <c r="C89" s="24" t="s">
        <v>512</v>
      </c>
      <c r="D89" s="25" t="str">
        <f t="shared" si="45"/>
        <v>TRUE</v>
      </c>
      <c r="E89" s="25">
        <v>1975.0</v>
      </c>
      <c r="F89" s="26" t="s">
        <v>56</v>
      </c>
      <c r="G89" s="6" t="s">
        <v>56</v>
      </c>
      <c r="H89" s="6" t="s">
        <v>513</v>
      </c>
      <c r="I89" s="6">
        <v>2007.0</v>
      </c>
      <c r="J89" s="12" t="s">
        <v>514</v>
      </c>
      <c r="K89" s="29" t="str">
        <f>HYPERLINK("https://pbs.twimg.com/profile_images/3755266524/83d1795fad2fb8057a1b05fb958445f4_400x400.jpeg","Elan Lee")</f>
        <v>Elan Lee</v>
      </c>
      <c r="L89" s="18"/>
      <c r="M89" s="6" t="s">
        <v>56</v>
      </c>
      <c r="N89" s="6" t="s">
        <v>56</v>
      </c>
      <c r="O89" s="18"/>
      <c r="P89" s="6" t="s">
        <v>56</v>
      </c>
      <c r="Q89" s="6" t="s">
        <v>56</v>
      </c>
      <c r="R89" s="29" t="str">
        <f>HYPERLINK("http://en.wikipedia.org/wiki/Elan_Lee","Elan Lee")</f>
        <v>Elan Lee</v>
      </c>
      <c r="S89" s="29" t="str">
        <f>HYPERLINK("http://www.lostremote.com/files/2012/09/c7e83ef8-1d89-4199-8a98-f54878b18796.jpeg","Fourth Wall Studios Logo")</f>
        <v>Fourth Wall Studios Logo</v>
      </c>
      <c r="T89" s="36"/>
      <c r="U89" s="18"/>
      <c r="V89" s="6" t="s">
        <v>515</v>
      </c>
      <c r="W89" s="6"/>
      <c r="X89" s="6" t="s">
        <v>68</v>
      </c>
      <c r="Y89" s="18"/>
      <c r="Z89" s="29" t="str">
        <f>HYPERLINK("http://www.microsoft.com/en-us/default.aspx","Microsoft")</f>
        <v>Microsoft</v>
      </c>
      <c r="AA89" s="29" t="str">
        <f>HYPERLINK("http://www.fundinguniverse.com/company-histories/microsoft-corporation-history/","Funding Universe: Microsoft")</f>
        <v>Funding Universe: Microsoft</v>
      </c>
      <c r="AB89" s="27" t="s">
        <v>56</v>
      </c>
      <c r="AC89" s="29" t="str">
        <f>HYPERLINK("http://en.wikipedia.org/wiki/Microsoft","Wikipedia: Microsoft")</f>
        <v>Wikipedia: Microsoft</v>
      </c>
      <c r="AD89" s="27" t="s">
        <v>56</v>
      </c>
      <c r="AE89" s="6" t="s">
        <v>516</v>
      </c>
      <c r="AF89" s="28" t="str">
        <f>HYPERLINK("en.wikipedia.org/wiki/The_Beast_(game)","The Beast")</f>
        <v>The Beast</v>
      </c>
      <c r="AG89" s="27"/>
      <c r="AH89" s="6">
        <v>2001.0</v>
      </c>
      <c r="AI89" s="18"/>
      <c r="AJ89" s="18"/>
      <c r="AK89" s="28" t="str">
        <f>HYPERLINK("http://www.42entertainment.com/work/yearzero","Year Zero")</f>
        <v>Year Zero</v>
      </c>
      <c r="AL89" s="18"/>
      <c r="AM89" s="18"/>
      <c r="AN89" s="18"/>
      <c r="AO89" s="18"/>
      <c r="AP89" s="18"/>
      <c r="AQ89" s="18"/>
      <c r="AR89" s="18"/>
      <c r="AS89" s="18"/>
      <c r="AT89" s="18"/>
      <c r="AU89" s="18"/>
      <c r="AV89" s="18"/>
      <c r="AW89" s="18"/>
      <c r="AX89" s="18"/>
      <c r="AY89" s="18"/>
      <c r="AZ89" s="18"/>
      <c r="BA89" s="18"/>
    </row>
    <row r="90">
      <c r="A90" s="24" t="s">
        <v>517</v>
      </c>
      <c r="B90" s="30"/>
      <c r="C90" s="24" t="s">
        <v>518</v>
      </c>
      <c r="D90" s="25" t="str">
        <f t="shared" si="45"/>
        <v>TRUE</v>
      </c>
      <c r="E90" s="25">
        <v>1962.0</v>
      </c>
      <c r="F90" s="26" t="s">
        <v>56</v>
      </c>
      <c r="G90" s="6" t="s">
        <v>56</v>
      </c>
      <c r="H90" s="6" t="s">
        <v>519</v>
      </c>
      <c r="I90" s="6">
        <v>2008.0</v>
      </c>
      <c r="J90" s="12" t="s">
        <v>520</v>
      </c>
      <c r="K90" s="29" t="str">
        <f>HYPERLINK("http://www.northeastern.edu/camd/gamedesign/wp-content/uploads/sites/6/2013/09/MG_6678-1-392x261.jpg","Susan Gold")</f>
        <v>Susan Gold</v>
      </c>
      <c r="L90" s="18"/>
      <c r="M90" s="6" t="s">
        <v>56</v>
      </c>
      <c r="N90" s="6" t="s">
        <v>56</v>
      </c>
      <c r="O90" s="18"/>
      <c r="P90" s="6" t="s">
        <v>56</v>
      </c>
      <c r="Q90" s="6" t="s">
        <v>56</v>
      </c>
      <c r="R90" s="6" t="s">
        <v>56</v>
      </c>
      <c r="S90" s="29" t="str">
        <f>HYPERLINK("http://ggj.s3.amazonaws.com/global_game_jam_logo.jpg","Global Game Jam Logo")</f>
        <v>Global Game Jam Logo</v>
      </c>
      <c r="T90" s="36"/>
      <c r="U90" s="18"/>
      <c r="V90" s="6" t="s">
        <v>124</v>
      </c>
      <c r="W90" s="6"/>
      <c r="X90" s="6" t="s">
        <v>68</v>
      </c>
      <c r="Y90" s="18"/>
      <c r="Z90" s="29" t="str">
        <f>HYPERLINK("http://globalgamejam.org/","Global Game Jam")</f>
        <v>Global Game Jam</v>
      </c>
      <c r="AA90" s="27" t="s">
        <v>56</v>
      </c>
      <c r="AB90" s="27" t="s">
        <v>56</v>
      </c>
      <c r="AC90" s="29" t="str">
        <f>HYPERLINK("http://en.wikipedia.org/wiki/Global_Game_Jam","Wikipedia: Global Game Jam")</f>
        <v>Wikipedia: Global Game Jam</v>
      </c>
      <c r="AD90" s="27" t="s">
        <v>56</v>
      </c>
      <c r="AE90" s="6" t="s">
        <v>519</v>
      </c>
      <c r="AF90" s="6" t="s">
        <v>56</v>
      </c>
      <c r="AG90" s="6"/>
      <c r="AH90" s="6" t="s">
        <v>56</v>
      </c>
      <c r="AI90" s="18"/>
      <c r="AJ90" s="18"/>
      <c r="AK90" s="18"/>
      <c r="AL90" s="18"/>
      <c r="AM90" s="18"/>
      <c r="AN90" s="18"/>
      <c r="AO90" s="18"/>
      <c r="AP90" s="18"/>
      <c r="AQ90" s="18"/>
      <c r="AR90" s="18"/>
      <c r="AS90" s="18"/>
      <c r="AT90" s="18"/>
      <c r="AU90" s="18"/>
      <c r="AV90" s="18"/>
      <c r="AW90" s="18"/>
      <c r="AX90" s="18"/>
      <c r="AY90" s="18"/>
      <c r="AZ90" s="18"/>
      <c r="BA90" s="18"/>
    </row>
    <row r="91">
      <c r="A91" s="24" t="s">
        <v>521</v>
      </c>
      <c r="B91" s="30"/>
      <c r="C91" s="24" t="s">
        <v>522</v>
      </c>
      <c r="D91" s="25" t="str">
        <f t="shared" si="45"/>
        <v>TRUE</v>
      </c>
      <c r="E91" s="25">
        <v>1963.0</v>
      </c>
      <c r="F91" s="26" t="s">
        <v>56</v>
      </c>
      <c r="G91" s="6" t="s">
        <v>56</v>
      </c>
      <c r="H91" s="6" t="s">
        <v>523</v>
      </c>
      <c r="I91" s="6">
        <v>2008.0</v>
      </c>
      <c r="J91" s="12" t="s">
        <v>524</v>
      </c>
      <c r="K91" s="29" t="str">
        <f>HYPERLINK("http://cdn.geekwire.com/wp-content/uploads/2014/05/bobby-kotick-portrait.jpg","Bobby Kotick")</f>
        <v>Bobby Kotick</v>
      </c>
      <c r="L91" s="18"/>
      <c r="M91" s="6" t="s">
        <v>56</v>
      </c>
      <c r="N91" s="28" t="str">
        <f>HYPERLINK("http://kotaku.com/5559201/a-delightful-chat-with-the-most-hated-man-in-video-games","Kotaku: A delightful chat swith the Most Hated Man in Videogames")</f>
        <v>Kotaku: A delightful chat swith the Most Hated Man in Videogames</v>
      </c>
      <c r="O91" s="18"/>
      <c r="P91" s="6" t="s">
        <v>56</v>
      </c>
      <c r="Q91" s="6" t="s">
        <v>56</v>
      </c>
      <c r="R91" s="29" t="str">
        <f>HYPERLINK("http://en.wikipedia.org/wiki/Robert_Kotick","Robert Kotick")</f>
        <v>Robert Kotick</v>
      </c>
      <c r="S91" s="29" t="str">
        <f>HYPERLINK("http://img2.wikia.nocookie.net/__cb20120810161320/spiderman/images/9/9e/Activision-logo.jpg","Activision Logo")</f>
        <v>Activision Logo</v>
      </c>
      <c r="T91" s="36"/>
      <c r="U91" s="18"/>
      <c r="V91" s="6" t="s">
        <v>525</v>
      </c>
      <c r="W91" s="6"/>
      <c r="X91" s="6" t="s">
        <v>124</v>
      </c>
      <c r="Y91" s="18"/>
      <c r="Z91" s="29" t="str">
        <f>HYPERLINK("http://www.activisionblizzard.com/","Activision Blizzard")</f>
        <v>Activision Blizzard</v>
      </c>
      <c r="AA91" s="29" t="str">
        <f>HYPERLINK("http://www.fundinguniverse.com/company-histories/activision-inc-history/","Funding Universe: Activision")</f>
        <v>Funding Universe: Activision</v>
      </c>
      <c r="AB91" s="27" t="s">
        <v>56</v>
      </c>
      <c r="AC91" s="29" t="str">
        <f>HYPERLINK("http://en.wikipedia.org/wiki/Activision","Wikipedia: Activision")</f>
        <v>Wikipedia: Activision</v>
      </c>
      <c r="AD91" s="27" t="s">
        <v>56</v>
      </c>
      <c r="AE91" s="6" t="s">
        <v>523</v>
      </c>
      <c r="AF91" s="18"/>
      <c r="AG91" s="18"/>
      <c r="AH91" s="18"/>
      <c r="AI91" s="18"/>
      <c r="AJ91" s="18"/>
      <c r="AK91" s="18"/>
      <c r="AL91" s="18"/>
      <c r="AM91" s="18"/>
      <c r="AN91" s="18"/>
      <c r="AO91" s="18"/>
      <c r="AP91" s="18"/>
      <c r="AQ91" s="18"/>
      <c r="AR91" s="18"/>
      <c r="AS91" s="18"/>
      <c r="AT91" s="18"/>
      <c r="AU91" s="18"/>
      <c r="AV91" s="18"/>
      <c r="AW91" s="18"/>
      <c r="AX91" s="18"/>
      <c r="AY91" s="18"/>
      <c r="AZ91" s="18"/>
      <c r="BA91" s="18"/>
    </row>
    <row r="92">
      <c r="A92" s="24" t="s">
        <v>526</v>
      </c>
      <c r="B92" s="30"/>
      <c r="C92" s="24" t="s">
        <v>527</v>
      </c>
      <c r="D92" s="25" t="str">
        <f t="shared" si="45"/>
        <v>TRUE</v>
      </c>
      <c r="E92" s="25">
        <v>1974.0</v>
      </c>
      <c r="F92" s="26" t="s">
        <v>56</v>
      </c>
      <c r="G92" s="6" t="s">
        <v>56</v>
      </c>
      <c r="H92" s="6" t="s">
        <v>519</v>
      </c>
      <c r="I92" s="6">
        <v>2008.0</v>
      </c>
      <c r="J92" s="12" t="s">
        <v>528</v>
      </c>
      <c r="K92" s="29" t="str">
        <f>HYPERLINK("https://pbs.twimg.com/profile_images/1352632237/TwitterPic.jpg","Ian Schreiber")</f>
        <v>Ian Schreiber</v>
      </c>
      <c r="L92" s="18"/>
      <c r="M92" s="6" t="s">
        <v>56</v>
      </c>
      <c r="N92" s="6" t="s">
        <v>56</v>
      </c>
      <c r="O92" s="18"/>
      <c r="P92" s="6" t="s">
        <v>56</v>
      </c>
      <c r="Q92" s="6" t="s">
        <v>56</v>
      </c>
      <c r="R92" s="6" t="s">
        <v>56</v>
      </c>
      <c r="S92" s="29" t="str">
        <f>HYPERLINK("http://globalgamejam.org/sites/default/files/styles/responsive_large__normal/public/field_news_story_image_video/GlobalGameJam2013_Welcome.png?itok=YruR-6k7","Global Game Jam Logo")</f>
        <v>Global Game Jam Logo</v>
      </c>
      <c r="T92" s="36"/>
      <c r="U92" s="18"/>
      <c r="V92" s="6" t="s">
        <v>124</v>
      </c>
      <c r="W92" s="6"/>
      <c r="X92" s="6" t="s">
        <v>68</v>
      </c>
      <c r="Y92" s="18"/>
      <c r="Z92" s="29" t="str">
        <f>HYPERLINK("http://globalgamejam.org/","Global Game Jam")</f>
        <v>Global Game Jam</v>
      </c>
      <c r="AA92" s="27" t="s">
        <v>56</v>
      </c>
      <c r="AB92" s="27" t="s">
        <v>56</v>
      </c>
      <c r="AC92" s="29" t="str">
        <f>HYPERLINK("http://en.wikipedia.org/wiki/Global_Game_Jam","Wikipedia: Global Game Jam")</f>
        <v>Wikipedia: Global Game Jam</v>
      </c>
      <c r="AD92" s="27" t="s">
        <v>56</v>
      </c>
      <c r="AE92" s="6" t="s">
        <v>519</v>
      </c>
      <c r="AF92" s="27" t="s">
        <v>529</v>
      </c>
      <c r="AG92" s="27"/>
      <c r="AH92" s="6">
        <v>1998.0</v>
      </c>
      <c r="AI92" s="18"/>
      <c r="AJ92" s="18"/>
      <c r="AK92" s="18"/>
      <c r="AL92" s="18"/>
      <c r="AM92" s="18"/>
      <c r="AN92" s="18"/>
      <c r="AO92" s="18"/>
      <c r="AP92" s="18"/>
      <c r="AQ92" s="18"/>
      <c r="AR92" s="18"/>
      <c r="AS92" s="18"/>
      <c r="AT92" s="18"/>
      <c r="AU92" s="18"/>
      <c r="AV92" s="18"/>
      <c r="AW92" s="18"/>
      <c r="AX92" s="18"/>
      <c r="AY92" s="18"/>
      <c r="AZ92" s="18"/>
      <c r="BA92" s="18"/>
    </row>
    <row r="93">
      <c r="A93" s="24" t="s">
        <v>530</v>
      </c>
      <c r="B93" s="30"/>
      <c r="C93" s="24" t="s">
        <v>531</v>
      </c>
      <c r="D93" s="25" t="str">
        <f t="shared" si="45"/>
        <v>TRUE</v>
      </c>
      <c r="E93" s="25">
        <v>1883.0</v>
      </c>
      <c r="F93" s="26">
        <v>1971.0</v>
      </c>
      <c r="G93" s="6" t="s">
        <v>56</v>
      </c>
      <c r="H93" s="6" t="s">
        <v>532</v>
      </c>
      <c r="I93" s="6">
        <v>1933.0</v>
      </c>
      <c r="J93" s="6" t="s">
        <v>533</v>
      </c>
      <c r="K93" s="29" t="str">
        <f>HYPERLINK("http://www.typewriters.ch/images/Ullmann_Philipp_kl.jpg","Philip Ullmann")</f>
        <v>Philip Ullmann</v>
      </c>
      <c r="L93" s="18"/>
      <c r="M93" s="6" t="s">
        <v>56</v>
      </c>
      <c r="N93" s="27"/>
      <c r="O93" s="28" t="str">
        <f>HYPERLINK("http://www.antiquestradegazette.com/news/2012/nov/07/tipp-and-co-the-real-toy-story-/","Antiques Trade Gazette:The Real Toy Story")</f>
        <v>Antiques Trade Gazette:The Real Toy Story</v>
      </c>
      <c r="P93" s="6" t="s">
        <v>56</v>
      </c>
      <c r="Q93" s="6" t="s">
        <v>56</v>
      </c>
      <c r="R93" s="6" t="s">
        <v>56</v>
      </c>
      <c r="S93" s="29" t="str">
        <f>HYPERLINK("http://www.typewriters.ch/images/Ullmann_Philipp_kl.jpg","Philip Ullmann")</f>
        <v>Philip Ullmann</v>
      </c>
      <c r="T93" s="27" t="s">
        <v>534</v>
      </c>
      <c r="U93" s="18"/>
      <c r="V93" s="6" t="s">
        <v>535</v>
      </c>
      <c r="W93" s="6"/>
      <c r="X93" s="6" t="s">
        <v>536</v>
      </c>
      <c r="Y93" s="18"/>
      <c r="Z93" s="27" t="s">
        <v>56</v>
      </c>
      <c r="AA93" s="27" t="s">
        <v>56</v>
      </c>
      <c r="AB93" s="27" t="s">
        <v>56</v>
      </c>
      <c r="AC93" s="28" t="str">
        <f>HYPERLINK("http://www.batmobile.free.fr/English/Mettoy_Factory/Swansea_Factory.htm","Batmobile Free: Swansea Factory")</f>
        <v>Batmobile Free: Swansea Factory</v>
      </c>
      <c r="AD93" s="29" t="str">
        <f>HYPERLINK("http://en.wikipedia.org/wiki/Corgi_Toys","Wikipedia: Corgi Toys")</f>
        <v>Wikipedia: Corgi Toys</v>
      </c>
      <c r="AE93" s="6" t="s">
        <v>532</v>
      </c>
      <c r="AF93" s="6" t="s">
        <v>537</v>
      </c>
      <c r="AG93" s="6"/>
      <c r="AH93" s="6">
        <v>1912.0</v>
      </c>
      <c r="AI93" s="18"/>
      <c r="AJ93" s="18"/>
      <c r="AK93" s="6" t="s">
        <v>538</v>
      </c>
      <c r="AL93" s="18"/>
      <c r="AM93" s="18"/>
      <c r="AN93" s="18"/>
      <c r="AO93" s="6">
        <v>1912.0</v>
      </c>
      <c r="AP93" s="18"/>
      <c r="AQ93" s="18"/>
      <c r="AR93" s="18"/>
      <c r="AS93" s="18"/>
      <c r="AT93" s="18"/>
      <c r="AU93" s="18"/>
      <c r="AV93" s="18"/>
      <c r="AW93" s="18"/>
      <c r="AX93" s="18"/>
      <c r="AY93" s="18"/>
      <c r="AZ93" s="18"/>
      <c r="BA93" s="18"/>
    </row>
    <row r="94">
      <c r="A94" s="24" t="s">
        <v>539</v>
      </c>
      <c r="B94" s="30"/>
      <c r="C94" s="24" t="s">
        <v>540</v>
      </c>
      <c r="D94" s="25" t="str">
        <f t="shared" si="45"/>
        <v>TRUE</v>
      </c>
      <c r="E94" s="25">
        <v>1908.0</v>
      </c>
      <c r="F94" s="26">
        <v>1999.0</v>
      </c>
      <c r="G94" s="28" t="str">
        <f>HYPERLINK("http://www.independent.co.uk/arts-entertainment/obituary-arthur-katz-1108922.html","Arthur Katz")</f>
        <v>Arthur Katz</v>
      </c>
      <c r="H94" s="6" t="s">
        <v>541</v>
      </c>
      <c r="I94" s="6" t="s">
        <v>542</v>
      </c>
      <c r="J94" s="6" t="s">
        <v>543</v>
      </c>
      <c r="K94" s="29" t="str">
        <f>HYPERLINK("http://www.typewriters.ch/images/Katz_Arthur_1974_ext_paphotos_co_uk.jpg","Arthur Katz")</f>
        <v>Arthur Katz</v>
      </c>
      <c r="L94" s="18"/>
      <c r="M94" s="6" t="s">
        <v>56</v>
      </c>
      <c r="N94" s="28" t="str">
        <f>HYPERLINK("http://en.wikipedia.org/wiki/Mettoy","Wikipedia: Mettoy")</f>
        <v>Wikipedia: Mettoy</v>
      </c>
      <c r="O94" s="28" t="str">
        <f>HYPERLINK("http://archive.worldofdragon.org/index.php?title=1933_-_1983_Mettoy","World of Dragon. Com:1933-1983 Mettoy")</f>
        <v>World of Dragon. Com:1933-1983 Mettoy</v>
      </c>
      <c r="P94" s="6" t="s">
        <v>56</v>
      </c>
      <c r="Q94" s="28" t="str">
        <f>HYPERLINK("http://www.batmobile.free.fr/English/Mettoy_Factory/Swansea_Factory.htm","Batmobilef.ree.fr:Swansea Fforestfach Factory")</f>
        <v>Batmobilef.ree.fr:Swansea Fforestfach Factory</v>
      </c>
      <c r="R94" s="28" t="str">
        <f>HYPERLINK("http://en.wikipedia.org/wiki/Corgi_Toys","Wikipedia: Corgi Toys")</f>
        <v>Wikipedia: Corgi Toys</v>
      </c>
      <c r="S94" s="29" t="str">
        <f>HYPERLINK("http://www.typewriters.ch/images/Katz_Arthur_1974_ext_paphotos_co_uk.jpg","Arthur Katz")</f>
        <v>Arthur Katz</v>
      </c>
      <c r="T94" s="27" t="s">
        <v>544</v>
      </c>
      <c r="U94" s="18"/>
      <c r="V94" s="6" t="s">
        <v>545</v>
      </c>
      <c r="W94" s="6"/>
      <c r="X94" s="6" t="s">
        <v>546</v>
      </c>
      <c r="Y94" s="18"/>
      <c r="Z94" s="29" t="str">
        <f>HYPERLINK("http://www.corgi.co.uk/","Corgi")</f>
        <v>Corgi</v>
      </c>
      <c r="AA94" s="27" t="s">
        <v>56</v>
      </c>
      <c r="AB94" s="27" t="s">
        <v>56</v>
      </c>
      <c r="AC94" s="28" t="str">
        <f>HYPERLINK("http://www.museumofchildhood.org.uk/collections/british-toy-making-project/toy-manufacturers/the-mettoy-company-plc","Museum of Childhood:The Mettoy Company, PLC")</f>
        <v>Museum of Childhood:The Mettoy Company, PLC</v>
      </c>
      <c r="AD94" s="28" t="str">
        <f>HYPERLINK("http://archive.worldofdragon.org/index.php?title=1933_-_1983_Mettoy","World of Dragon")</f>
        <v>World of Dragon</v>
      </c>
      <c r="AE94" s="6" t="s">
        <v>541</v>
      </c>
      <c r="AF94" s="6" t="s">
        <v>537</v>
      </c>
      <c r="AG94" s="6"/>
      <c r="AH94" s="6">
        <v>1932.0</v>
      </c>
      <c r="AI94" s="18"/>
      <c r="AJ94" s="18"/>
      <c r="AK94" s="6" t="s">
        <v>547</v>
      </c>
      <c r="AL94" s="29" t="str">
        <f>HYPERLINK("http://www.planetdiecast.com/hwdphotos/uploads/4190/357/Corgi_Batmobile_1966_Matte_Black_2.jpg","Batmobile Corgi Toys")</f>
        <v>Batmobile Corgi Toys</v>
      </c>
      <c r="AM94" s="36"/>
      <c r="AN94" s="18"/>
      <c r="AO94" s="6">
        <v>1990.0</v>
      </c>
      <c r="AP94" s="18"/>
      <c r="AQ94" s="18"/>
      <c r="AR94" s="18"/>
      <c r="AS94" s="18"/>
      <c r="AT94" s="18"/>
      <c r="AU94" s="18"/>
      <c r="AV94" s="18"/>
      <c r="AW94" s="18"/>
      <c r="AX94" s="18"/>
      <c r="AY94" s="18"/>
      <c r="AZ94" s="18"/>
      <c r="BA94" s="18"/>
    </row>
    <row r="95">
      <c r="A95" s="24" t="s">
        <v>548</v>
      </c>
      <c r="B95" s="30"/>
      <c r="C95" s="24" t="s">
        <v>549</v>
      </c>
      <c r="D95" s="25" t="str">
        <f t="shared" si="45"/>
        <v>TRUE</v>
      </c>
      <c r="E95" s="25">
        <v>1923.0</v>
      </c>
      <c r="F95" s="26" t="s">
        <v>56</v>
      </c>
      <c r="G95" s="6" t="s">
        <v>56</v>
      </c>
      <c r="H95" s="6" t="s">
        <v>550</v>
      </c>
      <c r="I95" s="6" t="s">
        <v>551</v>
      </c>
      <c r="J95" s="6" t="s">
        <v>552</v>
      </c>
      <c r="K95" s="29" t="str">
        <f>HYPERLINK("http://i.dailymail.co.uk/i/pix/2015/07/09/11/2A5EA3F200000578-3154699-Charles_Lazarus_pictured_founded_Toys_R_Us_in_1948-a-13_1436439589265.jpg")</f>
        <v>http://i.dailymail.co.uk/i/pix/2015/07/09/11/2A5EA3F200000578-3154699-Charles_Lazarus_pictured_founded_Toys_R_Us_in_1948-a-13_1436439589265.jpg</v>
      </c>
      <c r="L95" s="18"/>
      <c r="M95" s="28" t="str">
        <f>HYPERLINK("http://www.toyassociation.org/TIA/Events/HOF/Inductees/Events2/Hall_of_Fame/Hall_of_Fame_Inductees.aspx?hkey=513da8d5-c0f8-423a-be33-9a720a8b9276#.VB2nXOcu9xo","TIA Hall of Fame")</f>
        <v>TIA Hall of Fame</v>
      </c>
      <c r="N95" s="6" t="s">
        <v>56</v>
      </c>
      <c r="O95" s="28" t="str">
        <f>HYPERLINK("http://www.entrepreneur.com/article/197660","Entrepreneur:Charles Lazurus, Toy Titan")</f>
        <v>Entrepreneur:Charles Lazurus, Toy Titan</v>
      </c>
      <c r="P95" s="6" t="s">
        <v>56</v>
      </c>
      <c r="Q95" s="6" t="s">
        <v>56</v>
      </c>
      <c r="R95" s="6" t="s">
        <v>56</v>
      </c>
      <c r="S95" s="29" t="str">
        <f>HYPERLINK("http://img2.wikia.nocookie.net/__cb20131114075701/lalaloopsyland/images/a/a8/Toys-R-Us-Logo.png","Toys R Us Logo")</f>
        <v>Toys R Us Logo</v>
      </c>
      <c r="T95" s="27" t="s">
        <v>553</v>
      </c>
      <c r="U95" s="18"/>
      <c r="V95" s="6" t="s">
        <v>554</v>
      </c>
      <c r="W95" s="6"/>
      <c r="X95" s="6" t="s">
        <v>68</v>
      </c>
      <c r="Y95" s="18"/>
      <c r="Z95" s="29" t="str">
        <f>HYPERLINK("http://www.toysrus.com/shop/index.jsp?categoryId=2255956","toysrus.com")</f>
        <v>toysrus.com</v>
      </c>
      <c r="AA95" s="29" t="str">
        <f>HYPERLINK("http://www.fundinguniverse.com/company-histories/toys-r-us-inc-history/","Funding Universe: Toys R Us")</f>
        <v>Funding Universe: Toys R Us</v>
      </c>
      <c r="AB95" s="29" t="str">
        <f>HYPERLINK("http://www.playgroundprofessionals.com/encyclopedia/t/toys-r-us","Playground Professionals: Toys R Us")</f>
        <v>Playground Professionals: Toys R Us</v>
      </c>
      <c r="AC95" s="29" t="str">
        <f>HYPERLINK("http://en.wikipedia.org/wiki/Toys_%22R%22_Us","Wikipedia: Toys R Us")</f>
        <v>Wikipedia: Toys R Us</v>
      </c>
      <c r="AD95" s="27" t="s">
        <v>56</v>
      </c>
      <c r="AE95" s="6" t="s">
        <v>550</v>
      </c>
      <c r="AF95" s="6" t="s">
        <v>56</v>
      </c>
      <c r="AG95" s="6"/>
      <c r="AH95" s="6" t="s">
        <v>56</v>
      </c>
      <c r="AI95" s="18"/>
      <c r="AJ95" s="18"/>
      <c r="AK95" s="6" t="s">
        <v>56</v>
      </c>
      <c r="AL95" s="18"/>
      <c r="AM95" s="18"/>
      <c r="AN95" s="18"/>
      <c r="AO95" s="18"/>
      <c r="AP95" s="18"/>
      <c r="AQ95" s="18"/>
      <c r="AR95" s="18"/>
      <c r="AS95" s="18"/>
      <c r="AT95" s="18"/>
      <c r="AU95" s="18"/>
      <c r="AV95" s="18"/>
      <c r="AW95" s="18"/>
      <c r="AX95" s="18"/>
      <c r="AY95" s="18"/>
      <c r="AZ95" s="18"/>
      <c r="BA95" s="18"/>
    </row>
    <row r="96">
      <c r="A96" s="24" t="s">
        <v>555</v>
      </c>
      <c r="B96" s="30"/>
      <c r="C96" s="24" t="s">
        <v>353</v>
      </c>
      <c r="D96" s="25" t="str">
        <f t="shared" si="45"/>
        <v>TRUE</v>
      </c>
      <c r="E96" s="25">
        <v>1942.0</v>
      </c>
      <c r="F96" s="26" t="s">
        <v>56</v>
      </c>
      <c r="G96" s="6" t="s">
        <v>56</v>
      </c>
      <c r="H96" s="6" t="s">
        <v>556</v>
      </c>
      <c r="I96" s="6" t="s">
        <v>557</v>
      </c>
      <c r="J96" s="6" t="s">
        <v>558</v>
      </c>
      <c r="K96" s="29" t="str">
        <f>HYPERLINK("http://static.squarespace.com/static/53617a69e4b0a59d3a7843f1/t/537a9189e4b0a4617eab50bf/1400541578634/marty-abrams.jpg","Marty Abrams")</f>
        <v>Marty Abrams</v>
      </c>
      <c r="L96" s="18"/>
      <c r="M96" s="6" t="s">
        <v>56</v>
      </c>
      <c r="N96" s="28" t="str">
        <f>HYPERLINK("http://www.tagieawards.com/nominees-and-recipients/abrams-marty","Tagie Award:Toy Design 2011")</f>
        <v>Tagie Award:Toy Design 2011</v>
      </c>
      <c r="O96" s="29" t="str">
        <f>HYPERLINK("http://www.people.com/people/archive/article/0,,20066267,00.html","People Magazine: Move Over, Barbie and Ken—Toymaker Marty Abrams Introduces Cher, Her Navel and Her Goombah")</f>
        <v>People Magazine: Move Over, Barbie and Ken—Toymaker Marty Abrams Introduces Cher, Her Navel and Her Goombah</v>
      </c>
      <c r="P96" s="29" t="str">
        <f>HYPERLINK("http://www.northjersey.com/news/business/creator-needs-toys-r-us-1.839044?page=all","NorthJersey.com: Toy Entrepreneur Trying for another hit says he needs ""Toys r Us""")</f>
        <v>NorthJersey.com: Toy Entrepreneur Trying for another hit says he needs "Toys r Us"</v>
      </c>
      <c r="Q96" s="6" t="s">
        <v>56</v>
      </c>
      <c r="R96" s="29" t="str">
        <f>HYPERLINK("http://en.wikipedia.org/wiki/Mego_Corporation","Wikipedia: Mego Corporation")</f>
        <v>Wikipedia: Mego Corporation</v>
      </c>
      <c r="S96" s="6" t="s">
        <v>559</v>
      </c>
      <c r="T96" s="6"/>
      <c r="U96" s="18"/>
      <c r="V96" s="6" t="s">
        <v>560</v>
      </c>
      <c r="W96" s="6"/>
      <c r="X96" s="6" t="s">
        <v>561</v>
      </c>
      <c r="Y96" s="18"/>
      <c r="Z96" s="27" t="s">
        <v>56</v>
      </c>
      <c r="AA96" s="27" t="s">
        <v>56</v>
      </c>
      <c r="AB96" s="18"/>
      <c r="AC96" s="29" t="str">
        <f>HYPERLINK("http://en.wikipedia.org/wiki/Mego_Corporation","Wikipedia: Mego Corporation")</f>
        <v>Wikipedia: Mego Corporation</v>
      </c>
      <c r="AD96" s="6" t="s">
        <v>56</v>
      </c>
      <c r="AE96" s="6" t="s">
        <v>562</v>
      </c>
      <c r="AF96" s="6" t="s">
        <v>563</v>
      </c>
      <c r="AG96" s="6"/>
      <c r="AH96" s="6">
        <v>1971.0</v>
      </c>
      <c r="AI96" s="18"/>
      <c r="AJ96" s="18"/>
      <c r="AK96" s="6" t="s">
        <v>564</v>
      </c>
      <c r="AL96" s="28" t="str">
        <f>HYPERLINK("http://www.museumofplay.org/online-collections/images/Z007/Z00761/Z0076198.jpg","FyrFlyz")</f>
        <v>FyrFlyz</v>
      </c>
      <c r="AM96" s="18"/>
      <c r="AN96" s="18"/>
      <c r="AO96" s="18"/>
      <c r="AP96" s="18"/>
      <c r="AQ96" s="29" t="str">
        <f>HYPERLINK("http://www.museumofplay.org/online-collections/1/36/112.52","The Strong Online Collections: Fyrflyz")</f>
        <v>The Strong Online Collections: Fyrflyz</v>
      </c>
      <c r="AR96" s="18"/>
      <c r="AS96" s="18"/>
      <c r="AT96" s="18"/>
      <c r="AU96" s="18"/>
      <c r="AV96" s="18"/>
      <c r="AW96" s="18"/>
      <c r="AX96" s="18"/>
      <c r="AY96" s="18"/>
      <c r="AZ96" s="18"/>
      <c r="BA96" s="18"/>
    </row>
    <row r="97">
      <c r="A97" s="24" t="s">
        <v>134</v>
      </c>
      <c r="B97" s="30"/>
      <c r="C97" s="24" t="s">
        <v>565</v>
      </c>
      <c r="D97" s="25" t="str">
        <f t="shared" si="45"/>
        <v>TRUE</v>
      </c>
      <c r="E97" s="25">
        <v>1939.0</v>
      </c>
      <c r="F97" s="26">
        <v>2010.0</v>
      </c>
      <c r="G97" s="28" t="str">
        <f>HYPERLINK("http://www.legacy.com/obituaries/latimes/obituary.aspx?n=jack-friedman&amp;pid=142513390","Friedman")</f>
        <v>Friedman</v>
      </c>
      <c r="H97" s="6" t="s">
        <v>566</v>
      </c>
      <c r="I97" s="6" t="s">
        <v>567</v>
      </c>
      <c r="J97" s="6" t="s">
        <v>568</v>
      </c>
      <c r="K97" s="29" t="str">
        <f>HYPERLINK("http://www.gamasutra.com/db_area/images/news2001/28372/jack.jpg","Jack Friedman")</f>
        <v>Jack Friedman</v>
      </c>
      <c r="L97" s="18"/>
      <c r="M97" s="28" t="str">
        <f>HYPERLINK("http://www.toyassociation.org/TIA/Events/HOF/Inductees/Events2/Hall_of_Fame/Hall_of_Fame_Inductees.aspx?hkey=513da8d5-c0f8-423a-be33-9a720a8b9276#.VB2nXOcu9xo","TIA Hall of Fame")</f>
        <v>TIA Hall of Fame</v>
      </c>
      <c r="N97" s="6" t="s">
        <v>56</v>
      </c>
      <c r="O97" s="18"/>
      <c r="P97" s="6" t="s">
        <v>56</v>
      </c>
      <c r="Q97" s="6" t="s">
        <v>56</v>
      </c>
      <c r="R97" s="28" t="str">
        <f>HYPERLINK("http://en.wikipedia.org/wiki/Jack_Friedman","Wikipedia:Jack Freidman")</f>
        <v>Wikipedia:Jack Freidman</v>
      </c>
      <c r="S97" s="27" t="s">
        <v>569</v>
      </c>
      <c r="T97" s="27"/>
      <c r="U97" s="18"/>
      <c r="V97" s="6" t="s">
        <v>570</v>
      </c>
      <c r="W97" s="6"/>
      <c r="X97" s="6" t="s">
        <v>571</v>
      </c>
      <c r="Y97" s="6"/>
      <c r="Z97" s="29" t="str">
        <f>HYPERLINK("http://www.jakks.com/","Jakks Pacific")</f>
        <v>Jakks Pacific</v>
      </c>
      <c r="AA97" s="29" t="str">
        <f>HYPERLINK("http://www.fundinguniverse.com/company-histories/jakks-pacific-inc-history/","Funding Universe: JAKKS Pacific")</f>
        <v>Funding Universe: JAKKS Pacific</v>
      </c>
      <c r="AB97" s="27" t="s">
        <v>56</v>
      </c>
      <c r="AC97" s="29" t="str">
        <f>HYPERLINK("http://en.wikipedia.org/wiki/Jakks_Pacific","Wikipedia: JAKKS Pacific")</f>
        <v>Wikipedia: JAKKS Pacific</v>
      </c>
      <c r="AD97" s="6" t="s">
        <v>56</v>
      </c>
      <c r="AE97" s="6" t="s">
        <v>572</v>
      </c>
      <c r="AF97" s="28" t="str">
        <f>HYPERLINK("https://cdn3.whatculture.com/images/2014/05/Superstars.jpg","Wrestling Doll Figures")</f>
        <v>Wrestling Doll Figures</v>
      </c>
      <c r="AG97" s="6"/>
      <c r="AH97" s="6">
        <v>1984.0</v>
      </c>
      <c r="AI97" s="18"/>
      <c r="AJ97" s="18"/>
      <c r="AK97" s="6" t="s">
        <v>573</v>
      </c>
      <c r="AL97" s="18"/>
      <c r="AM97" s="18"/>
      <c r="AN97" s="18"/>
      <c r="AO97" s="18"/>
      <c r="AP97" s="18"/>
      <c r="AQ97" s="18"/>
      <c r="AR97" s="18"/>
      <c r="AS97" s="18"/>
      <c r="AT97" s="18"/>
      <c r="AU97" s="18"/>
      <c r="AV97" s="18"/>
      <c r="AW97" s="18"/>
      <c r="AX97" s="18"/>
      <c r="AY97" s="18"/>
      <c r="AZ97" s="18"/>
      <c r="BA97" s="18"/>
    </row>
    <row r="98">
      <c r="A98" s="20" t="s">
        <v>574</v>
      </c>
      <c r="B98" s="35"/>
      <c r="C98" s="19" t="s">
        <v>575</v>
      </c>
      <c r="D98" s="25" t="b">
        <v>0</v>
      </c>
      <c r="E98" s="25">
        <v>1855.0</v>
      </c>
      <c r="F98" s="26">
        <v>1928.0</v>
      </c>
      <c r="G98" s="18"/>
      <c r="H98" s="18"/>
      <c r="I98" s="18"/>
      <c r="J98" s="18"/>
      <c r="K98" s="18"/>
      <c r="L98" s="18"/>
      <c r="M98" s="18"/>
      <c r="N98" s="40" t="s">
        <v>576</v>
      </c>
      <c r="O98" s="40" t="s">
        <v>577</v>
      </c>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row>
    <row r="99">
      <c r="A99" s="2" t="s">
        <v>102</v>
      </c>
      <c r="B99" s="35"/>
      <c r="C99" s="37" t="s">
        <v>578</v>
      </c>
      <c r="D99" s="25" t="b">
        <v>0</v>
      </c>
      <c r="E99" s="25">
        <v>1920.0</v>
      </c>
      <c r="F99" s="26">
        <v>1994.0</v>
      </c>
      <c r="G99" s="18"/>
      <c r="H99" s="6" t="s">
        <v>579</v>
      </c>
      <c r="I99" s="18"/>
      <c r="J99" s="18"/>
      <c r="K99" s="18"/>
      <c r="L99" s="18"/>
      <c r="M99" s="28" t="str">
        <f>HYPERLINK("http://www.toyassociation.org/TIA/Events/HOF/Inductees/Events2/Hall_of_Fame/Hall_of_Fame_Inductees.aspx?hkey=513da8d5-c0f8-423a-be33-9a720a8b9276#.VB2nXOcu9xo","TIA Hall of Fame")</f>
        <v>TIA Hall of Fame</v>
      </c>
      <c r="N99" s="6"/>
      <c r="O99" s="18"/>
      <c r="P99" s="18"/>
      <c r="Q99" s="18"/>
      <c r="R99" s="18"/>
      <c r="S99" s="29" t="str">
        <f>HYPERLINK("http://upload.wikimedia.org/wikipedia/en/5/5d/Ideal_later_logo.jpg","Ideal Logo")</f>
        <v>Ideal Logo</v>
      </c>
      <c r="T99" s="36"/>
      <c r="U99" s="18"/>
      <c r="V99" s="18"/>
      <c r="W99" s="18"/>
      <c r="X99" s="18"/>
      <c r="Y99" s="18"/>
      <c r="Z99" s="27" t="s">
        <v>56</v>
      </c>
      <c r="AA99" s="27" t="s">
        <v>56</v>
      </c>
      <c r="AB99" s="27" t="s">
        <v>56</v>
      </c>
      <c r="AC99" s="29" t="str">
        <f>HYPERLINK("http://en.wikipedia.org/wiki/Ideal_Toy_Company","Wikipedia: Ideal Toy Company")</f>
        <v>Wikipedia: Ideal Toy Company</v>
      </c>
      <c r="AD99" s="18"/>
      <c r="AE99" s="6" t="s">
        <v>579</v>
      </c>
      <c r="AF99" s="18"/>
      <c r="AG99" s="18"/>
      <c r="AH99" s="18"/>
      <c r="AI99" s="18"/>
      <c r="AJ99" s="18"/>
      <c r="AK99" s="6" t="s">
        <v>580</v>
      </c>
      <c r="AL99" s="18"/>
      <c r="AM99" s="18"/>
      <c r="AN99" s="18"/>
      <c r="AO99" s="6">
        <v>1963.0</v>
      </c>
      <c r="AP99" s="18"/>
      <c r="AQ99" s="29" t="str">
        <f>HYPERLINK("http://www.museumofplay.org/online-collections/search/index.php?q=mousetrap","The Strong Online Collections: Mousetrap")</f>
        <v>The Strong Online Collections: Mousetrap</v>
      </c>
      <c r="AR99" s="18"/>
      <c r="AS99" s="18"/>
      <c r="AT99" s="18"/>
      <c r="AU99" s="18"/>
      <c r="AV99" s="18"/>
      <c r="AW99" s="18"/>
      <c r="AX99" s="18"/>
      <c r="AY99" s="18"/>
      <c r="AZ99" s="18"/>
      <c r="BA99" s="18"/>
    </row>
    <row r="100">
      <c r="A100" s="44" t="s">
        <v>581</v>
      </c>
      <c r="B100" s="45"/>
      <c r="C100" s="44" t="s">
        <v>582</v>
      </c>
      <c r="D100" s="25" t="str">
        <f>TRUE</f>
        <v>TRUE</v>
      </c>
      <c r="E100" s="25">
        <v>1922.0</v>
      </c>
      <c r="F100" s="26">
        <v>2010.0</v>
      </c>
      <c r="G100" s="28" t="str">
        <f>HYPERLINK("http://www.nytimes.com/2010/01/05/business/05allina.html","Curtis Allina")</f>
        <v>Curtis Allina</v>
      </c>
      <c r="H100" s="6" t="s">
        <v>583</v>
      </c>
      <c r="I100" s="18"/>
      <c r="J100" s="18"/>
      <c r="K100" s="18"/>
      <c r="L100" s="18"/>
      <c r="M100" s="18"/>
      <c r="N100" s="18"/>
      <c r="O100" s="18"/>
      <c r="P100" s="18"/>
      <c r="Q100" s="18"/>
      <c r="R100" s="18"/>
      <c r="S100" s="18"/>
      <c r="T100" s="18"/>
      <c r="U100" s="18"/>
      <c r="V100" s="18"/>
      <c r="W100" s="18"/>
      <c r="X100" s="18"/>
      <c r="Y100" s="18"/>
      <c r="Z100" s="18"/>
      <c r="AA100" s="29" t="str">
        <f>HYPERLINK("http://www.fundinguniverse.com/company-histories/pez-candy-inc-history/","Funding Universe: Pez")</f>
        <v>Funding Universe: Pez</v>
      </c>
      <c r="AB100" s="18"/>
      <c r="AC100" s="18"/>
      <c r="AD100" s="18"/>
      <c r="AE100" s="6" t="s">
        <v>583</v>
      </c>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row>
    <row r="101">
      <c r="A101" s="37" t="s">
        <v>584</v>
      </c>
      <c r="B101" s="38"/>
      <c r="C101" s="37" t="s">
        <v>585</v>
      </c>
      <c r="D101" s="25" t="b">
        <v>0</v>
      </c>
      <c r="E101" s="25">
        <v>1925.0</v>
      </c>
      <c r="F101" s="26">
        <v>2011.0</v>
      </c>
      <c r="G101" s="18"/>
      <c r="H101" s="6" t="s">
        <v>550</v>
      </c>
      <c r="I101" s="18"/>
      <c r="J101" s="18"/>
      <c r="K101" s="18"/>
      <c r="L101" s="18"/>
      <c r="M101" s="28" t="str">
        <f>HYPERLINK("http://www.toyassociation.org/TIA/Events/HOF/Inductees/Events2/Hall_of_Fame/Hall_of_Fame_Inductees.aspx?hkey=513da8d5-c0f8-423a-be33-9a720a8b9276#.VB2nXOcu9xo","TIA Hall of Fame")</f>
        <v>TIA Hall of Fame</v>
      </c>
      <c r="N101" s="18"/>
      <c r="O101" s="18"/>
      <c r="P101" s="18"/>
      <c r="Q101" s="18"/>
      <c r="R101" s="18"/>
      <c r="S101" s="29" t="str">
        <f>HYPERLINK("http://img2.wikia.nocookie.net/__cb20131114075701/lalaloopsyland/images/a/a8/Toys-R-Us-Logo.png","Toys R Us Logo")</f>
        <v>Toys R Us Logo</v>
      </c>
      <c r="T101" s="36"/>
      <c r="U101" s="18"/>
      <c r="V101" s="18"/>
      <c r="W101" s="18"/>
      <c r="X101" s="18"/>
      <c r="Y101" s="18"/>
      <c r="Z101" s="29" t="str">
        <f>HYPERLINK("http://www.toysrus.com/shop/index.jsp?categoryId=2255956","toysrus.com")</f>
        <v>toysrus.com</v>
      </c>
      <c r="AA101" s="29" t="str">
        <f>HYPERLINK("http://www.fundinguniverse.com/company-histories/toys-r-us-inc-history/","Funding Universe: Toys R Us")</f>
        <v>Funding Universe: Toys R Us</v>
      </c>
      <c r="AB101" s="29" t="str">
        <f>HYPERLINK("http://www.playgroundprofessionals.com/encyclopedia/t/toys-r-us","Playground Professionals: Toys R Us")</f>
        <v>Playground Professionals: Toys R Us</v>
      </c>
      <c r="AC101" s="29" t="str">
        <f>HYPERLINK("http://en.wikipedia.org/wiki/Toys_%22R%22_Us","Wikipedia: Toys R Us")</f>
        <v>Wikipedia: Toys R Us</v>
      </c>
      <c r="AD101" s="27"/>
      <c r="AE101" s="6" t="s">
        <v>550</v>
      </c>
      <c r="AF101" s="6" t="s">
        <v>56</v>
      </c>
      <c r="AG101" s="6"/>
      <c r="AH101" s="18"/>
      <c r="AI101" s="18"/>
      <c r="AJ101" s="18"/>
      <c r="AK101" s="6" t="s">
        <v>56</v>
      </c>
      <c r="AL101" s="18"/>
      <c r="AM101" s="18"/>
      <c r="AN101" s="18"/>
      <c r="AO101" s="18"/>
      <c r="AP101" s="18"/>
      <c r="AQ101" s="18"/>
      <c r="AR101" s="18"/>
      <c r="AS101" s="18"/>
      <c r="AT101" s="18"/>
      <c r="AU101" s="18"/>
      <c r="AV101" s="18"/>
      <c r="AW101" s="18"/>
      <c r="AX101" s="18"/>
      <c r="AY101" s="18"/>
      <c r="AZ101" s="18"/>
      <c r="BA101" s="18"/>
    </row>
    <row r="102">
      <c r="A102" s="12" t="s">
        <v>586</v>
      </c>
      <c r="B102" s="16"/>
      <c r="C102" s="54" t="str">
        <f>HYPERLINK("http://en.wikipedia.org/wiki/Harold_von_Braunhut","Von Braunhut")</f>
        <v>Von Braunhut</v>
      </c>
      <c r="D102" s="25" t="b">
        <v>0</v>
      </c>
      <c r="E102" s="25">
        <v>1926.0</v>
      </c>
      <c r="F102" s="26">
        <v>2003.0</v>
      </c>
      <c r="G102" s="18"/>
      <c r="H102" s="6" t="s">
        <v>396</v>
      </c>
      <c r="I102" s="18"/>
      <c r="J102" s="18"/>
      <c r="K102" s="18"/>
      <c r="L102" s="18"/>
      <c r="M102" s="18"/>
      <c r="N102" s="18"/>
      <c r="O102" s="18"/>
      <c r="P102" s="18"/>
      <c r="Q102" s="18"/>
      <c r="R102" s="18"/>
      <c r="S102" s="18"/>
      <c r="T102" s="18"/>
      <c r="U102" s="18"/>
      <c r="V102" s="18"/>
      <c r="W102" s="18"/>
      <c r="X102" s="18"/>
      <c r="Y102" s="18"/>
      <c r="Z102" s="18"/>
      <c r="AA102" s="18"/>
      <c r="AB102" s="18"/>
      <c r="AC102" s="18"/>
      <c r="AD102" s="18"/>
      <c r="AE102" s="6" t="s">
        <v>396</v>
      </c>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row>
    <row r="103">
      <c r="A103" s="24" t="s">
        <v>587</v>
      </c>
      <c r="B103" s="24" t="s">
        <v>588</v>
      </c>
      <c r="C103" s="24" t="s">
        <v>299</v>
      </c>
      <c r="D103" s="25" t="str">
        <f>TRUE</f>
        <v>TRUE</v>
      </c>
      <c r="E103" s="25">
        <v>1928.0</v>
      </c>
      <c r="F103" s="26">
        <v>2014.0</v>
      </c>
      <c r="G103" s="28" t="str">
        <f>HYPERLINK("http://www.huffingtonpost.com/2014/05/24/gi-joe-death_n_5384957.html","Donald Levine")</f>
        <v>Donald Levine</v>
      </c>
      <c r="H103" s="6" t="s">
        <v>589</v>
      </c>
      <c r="I103" s="18"/>
      <c r="J103" s="6" t="s">
        <v>590</v>
      </c>
      <c r="K103" s="28" t="str">
        <f>HYPERLINK("http://www.trbimg.com/img-5381e1d8/turbine/la-me-don-levine-20140525","Levine with G.I. Joes")</f>
        <v>Levine with G.I. Joes</v>
      </c>
      <c r="L103" s="18"/>
      <c r="M103" s="18"/>
      <c r="N103" s="28" t="str">
        <f>HYPERLINK("http://www.washingtonpost.com/world/national-security/cia-hatched-plan-to-make-demon-toy-to-counter-bin-laden-influence/2014/06/19/cb3d571c-f0d0-11e3-914c-1fbd0614e2d4_story.html","Washington Post:CIA Hatched Plan to Make Demon Toy...")</f>
        <v>Washington Post:CIA Hatched Plan to Make Demon Toy...</v>
      </c>
      <c r="O103" s="28" t="str">
        <f>HYPERLINK("http://grantland.com/hollywood-prospectus/don-levine-gi-joe-obituary/","Grantland: In memoraium...")</f>
        <v>Grantland: In memoraium...</v>
      </c>
      <c r="P103" s="18"/>
      <c r="Q103" s="18"/>
      <c r="R103" s="18"/>
      <c r="S103" s="18"/>
      <c r="T103" s="6" t="s">
        <v>591</v>
      </c>
      <c r="U103" s="18"/>
      <c r="V103" s="6" t="s">
        <v>592</v>
      </c>
      <c r="W103" s="18"/>
      <c r="X103" s="18"/>
      <c r="Y103" s="18"/>
      <c r="Z103" s="18"/>
      <c r="AA103" s="28" t="str">
        <f>HYPERLINK("http://www.fundinguniverse.com/company-histories/hasbro-inc-history/","Funding Universe: Hasbro")</f>
        <v>Funding Universe: Hasbro</v>
      </c>
      <c r="AB103" s="28" t="str">
        <f>HYPERLINK("http://www.playgroundprofessionals.com/encyclopedia/h/hasbro","Playground Professionals: Hasbro")</f>
        <v>Playground Professionals: Hasbro</v>
      </c>
      <c r="AC103" s="18"/>
      <c r="AD103" s="18"/>
      <c r="AE103" s="6" t="s">
        <v>593</v>
      </c>
      <c r="AF103" s="6" t="s">
        <v>594</v>
      </c>
      <c r="AG103" s="6" t="s">
        <v>595</v>
      </c>
      <c r="AH103" s="6">
        <v>1964.0</v>
      </c>
      <c r="AI103" s="28" t="str">
        <f>HYPERLINK("http://www.museumofplay.org/online-collections/images/Z009/Z00913/Z0091370.jpg","GI JOe")</f>
        <v>GI JOe</v>
      </c>
      <c r="AJ103" s="18"/>
      <c r="AK103" s="6" t="s">
        <v>596</v>
      </c>
      <c r="AL103" s="18"/>
      <c r="AM103" s="6" t="s">
        <v>597</v>
      </c>
      <c r="AN103" s="18"/>
      <c r="AO103" s="18"/>
      <c r="AP103" s="27"/>
      <c r="AQ103" s="28" t="str">
        <f>HYPERLINK("http://www.museumofplay.org/online-collections/1/12/113.6280","Strong On-Line Collections")</f>
        <v>Strong On-Line Collections</v>
      </c>
      <c r="AR103" s="28" t="str">
        <f>HYPERLINK("http://2.bp.blogspot.com/-Ct2V6jRAh8g/UG8irfba1rI/AAAAAAAADsg/mWgELVMtwJA/s1600/101_2923.JPG","Black Doll Collectiing")</f>
        <v>Black Doll Collectiing</v>
      </c>
      <c r="AS103" s="18"/>
      <c r="AT103" s="18"/>
      <c r="AU103" s="18"/>
      <c r="AV103" s="18"/>
      <c r="AW103" s="18"/>
      <c r="AX103" s="18"/>
      <c r="AY103" s="18"/>
      <c r="AZ103" s="18"/>
      <c r="BA103" s="18"/>
    </row>
    <row r="104">
      <c r="A104" s="55" t="s">
        <v>339</v>
      </c>
      <c r="B104" s="56"/>
      <c r="C104" s="55" t="s">
        <v>598</v>
      </c>
      <c r="D104" s="25" t="b">
        <v>0</v>
      </c>
      <c r="E104" s="33"/>
      <c r="F104" s="34"/>
      <c r="G104" s="18"/>
      <c r="H104" s="6" t="s">
        <v>550</v>
      </c>
      <c r="I104" s="18"/>
      <c r="J104" s="18"/>
      <c r="K104" s="18"/>
      <c r="L104" s="18"/>
      <c r="M104" s="28" t="str">
        <f>HYPERLINK("http://www.toyassociation.org/TIA/Events/HOF/Inductees/Events2/Hall_of_Fame/Hall_of_Fame_Inductees.aspx?hkey=513da8d5-c0f8-423a-be33-9a720a8b9276#.VB2nXOcu9xo","TIA Hall of Fame")</f>
        <v>TIA Hall of Fame</v>
      </c>
      <c r="N104" s="6"/>
      <c r="O104" s="18"/>
      <c r="P104" s="18"/>
      <c r="Q104" s="18"/>
      <c r="R104" s="18"/>
      <c r="S104" s="29" t="str">
        <f>HYPERLINK("http://img2.wikia.nocookie.net/__cb20131114075701/lalaloopsyland/images/a/a8/Toys-R-Us-Logo.png","Toys R Us Logo")</f>
        <v>Toys R Us Logo</v>
      </c>
      <c r="T104" s="36"/>
      <c r="U104" s="18"/>
      <c r="V104" s="18"/>
      <c r="W104" s="18"/>
      <c r="X104" s="18"/>
      <c r="Y104" s="18"/>
      <c r="Z104" s="29" t="str">
        <f>HYPERLINK("http://www.toysrus.com/shop/index.jsp?categoryId=2255956","toysrus.com")</f>
        <v>toysrus.com</v>
      </c>
      <c r="AA104" s="29" t="str">
        <f>HYPERLINK("http://www.fundinguniverse.com/company-histories/toys-r-us-inc-history/","Funding Universe: Toys R Us")</f>
        <v>Funding Universe: Toys R Us</v>
      </c>
      <c r="AB104" s="29" t="str">
        <f>HYPERLINK("http://www.playgroundprofessionals.com/encyclopedia/t/toys-r-us","Playground Professionals: Toys R Us")</f>
        <v>Playground Professionals: Toys R Us</v>
      </c>
      <c r="AC104" s="29" t="str">
        <f>HYPERLINK("http://en.wikipedia.org/wiki/Toys_%22R%22_Us","Wikipedia: Toys R Us")</f>
        <v>Wikipedia: Toys R Us</v>
      </c>
      <c r="AD104" s="27" t="s">
        <v>56</v>
      </c>
      <c r="AE104" s="6" t="s">
        <v>550</v>
      </c>
      <c r="AF104" s="6" t="s">
        <v>56</v>
      </c>
      <c r="AG104" s="6"/>
      <c r="AH104" s="6" t="s">
        <v>56</v>
      </c>
      <c r="AI104" s="18"/>
      <c r="AJ104" s="18"/>
      <c r="AK104" s="6" t="s">
        <v>56</v>
      </c>
      <c r="AL104" s="18"/>
      <c r="AM104" s="18"/>
      <c r="AN104" s="18"/>
      <c r="AO104" s="18"/>
      <c r="AP104" s="18"/>
      <c r="AQ104" s="18"/>
      <c r="AR104" s="18"/>
      <c r="AS104" s="18"/>
      <c r="AT104" s="18"/>
      <c r="AU104" s="18"/>
      <c r="AV104" s="18"/>
      <c r="AW104" s="18"/>
      <c r="AX104" s="18"/>
      <c r="AY104" s="18"/>
      <c r="AZ104" s="18"/>
      <c r="BA104" s="18"/>
    </row>
    <row r="105">
      <c r="A105" s="37" t="s">
        <v>599</v>
      </c>
      <c r="B105" s="38"/>
      <c r="C105" s="37" t="s">
        <v>600</v>
      </c>
      <c r="D105" s="25" t="b">
        <v>0</v>
      </c>
      <c r="E105" s="33"/>
      <c r="F105" s="34"/>
      <c r="G105" s="18"/>
      <c r="H105" s="6" t="s">
        <v>601</v>
      </c>
      <c r="I105" s="18"/>
      <c r="J105" s="18"/>
      <c r="K105" s="18"/>
      <c r="L105" s="18"/>
      <c r="M105" s="18"/>
      <c r="N105" s="18"/>
      <c r="O105" s="18"/>
      <c r="P105" s="18"/>
      <c r="Q105" s="18"/>
      <c r="R105" s="18"/>
      <c r="S105" s="18"/>
      <c r="T105" s="18"/>
      <c r="U105" s="18"/>
      <c r="V105" s="18"/>
      <c r="W105" s="18"/>
      <c r="X105" s="18"/>
      <c r="Y105" s="18"/>
      <c r="Z105" s="18"/>
      <c r="AA105" s="18"/>
      <c r="AB105" s="18"/>
      <c r="AC105" s="18"/>
      <c r="AD105" s="18"/>
      <c r="AE105" s="6" t="s">
        <v>601</v>
      </c>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row>
    <row r="106">
      <c r="A106" s="37" t="s">
        <v>602</v>
      </c>
      <c r="B106" s="38"/>
      <c r="C106" s="37" t="s">
        <v>600</v>
      </c>
      <c r="D106" s="25" t="b">
        <v>0</v>
      </c>
      <c r="E106" s="33"/>
      <c r="F106" s="34"/>
      <c r="G106" s="18"/>
      <c r="H106" s="6" t="s">
        <v>601</v>
      </c>
      <c r="I106" s="18"/>
      <c r="J106" s="18"/>
      <c r="K106" s="18"/>
      <c r="L106" s="18"/>
      <c r="M106" s="18"/>
      <c r="N106" s="18"/>
      <c r="O106" s="18"/>
      <c r="P106" s="18"/>
      <c r="Q106" s="18"/>
      <c r="R106" s="18"/>
      <c r="S106" s="28" t="str">
        <f>HYPERLINK("http://news.google.com/newspapers?nid=1300&amp;dat=19660331&amp;id=SPJUAAAAIBAJ&amp;sjid=X5MDAAAAIBAJ&amp;pg=3125,5548912","Toby Toys")</f>
        <v>Toby Toys</v>
      </c>
      <c r="T106" s="27"/>
      <c r="U106" s="18"/>
      <c r="V106" s="18"/>
      <c r="W106" s="18"/>
      <c r="X106" s="18"/>
      <c r="Y106" s="18"/>
      <c r="Z106" s="18"/>
      <c r="AA106" s="18"/>
      <c r="AB106" s="18"/>
      <c r="AC106" s="18"/>
      <c r="AD106" s="18"/>
      <c r="AE106" s="6" t="s">
        <v>601</v>
      </c>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row>
    <row r="107">
      <c r="A107" s="2" t="s">
        <v>603</v>
      </c>
      <c r="B107" s="32"/>
      <c r="C107" s="20" t="s">
        <v>223</v>
      </c>
      <c r="D107" s="25" t="b">
        <v>0</v>
      </c>
      <c r="E107" s="33"/>
      <c r="F107" s="34"/>
      <c r="G107" s="18"/>
      <c r="H107" s="6" t="s">
        <v>604</v>
      </c>
      <c r="I107" s="18"/>
      <c r="J107" s="18"/>
      <c r="K107" s="18"/>
      <c r="L107" s="18"/>
      <c r="M107" s="18"/>
      <c r="N107" s="29" t="str">
        <f>HYPERLINK("http://www.tagieawards.com/nominees-and-recipients/meyer-burt","tagie lifetime achievement award 2011")</f>
        <v>tagie lifetime achievement award 2011</v>
      </c>
      <c r="O107" s="18"/>
      <c r="P107" s="18"/>
      <c r="Q107" s="28" t="str">
        <f>HYPERLINK("http://nwpassage.com/Risky-Business","Wall Street Journal Risky Business")</f>
        <v>Wall Street Journal Risky Business</v>
      </c>
      <c r="R107" s="18"/>
      <c r="S107" s="18"/>
      <c r="T107" s="18"/>
      <c r="U107" s="18"/>
      <c r="V107" s="18"/>
      <c r="W107" s="18"/>
      <c r="X107" s="18"/>
      <c r="Y107" s="18"/>
      <c r="Z107" s="18"/>
      <c r="AA107" s="18"/>
      <c r="AB107" s="18"/>
      <c r="AC107" s="28" t="str">
        <f>HYPERLINK("http://www.postbulletin.com/life/lifestyles/antiques-collectibles-sand-pails-can-hold-memories/article_ce9e2a7f-dbc4-5986-a0d4-021fb1aa3647.html","Post Bulletin: Antiques and Collectibles, Sand Pails can hold Memories")</f>
        <v>Post Bulletin: Antiques and Collectibles, Sand Pails can hold Memories</v>
      </c>
      <c r="AD107" s="18"/>
      <c r="AE107" s="6" t="s">
        <v>605</v>
      </c>
      <c r="AF107" s="18"/>
      <c r="AG107" s="18"/>
      <c r="AH107" s="18"/>
      <c r="AI107" s="18"/>
      <c r="AJ107" s="18"/>
      <c r="AK107" s="6" t="s">
        <v>606</v>
      </c>
      <c r="AL107" s="18"/>
      <c r="AM107" s="18"/>
      <c r="AN107" s="18"/>
      <c r="AO107" s="18"/>
      <c r="AP107" s="18"/>
      <c r="AQ107" s="29" t="str">
        <f>HYPERLINK("http://www.museumofplay.org/online-collections/search/index.php?q=lite+brite","The Strong Online Collections: Lite Brite")</f>
        <v>The Strong Online Collections: Lite Brite</v>
      </c>
      <c r="AR107" s="18"/>
      <c r="AS107" s="18"/>
      <c r="AT107" s="6" t="s">
        <v>133</v>
      </c>
      <c r="AU107" s="18"/>
      <c r="AV107" s="18"/>
      <c r="AW107" s="6">
        <v>1964.0</v>
      </c>
      <c r="AX107" s="18"/>
      <c r="AY107" s="28" t="str">
        <f>HYPERLINK("http://www.museumofplay.org/online-collections/3/49/97.465","Rock 'em Sock 'em Robots")</f>
        <v>Rock 'em Sock 'em Robots</v>
      </c>
      <c r="AZ107" s="28" t="str">
        <f>HYPERLINK("http://www.youtube.com/watch?v=uPEnig5DHAc","Rock 'em Commercial")</f>
        <v>Rock 'em Commercial</v>
      </c>
      <c r="BA107" s="28" t="str">
        <f>HYPERLINK("http://en.wikipedia.org/wiki/Rock_%27Em_Sock_%27Em_Robots","WIkipedia:Rock 'em Sock 'Em Robots")</f>
        <v>WIkipedia:Rock 'em Sock 'Em Robots</v>
      </c>
    </row>
    <row r="108">
      <c r="A108" s="2" t="s">
        <v>607</v>
      </c>
      <c r="B108" s="32"/>
      <c r="C108" s="20" t="s">
        <v>608</v>
      </c>
      <c r="D108" s="25" t="b">
        <v>0</v>
      </c>
      <c r="E108" s="25">
        <v>1920.0</v>
      </c>
      <c r="F108" s="26">
        <v>2002.0</v>
      </c>
      <c r="G108" s="28" t="str">
        <f>HYPERLINK("http://thebiggamehunter.com/inventors/sid-sackson/","SId Sackson")</f>
        <v>SId Sackson</v>
      </c>
      <c r="H108" s="6" t="s">
        <v>226</v>
      </c>
      <c r="I108" s="18"/>
      <c r="J108" s="18"/>
      <c r="K108" s="18"/>
      <c r="L108" s="18"/>
      <c r="M108" s="18"/>
      <c r="N108" s="18"/>
      <c r="O108" s="18"/>
      <c r="P108" s="18"/>
      <c r="Q108" s="18"/>
      <c r="R108" s="18"/>
      <c r="S108" s="18"/>
      <c r="T108" s="18"/>
      <c r="U108" s="18"/>
      <c r="V108" s="18"/>
      <c r="W108" s="18"/>
      <c r="X108" s="18"/>
      <c r="Y108" s="18"/>
      <c r="Z108" s="18"/>
      <c r="AA108" s="18"/>
      <c r="AB108" s="18"/>
      <c r="AC108" s="28" t="str">
        <f>HYPERLINK("http://railwaypages.com/manufacturer-histories","Charles Cooper's Railway Pages:Manufacturer Histories")</f>
        <v>Charles Cooper's Railway Pages:Manufacturer Histories</v>
      </c>
      <c r="AD108" s="18"/>
      <c r="AE108" s="6" t="s">
        <v>226</v>
      </c>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row>
    <row r="109">
      <c r="A109" s="37" t="s">
        <v>609</v>
      </c>
      <c r="B109" s="38"/>
      <c r="C109" s="37" t="s">
        <v>610</v>
      </c>
      <c r="D109" s="25" t="b">
        <v>0</v>
      </c>
      <c r="E109" s="33"/>
      <c r="F109" s="26" t="s">
        <v>56</v>
      </c>
      <c r="G109" s="18"/>
      <c r="H109" s="6" t="s">
        <v>611</v>
      </c>
      <c r="I109" s="18"/>
      <c r="J109" s="28" t="str">
        <f>HYPERLINK("https://en.wikipedia.org/wiki/Isaac_Perlmutter","Wikipedia")</f>
        <v>Wikipedia</v>
      </c>
      <c r="K109" s="18"/>
      <c r="L109" s="18"/>
      <c r="M109" s="18"/>
      <c r="N109" s="18"/>
      <c r="O109" s="18"/>
      <c r="P109" s="18"/>
      <c r="Q109" s="18"/>
      <c r="R109" s="18"/>
      <c r="S109" s="18"/>
      <c r="T109" s="18"/>
      <c r="U109" s="18"/>
      <c r="V109" s="18"/>
      <c r="W109" s="18"/>
      <c r="X109" s="18"/>
      <c r="Y109" s="18"/>
      <c r="Z109" s="18"/>
      <c r="AA109" s="29" t="str">
        <f>HYPERLINK("http://www.fundinguniverse.com/company-histories/toy-biz-inc-history/","Funding Universe: Toy Biz")</f>
        <v>Funding Universe: Toy Biz</v>
      </c>
      <c r="AB109" s="29" t="str">
        <f>HYPERLINK("http://www.playgroundprofessionals.com/encyclopedia/c/coleco","Playground Professionals: Coleco")</f>
        <v>Playground Professionals: Coleco</v>
      </c>
      <c r="AC109" s="18"/>
      <c r="AD109" s="18"/>
      <c r="AE109" s="6" t="s">
        <v>612</v>
      </c>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row>
    <row r="110">
      <c r="A110" s="37" t="s">
        <v>613</v>
      </c>
      <c r="B110" s="37" t="s">
        <v>614</v>
      </c>
      <c r="C110" s="37" t="s">
        <v>434</v>
      </c>
      <c r="D110" s="25" t="b">
        <v>0</v>
      </c>
      <c r="E110" s="33"/>
      <c r="F110" s="34"/>
      <c r="G110" s="18"/>
      <c r="H110" s="6" t="s">
        <v>615</v>
      </c>
      <c r="I110" s="18"/>
      <c r="J110" s="18"/>
      <c r="K110" s="18"/>
      <c r="L110" s="18"/>
      <c r="M110" s="18"/>
      <c r="N110" s="29" t="str">
        <f>HYPERLINK("http://www.tagieawards.com/presenters/levy-richard","tagie presenter?")</f>
        <v>tagie presenter?</v>
      </c>
      <c r="O110" s="18"/>
      <c r="P110" s="18"/>
      <c r="Q110" s="18"/>
      <c r="R110" s="18"/>
      <c r="S110" s="18"/>
      <c r="T110" s="18"/>
      <c r="U110" s="18"/>
      <c r="V110" s="18"/>
      <c r="W110" s="18"/>
      <c r="X110" s="18"/>
      <c r="Y110" s="18"/>
      <c r="Z110" s="18"/>
      <c r="AA110" s="18"/>
      <c r="AB110" s="18"/>
      <c r="AC110" s="18"/>
      <c r="AD110" s="18"/>
      <c r="AE110" s="6" t="s">
        <v>615</v>
      </c>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row>
    <row r="111">
      <c r="A111" s="2" t="s">
        <v>616</v>
      </c>
      <c r="B111" s="19" t="s">
        <v>617</v>
      </c>
      <c r="C111" s="20" t="s">
        <v>618</v>
      </c>
      <c r="D111" s="25" t="b">
        <v>0</v>
      </c>
      <c r="E111" s="33"/>
      <c r="F111" s="34"/>
      <c r="G111" s="18"/>
      <c r="H111" s="6"/>
      <c r="I111" s="6"/>
      <c r="J111" s="18"/>
      <c r="K111" s="18"/>
      <c r="L111" s="18"/>
      <c r="M111" s="18"/>
      <c r="N111" s="18"/>
      <c r="O111" s="18"/>
      <c r="P111" s="18"/>
      <c r="Q111" s="18"/>
      <c r="R111" s="18"/>
      <c r="S111" s="18"/>
      <c r="T111" s="18"/>
      <c r="U111" s="18"/>
      <c r="V111" s="18"/>
      <c r="W111" s="18"/>
      <c r="X111" s="18"/>
      <c r="Y111" s="18"/>
      <c r="Z111" s="18"/>
      <c r="AA111" s="18"/>
      <c r="AB111" s="18"/>
      <c r="AC111" s="18"/>
      <c r="AD111" s="18"/>
      <c r="AE111" s="28" t="str">
        <f>HYPERLINK("http://atca-club.org/article12.php","Lewin Minkowski and Son")</f>
        <v>Lewin Minkowski and Son</v>
      </c>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row>
    <row r="112">
      <c r="A112" s="2" t="s">
        <v>216</v>
      </c>
      <c r="B112" s="38"/>
      <c r="C112" s="37" t="s">
        <v>619</v>
      </c>
      <c r="D112" s="25" t="b">
        <v>0</v>
      </c>
      <c r="E112" s="33"/>
      <c r="F112" s="34"/>
      <c r="G112" s="18"/>
      <c r="H112" s="6" t="s">
        <v>169</v>
      </c>
      <c r="I112" s="18"/>
      <c r="J112" s="18"/>
      <c r="K112" s="18"/>
      <c r="L112" s="18"/>
      <c r="M112" s="18"/>
      <c r="N112" s="18"/>
      <c r="O112" s="18"/>
      <c r="P112" s="18"/>
      <c r="Q112" s="18"/>
      <c r="R112" s="18"/>
      <c r="S112" s="18"/>
      <c r="T112" s="18"/>
      <c r="U112" s="18"/>
      <c r="V112" s="18"/>
      <c r="W112" s="18"/>
      <c r="X112" s="18"/>
      <c r="Y112" s="18"/>
      <c r="Z112" s="18"/>
      <c r="AA112" s="28" t="str">
        <f>HYPERLINK("http://www.fundinguniverse.com/company-histories/hasbro-inc-history/","Funding Universe: Hasbro")</f>
        <v>Funding Universe: Hasbro</v>
      </c>
      <c r="AB112" s="28" t="str">
        <f>HYPERLINK("http://www.playgroundprofessionals.com/encyclopedia/h/hasbro","Playground Professionals: Hasbro")</f>
        <v>Playground Professionals: Hasbro</v>
      </c>
      <c r="AC112" s="28" t="str">
        <f>HYPERLINK("http://news.google.com/newspapers?nid=1291&amp;dat=19861109&amp;id=qxdVAAAAIBAJ&amp;sjid=gpMDAAAAIBAJ&amp;pg=5763,2701661","Jem Article")</f>
        <v>Jem Article</v>
      </c>
      <c r="AD112" s="18"/>
      <c r="AE112" s="6" t="s">
        <v>169</v>
      </c>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row>
    <row r="113">
      <c r="A113" s="2" t="s">
        <v>620</v>
      </c>
      <c r="B113" s="38"/>
      <c r="C113" s="37" t="s">
        <v>621</v>
      </c>
      <c r="D113" s="25" t="b">
        <v>0</v>
      </c>
      <c r="E113" s="33"/>
      <c r="F113" s="34"/>
      <c r="G113" s="18"/>
      <c r="H113" s="6" t="s">
        <v>622</v>
      </c>
      <c r="I113" s="18"/>
      <c r="J113" s="18"/>
      <c r="K113" s="18"/>
      <c r="L113" s="18"/>
      <c r="M113" s="18"/>
      <c r="N113" s="18"/>
      <c r="O113" s="18"/>
      <c r="P113" s="18"/>
      <c r="Q113" s="18"/>
      <c r="R113" s="18"/>
      <c r="S113" s="18"/>
      <c r="T113" s="18"/>
      <c r="U113" s="18"/>
      <c r="V113" s="18"/>
      <c r="W113" s="18"/>
      <c r="X113" s="18"/>
      <c r="Y113" s="18"/>
      <c r="Z113" s="18"/>
      <c r="AA113" s="18"/>
      <c r="AB113" s="18"/>
      <c r="AC113" s="18"/>
      <c r="AD113" s="18"/>
      <c r="AE113" s="6" t="s">
        <v>622</v>
      </c>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row>
    <row r="114">
      <c r="A114" s="19" t="s">
        <v>467</v>
      </c>
      <c r="B114" s="32"/>
      <c r="C114" s="20" t="s">
        <v>623</v>
      </c>
      <c r="D114" s="25" t="b">
        <v>0</v>
      </c>
      <c r="E114" s="33"/>
      <c r="F114" s="34"/>
      <c r="G114" s="18"/>
      <c r="H114" s="6" t="s">
        <v>624</v>
      </c>
      <c r="I114" s="18"/>
      <c r="J114" s="18"/>
      <c r="K114" s="18"/>
      <c r="L114" s="18"/>
      <c r="M114" s="18"/>
      <c r="N114" s="18"/>
      <c r="O114" s="28" t="str">
        <f>HYPERLINK("http://money.cnn.com/galleries/2011/smallbusiness/1110/gallery.christmas_hot_toys/","CNN Money: 7 toys you gotta have")</f>
        <v>CNN Money: 7 toys you gotta have</v>
      </c>
      <c r="P114" s="18"/>
      <c r="Q114" s="18"/>
      <c r="R114" s="18"/>
      <c r="S114" s="18"/>
      <c r="T114" s="18"/>
      <c r="U114" s="18"/>
      <c r="V114" s="18"/>
      <c r="W114" s="18"/>
      <c r="X114" s="18"/>
      <c r="Y114" s="18"/>
      <c r="Z114" s="18"/>
      <c r="AA114" s="18"/>
      <c r="AB114" s="18"/>
      <c r="AC114" s="18"/>
      <c r="AD114" s="18"/>
      <c r="AE114" s="6" t="s">
        <v>624</v>
      </c>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row>
    <row r="115">
      <c r="A115" s="37" t="s">
        <v>436</v>
      </c>
      <c r="B115" s="38"/>
      <c r="C115" s="37" t="s">
        <v>625</v>
      </c>
      <c r="D115" s="25" t="b">
        <v>0</v>
      </c>
      <c r="E115" s="33"/>
      <c r="F115" s="34"/>
      <c r="G115" s="18"/>
      <c r="H115" s="6" t="s">
        <v>626</v>
      </c>
      <c r="I115" s="18"/>
      <c r="J115" s="18"/>
      <c r="K115" s="18"/>
      <c r="L115" s="18"/>
      <c r="M115" s="18"/>
      <c r="N115" s="28" t="str">
        <f>HYPERLINK("http://njmonthly.com/articles/lifestyle/people/funny-business%20-%202.html","New Jersey Monthly:Funny Business")</f>
        <v>New Jersey Monthly:Funny Business</v>
      </c>
      <c r="O115" s="18"/>
      <c r="P115" s="18"/>
      <c r="Q115" s="18"/>
      <c r="R115" s="18"/>
      <c r="S115" s="28" t="str">
        <f>HYPERLINK("http://njmonthly.com/articles/lifestyle/people/funny-business%20-%202.html","Uncle Andy's Toys")</f>
        <v>Uncle Andy's Toys</v>
      </c>
      <c r="T115" s="27"/>
      <c r="U115" s="18"/>
      <c r="V115" s="18"/>
      <c r="W115" s="18"/>
      <c r="X115" s="18"/>
      <c r="Y115" s="18"/>
      <c r="Z115" s="18"/>
      <c r="AA115" s="18"/>
      <c r="AB115" s="18"/>
      <c r="AC115" s="18"/>
      <c r="AD115" s="18"/>
      <c r="AE115" s="6" t="s">
        <v>626</v>
      </c>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row>
    <row r="116">
      <c r="A116" s="37" t="s">
        <v>627</v>
      </c>
      <c r="B116" s="32"/>
      <c r="C116" s="20" t="s">
        <v>628</v>
      </c>
      <c r="D116" s="25" t="b">
        <v>0</v>
      </c>
      <c r="E116" s="33"/>
      <c r="F116" s="34"/>
      <c r="G116" s="18"/>
      <c r="H116" s="6" t="s">
        <v>629</v>
      </c>
      <c r="I116" s="18"/>
      <c r="J116" s="18"/>
      <c r="K116" s="18"/>
      <c r="L116" s="18"/>
      <c r="M116" s="18"/>
      <c r="N116" s="18"/>
      <c r="O116" s="18"/>
      <c r="P116" s="18"/>
      <c r="Q116" s="18"/>
      <c r="R116" s="18"/>
      <c r="S116" s="28" t="str">
        <f>HYPERLINK("http://www.wickedcooltoys.com/","Wicked Cool Toys")</f>
        <v>Wicked Cool Toys</v>
      </c>
      <c r="T116" s="27"/>
      <c r="U116" s="18"/>
      <c r="V116" s="18"/>
      <c r="W116" s="18"/>
      <c r="X116" s="18"/>
      <c r="Y116" s="18"/>
      <c r="Z116" s="18"/>
      <c r="AA116" s="18"/>
      <c r="AB116" s="18"/>
      <c r="AC116" s="28" t="str">
        <f>HYPERLINK("http://www.jewishscenemagazine.com/2013/11/a-toy-story/#more-14913","Jewish Scene Magazine:A Toy Story")</f>
        <v>Jewish Scene Magazine:A Toy Story</v>
      </c>
      <c r="AD116" s="18"/>
      <c r="AE116" s="6" t="s">
        <v>629</v>
      </c>
      <c r="AF116" s="18"/>
      <c r="AG116" s="18"/>
      <c r="AH116" s="6" t="s">
        <v>630</v>
      </c>
      <c r="AI116" s="18"/>
      <c r="AJ116" s="18"/>
      <c r="AK116" s="18"/>
      <c r="AL116" s="18"/>
      <c r="AM116" s="18"/>
      <c r="AN116" s="18"/>
      <c r="AO116" s="18"/>
      <c r="AP116" s="18"/>
      <c r="AQ116" s="18"/>
      <c r="AR116" s="18"/>
      <c r="AS116" s="18"/>
      <c r="AT116" s="18"/>
      <c r="AU116" s="18"/>
      <c r="AV116" s="18"/>
      <c r="AW116" s="18"/>
      <c r="AX116" s="18"/>
      <c r="AY116" s="18"/>
      <c r="AZ116" s="18"/>
      <c r="BA116" s="18"/>
    </row>
    <row r="117">
      <c r="A117" s="2" t="s">
        <v>631</v>
      </c>
      <c r="B117" s="32"/>
      <c r="C117" s="20" t="s">
        <v>632</v>
      </c>
      <c r="D117" s="25" t="b">
        <v>0</v>
      </c>
      <c r="E117" s="33"/>
      <c r="F117" s="34"/>
      <c r="G117" s="18"/>
      <c r="H117" s="6" t="s">
        <v>629</v>
      </c>
      <c r="I117" s="18"/>
      <c r="J117" s="18"/>
      <c r="K117" s="18"/>
      <c r="L117" s="18"/>
      <c r="M117" s="18"/>
      <c r="N117" s="18"/>
      <c r="O117" s="18"/>
      <c r="P117" s="18"/>
      <c r="Q117" s="18"/>
      <c r="R117" s="18"/>
      <c r="S117" s="18"/>
      <c r="T117" s="18"/>
      <c r="U117" s="18"/>
      <c r="V117" s="18"/>
      <c r="W117" s="18"/>
      <c r="X117" s="18"/>
      <c r="Y117" s="18"/>
      <c r="Z117" s="18"/>
      <c r="AA117" s="18"/>
      <c r="AB117" s="18"/>
      <c r="AC117" s="18"/>
      <c r="AD117" s="18"/>
      <c r="AE117" s="6" t="s">
        <v>629</v>
      </c>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row>
    <row r="118">
      <c r="A118" s="19" t="s">
        <v>633</v>
      </c>
      <c r="B118" s="32"/>
      <c r="C118" s="20" t="s">
        <v>634</v>
      </c>
      <c r="D118" s="25" t="b">
        <v>0</v>
      </c>
      <c r="E118" s="33"/>
      <c r="F118" s="34"/>
      <c r="G118" s="18"/>
      <c r="H118" s="6" t="s">
        <v>635</v>
      </c>
      <c r="I118" s="18"/>
      <c r="J118" s="18"/>
      <c r="K118" s="18"/>
      <c r="L118" s="18"/>
      <c r="M118" s="18"/>
      <c r="N118" s="18"/>
      <c r="O118" s="18"/>
      <c r="P118" s="18"/>
      <c r="Q118" s="18"/>
      <c r="R118" s="18"/>
      <c r="S118" s="18"/>
      <c r="T118" s="18"/>
      <c r="U118" s="18"/>
      <c r="V118" s="18"/>
      <c r="W118" s="18"/>
      <c r="X118" s="18"/>
      <c r="Y118" s="18"/>
      <c r="Z118" s="18"/>
      <c r="AA118" s="18"/>
      <c r="AB118" s="18"/>
      <c r="AC118" s="18"/>
      <c r="AD118" s="18"/>
      <c r="AE118" s="6" t="s">
        <v>635</v>
      </c>
      <c r="AF118" s="28" t="str">
        <f>HYPERLINK("http://books.google.com/books?id=JrslMKTgSZwC&amp;pg=PA442&amp;lpg=PA442&amp;dq=Mordecai+Meirowitz&amp;source=bl&amp;ots=Vt7A4QMSKG&amp;sig=wlZcvzeEyAvPCxXxq3572lBY1QY&amp;hl=en&amp;sa=X&amp;ei=eh4fVMWkKNS3yASvxoLICg&amp;ved=0CHUQ6AEwDg#v=onepage&amp;q=Mordecai%20Meirowitz&amp;f=false","Mastermind")</f>
        <v>Mastermind</v>
      </c>
      <c r="AG118" s="27"/>
      <c r="AH118" s="28" t="str">
        <f>HYPERLINK("http://www.tnelson.demon.co.uk/mastermind/history.html","1971")</f>
        <v>1971</v>
      </c>
      <c r="AI118" s="18"/>
      <c r="AJ118" s="18"/>
      <c r="AK118" s="18"/>
      <c r="AL118" s="18"/>
      <c r="AM118" s="18"/>
      <c r="AN118" s="18"/>
      <c r="AO118" s="18"/>
      <c r="AP118" s="18"/>
      <c r="AQ118" s="18"/>
      <c r="AR118" s="18"/>
      <c r="AS118" s="18"/>
      <c r="AT118" s="18"/>
      <c r="AU118" s="18"/>
      <c r="AV118" s="18"/>
      <c r="AW118" s="18"/>
      <c r="AX118" s="18"/>
      <c r="AY118" s="18"/>
      <c r="AZ118" s="18"/>
      <c r="BA118" s="18"/>
    </row>
    <row r="119">
      <c r="A119" s="19" t="s">
        <v>636</v>
      </c>
      <c r="B119" s="32"/>
      <c r="C119" s="20" t="s">
        <v>637</v>
      </c>
      <c r="D119" s="25" t="b">
        <v>0</v>
      </c>
      <c r="E119" s="33"/>
      <c r="F119" s="34"/>
      <c r="G119" s="18"/>
      <c r="H119" s="6" t="s">
        <v>637</v>
      </c>
      <c r="I119" s="18"/>
      <c r="J119" s="18"/>
      <c r="K119" s="18"/>
      <c r="L119" s="18"/>
      <c r="M119" s="18"/>
      <c r="N119" s="18"/>
      <c r="O119" s="18"/>
      <c r="P119" s="18"/>
      <c r="Q119" s="18"/>
      <c r="R119" s="18"/>
      <c r="S119" s="18"/>
      <c r="T119" s="18"/>
      <c r="U119" s="18"/>
      <c r="V119" s="18"/>
      <c r="W119" s="18"/>
      <c r="X119" s="18"/>
      <c r="Y119" s="18"/>
      <c r="Z119" s="18"/>
      <c r="AA119" s="18"/>
      <c r="AB119" s="18"/>
      <c r="AC119" s="18"/>
      <c r="AD119" s="28" t="str">
        <f>HYPERLINK("http://www.haaretz.com/print-edition/business/hertzano-family-plays-with-hasbro-again-1.115812","Haaretz:Hertzano Family Plays with Hasbro Again")</f>
        <v>Haaretz:Hertzano Family Plays with Hasbro Again</v>
      </c>
      <c r="AE119" s="6" t="s">
        <v>637</v>
      </c>
      <c r="AF119" s="28" t="str">
        <f>HYPERLINK("http://www.israel21c.org/culture/rummikub-is-the-chairman-of-the-board/","israel21c:Rummikub is the chairman of the board")</f>
        <v>israel21c:Rummikub is the chairman of the board</v>
      </c>
      <c r="AG119" s="27"/>
      <c r="AH119" s="18"/>
      <c r="AI119" s="18"/>
      <c r="AJ119" s="18"/>
      <c r="AK119" s="18"/>
      <c r="AL119" s="18"/>
      <c r="AM119" s="18"/>
      <c r="AN119" s="18"/>
      <c r="AO119" s="18"/>
      <c r="AP119" s="18"/>
      <c r="AQ119" s="18"/>
      <c r="AR119" s="18"/>
      <c r="AS119" s="18"/>
      <c r="AT119" s="18"/>
      <c r="AU119" s="18"/>
      <c r="AV119" s="18"/>
      <c r="AW119" s="18"/>
      <c r="AX119" s="18"/>
      <c r="AY119" s="18"/>
      <c r="AZ119" s="18"/>
      <c r="BA119" s="18"/>
    </row>
    <row r="120">
      <c r="A120" s="2" t="s">
        <v>638</v>
      </c>
      <c r="B120" s="37" t="s">
        <v>639</v>
      </c>
      <c r="C120" s="37" t="s">
        <v>640</v>
      </c>
      <c r="D120" s="25" t="b">
        <v>0</v>
      </c>
      <c r="E120" s="33"/>
      <c r="F120" s="34"/>
      <c r="G120" s="18"/>
      <c r="H120" s="6" t="s">
        <v>641</v>
      </c>
      <c r="I120" s="18"/>
      <c r="J120" s="18"/>
      <c r="K120" s="18"/>
      <c r="L120" s="18"/>
      <c r="M120" s="28" t="str">
        <f>HYPERLINK("http://www.toyassociation.org/TIA/Events/HOF/Inductees/Events2/Hall_of_Fame/Hall_of_Fame_Inductees.aspx?hkey=513da8d5-c0f8-423a-be33-9a720a8b9276#.VB2nXOcu9xo","TIA Hall of Fame")</f>
        <v>TIA Hall of Fame</v>
      </c>
      <c r="N120" s="18"/>
      <c r="O120" s="18"/>
      <c r="P120" s="18"/>
      <c r="Q120" s="18"/>
      <c r="R120" s="18"/>
      <c r="S120" s="18"/>
      <c r="T120" s="18"/>
      <c r="U120" s="18"/>
      <c r="V120" s="18"/>
      <c r="W120" s="18"/>
      <c r="X120" s="18"/>
      <c r="Y120" s="18"/>
      <c r="Z120" s="18"/>
      <c r="AA120" s="29" t="str">
        <f>HYPERLINK("http://www.fundinguniverse.com/company-histories/knowledge-universe-inc-history/","Funding Universe: Knowledge Universe")</f>
        <v>Funding Universe: Knowledge Universe</v>
      </c>
      <c r="AB120" s="18"/>
      <c r="AC120" s="18"/>
      <c r="AD120" s="18"/>
      <c r="AE120" s="6" t="s">
        <v>641</v>
      </c>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row>
    <row r="121">
      <c r="A121" s="19" t="s">
        <v>642</v>
      </c>
      <c r="B121" s="19"/>
      <c r="C121" s="20" t="s">
        <v>643</v>
      </c>
      <c r="D121" s="25" t="b">
        <v>0</v>
      </c>
      <c r="E121" s="33"/>
      <c r="F121" s="34"/>
      <c r="G121" s="18"/>
      <c r="H121" s="6" t="s">
        <v>644</v>
      </c>
      <c r="I121" s="18"/>
      <c r="J121" s="18"/>
      <c r="K121" s="18"/>
      <c r="L121" s="18"/>
      <c r="M121" s="27"/>
      <c r="N121" s="18"/>
      <c r="O121" s="18"/>
      <c r="P121" s="18"/>
      <c r="Q121" s="18"/>
      <c r="R121" s="18"/>
      <c r="S121" s="18"/>
      <c r="T121" s="18"/>
      <c r="U121" s="18"/>
      <c r="V121" s="18"/>
      <c r="W121" s="18"/>
      <c r="X121" s="18"/>
      <c r="Y121" s="18"/>
      <c r="Z121" s="18"/>
      <c r="AA121" s="36"/>
      <c r="AB121" s="18"/>
      <c r="AC121" s="28" t="str">
        <f>HYPERLINK("http://www.globaltoynews.com/2011/03/the-kohner-brothers-an-appreciation.html","Kohner Borthers")</f>
        <v>Kohner Borthers</v>
      </c>
      <c r="AD121" s="18"/>
      <c r="AE121" s="6" t="s">
        <v>644</v>
      </c>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row>
    <row r="122">
      <c r="A122" s="2" t="s">
        <v>645</v>
      </c>
      <c r="B122" s="19"/>
      <c r="C122" s="20" t="s">
        <v>232</v>
      </c>
      <c r="D122" s="25" t="b">
        <v>0</v>
      </c>
      <c r="E122" s="33"/>
      <c r="F122" s="34"/>
      <c r="G122" s="18"/>
      <c r="H122" s="6" t="s">
        <v>646</v>
      </c>
      <c r="I122" s="18"/>
      <c r="J122" s="18"/>
      <c r="K122" s="18"/>
      <c r="L122" s="18"/>
      <c r="M122" s="27"/>
      <c r="N122" s="18"/>
      <c r="O122" s="18"/>
      <c r="P122" s="18"/>
      <c r="Q122" s="18"/>
      <c r="R122" s="18"/>
      <c r="S122" s="18"/>
      <c r="T122" s="18"/>
      <c r="U122" s="18"/>
      <c r="V122" s="18"/>
      <c r="W122" s="18"/>
      <c r="X122" s="18"/>
      <c r="Y122" s="18"/>
      <c r="Z122" s="18"/>
      <c r="AA122" s="36"/>
      <c r="AB122" s="18"/>
      <c r="AC122" s="27"/>
      <c r="AD122" s="18"/>
      <c r="AE122" s="6" t="s">
        <v>646</v>
      </c>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row>
    <row r="123">
      <c r="A123" s="2" t="s">
        <v>339</v>
      </c>
      <c r="B123" s="19"/>
      <c r="C123" s="20" t="s">
        <v>232</v>
      </c>
      <c r="D123" s="25" t="b">
        <v>0</v>
      </c>
      <c r="E123" s="33"/>
      <c r="F123" s="34"/>
      <c r="G123" s="18"/>
      <c r="H123" s="6" t="s">
        <v>647</v>
      </c>
      <c r="I123" s="18"/>
      <c r="J123" s="18"/>
      <c r="K123" s="18"/>
      <c r="L123" s="18"/>
      <c r="M123" s="27"/>
      <c r="N123" s="18"/>
      <c r="O123" s="28" t="str">
        <f>HYPERLINK("http://newjerseyhills.com/observer-tribune/news/chester-township-businessman-goes-wow-over-rough-world-of-toys/article_f0c558f2-cc5d-11e1-885b-0019bb2963f4.html","Observer Tribune:Chester Township businessman goes ‘wow’ over rough world of toys")</f>
        <v>Observer Tribune:Chester Township businessman goes ‘wow’ over rough world of toys</v>
      </c>
      <c r="P123" s="18"/>
      <c r="Q123" s="18"/>
      <c r="R123" s="18"/>
      <c r="S123" s="18"/>
      <c r="T123" s="18"/>
      <c r="U123" s="18"/>
      <c r="V123" s="18"/>
      <c r="W123" s="18"/>
      <c r="X123" s="18"/>
      <c r="Y123" s="18"/>
      <c r="Z123" s="18"/>
      <c r="AA123" s="36"/>
      <c r="AB123" s="18"/>
      <c r="AC123" s="27"/>
      <c r="AD123" s="18"/>
      <c r="AE123" s="6" t="s">
        <v>647</v>
      </c>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row>
    <row r="124">
      <c r="A124" s="2" t="s">
        <v>261</v>
      </c>
      <c r="B124" s="19"/>
      <c r="C124" s="20" t="s">
        <v>648</v>
      </c>
      <c r="D124" s="25" t="b">
        <v>0</v>
      </c>
      <c r="E124" s="33"/>
      <c r="F124" s="34"/>
      <c r="G124" s="18"/>
      <c r="H124" s="6" t="s">
        <v>649</v>
      </c>
      <c r="I124" s="18"/>
      <c r="J124" s="18"/>
      <c r="K124" s="18"/>
      <c r="L124" s="18"/>
      <c r="M124" s="27"/>
      <c r="N124" s="18"/>
      <c r="O124" s="28" t="str">
        <f>HYPERLINK("http://www.thefreelibrary.com/Action+Products+Names+Marvin+Smollar+to+Board+of+Directors%3B...-a065090506","Action Products Names Smollar to Board of Directors")</f>
        <v>Action Products Names Smollar to Board of Directors</v>
      </c>
      <c r="P124" s="18"/>
      <c r="Q124" s="18"/>
      <c r="R124" s="18"/>
      <c r="S124" s="18"/>
      <c r="T124" s="18"/>
      <c r="U124" s="18"/>
      <c r="V124" s="18"/>
      <c r="W124" s="18"/>
      <c r="X124" s="18"/>
      <c r="Y124" s="18"/>
      <c r="Z124" s="18"/>
      <c r="AA124" s="36"/>
      <c r="AB124" s="18"/>
      <c r="AC124" s="27"/>
      <c r="AD124" s="18"/>
      <c r="AE124" s="6" t="s">
        <v>649</v>
      </c>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row>
    <row r="125">
      <c r="A125" s="19" t="s">
        <v>650</v>
      </c>
      <c r="B125" s="19"/>
      <c r="C125" s="20" t="s">
        <v>651</v>
      </c>
      <c r="D125" s="25" t="b">
        <v>0</v>
      </c>
      <c r="E125" s="33"/>
      <c r="F125" s="34"/>
      <c r="G125" s="28" t="str">
        <f>HYPERLINK("http://www.legacy.com/obituaries/wickedlocal-wellesley/obituary.aspx?pid=167255544","Leonard Fuhrer")</f>
        <v>Leonard Fuhrer</v>
      </c>
      <c r="H125" s="6" t="s">
        <v>652</v>
      </c>
      <c r="I125" s="18"/>
      <c r="J125" s="18"/>
      <c r="K125" s="18"/>
      <c r="L125" s="18"/>
      <c r="M125" s="27"/>
      <c r="N125" s="28" t="str">
        <f>HYPERLINK("http://tandgcon.com/len-fuhrer-83-toy-industry-leader-for-over-50-years/","TandG Con: Len Fuhrer, 83")</f>
        <v>TandG Con: Len Fuhrer, 83</v>
      </c>
      <c r="O125" s="28" t="str">
        <f>HYPERLINK("http://investing.businessweek.com/research/stocks/private/person.asp?personId=1537722&amp;privcapId=1004688&amp;previousCapId=29433&amp;previousTitle=HESKA%20CORP","Business week Bio")</f>
        <v>Business week Bio</v>
      </c>
      <c r="P125" s="18"/>
      <c r="Q125" s="18"/>
      <c r="R125" s="18"/>
      <c r="S125" s="18"/>
      <c r="T125" s="18"/>
      <c r="U125" s="18"/>
      <c r="V125" s="18"/>
      <c r="W125" s="18"/>
      <c r="X125" s="18"/>
      <c r="Y125" s="18"/>
      <c r="Z125" s="18"/>
      <c r="AA125" s="36"/>
      <c r="AB125" s="18"/>
      <c r="AC125" s="27"/>
      <c r="AD125" s="18"/>
      <c r="AE125" s="6"/>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row>
    <row r="126">
      <c r="A126" s="19" t="s">
        <v>182</v>
      </c>
      <c r="B126" s="19"/>
      <c r="C126" s="20" t="s">
        <v>651</v>
      </c>
      <c r="D126" s="25" t="b">
        <v>0</v>
      </c>
      <c r="E126" s="33"/>
      <c r="F126" s="34"/>
      <c r="G126" s="27"/>
      <c r="H126" s="6" t="s">
        <v>653</v>
      </c>
      <c r="I126" s="18"/>
      <c r="J126" s="18"/>
      <c r="K126" s="18"/>
      <c r="L126" s="18"/>
      <c r="M126" s="27"/>
      <c r="N126" s="18"/>
      <c r="O126" s="27" t="s">
        <v>654</v>
      </c>
      <c r="P126" s="18"/>
      <c r="Q126" s="18"/>
      <c r="R126" s="18"/>
      <c r="S126" s="18"/>
      <c r="T126" s="18"/>
      <c r="U126" s="18"/>
      <c r="V126" s="18"/>
      <c r="W126" s="18"/>
      <c r="X126" s="18"/>
      <c r="Y126" s="18"/>
      <c r="Z126" s="18"/>
      <c r="AA126" s="36"/>
      <c r="AB126" s="18"/>
      <c r="AC126" s="27"/>
      <c r="AD126" s="18"/>
      <c r="AE126" s="6" t="s">
        <v>655</v>
      </c>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row>
    <row r="127">
      <c r="A127" s="19" t="s">
        <v>317</v>
      </c>
      <c r="B127" s="19"/>
      <c r="C127" s="20" t="s">
        <v>651</v>
      </c>
      <c r="D127" s="25" t="b">
        <v>0</v>
      </c>
      <c r="E127" s="33"/>
      <c r="F127" s="34"/>
      <c r="G127" s="27"/>
      <c r="H127" s="6" t="s">
        <v>656</v>
      </c>
      <c r="I127" s="18"/>
      <c r="J127" s="18"/>
      <c r="K127" s="18"/>
      <c r="L127" s="18"/>
      <c r="M127" s="27"/>
      <c r="N127" s="18"/>
      <c r="O127" s="27"/>
      <c r="P127" s="18"/>
      <c r="Q127" s="18"/>
      <c r="R127" s="18"/>
      <c r="S127" s="18"/>
      <c r="T127" s="18"/>
      <c r="U127" s="18"/>
      <c r="V127" s="18"/>
      <c r="W127" s="18"/>
      <c r="X127" s="18"/>
      <c r="Y127" s="18"/>
      <c r="Z127" s="18"/>
      <c r="AA127" s="36"/>
      <c r="AB127" s="18"/>
      <c r="AC127" s="27"/>
      <c r="AD127" s="18"/>
      <c r="AE127" s="6" t="s">
        <v>656</v>
      </c>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row>
    <row r="128">
      <c r="A128" s="19" t="s">
        <v>657</v>
      </c>
      <c r="B128" s="32"/>
      <c r="C128" s="57" t="s">
        <v>658</v>
      </c>
      <c r="D128" s="25" t="b">
        <v>0</v>
      </c>
      <c r="E128" s="33"/>
      <c r="F128" s="34"/>
      <c r="G128" s="18"/>
      <c r="H128" s="6" t="s">
        <v>658</v>
      </c>
      <c r="I128" s="18"/>
      <c r="J128" s="18"/>
      <c r="K128" s="18"/>
      <c r="L128" s="18"/>
      <c r="M128" s="18"/>
      <c r="N128" s="18"/>
      <c r="O128" s="18"/>
      <c r="P128" s="18"/>
      <c r="Q128" s="18"/>
      <c r="R128" s="18"/>
      <c r="S128" s="18"/>
      <c r="T128" s="18"/>
      <c r="U128" s="18"/>
      <c r="V128" s="18"/>
      <c r="W128" s="18"/>
      <c r="X128" s="18"/>
      <c r="Y128" s="18"/>
      <c r="Z128" s="18"/>
      <c r="AA128" s="18"/>
      <c r="AB128" s="28" t="str">
        <f>HYPERLINK("http://www.historytoy.com/company-story-firm-chronicle-description-corporate-history-profile-Distler#.VEeLsue7nBU","Historytoy.com:Distler History")</f>
        <v>Historytoy.com:Distler History</v>
      </c>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row>
    <row r="129">
      <c r="A129" s="19" t="s">
        <v>659</v>
      </c>
      <c r="B129" s="32"/>
      <c r="C129" s="57" t="s">
        <v>660</v>
      </c>
      <c r="D129" s="25" t="b">
        <v>0</v>
      </c>
      <c r="E129" s="33"/>
      <c r="F129" s="34"/>
      <c r="G129" s="18"/>
      <c r="H129" s="6" t="s">
        <v>661</v>
      </c>
      <c r="I129" s="18"/>
      <c r="J129" s="18"/>
      <c r="K129" s="18"/>
      <c r="L129" s="18"/>
      <c r="M129" s="18"/>
      <c r="N129" s="18"/>
      <c r="O129" s="18"/>
      <c r="P129" s="18"/>
      <c r="Q129" s="18"/>
      <c r="R129" s="18"/>
      <c r="S129" s="18"/>
      <c r="T129" s="18"/>
      <c r="U129" s="18"/>
      <c r="V129" s="18"/>
      <c r="W129" s="18"/>
      <c r="X129" s="18"/>
      <c r="Y129" s="18"/>
      <c r="Z129" s="18"/>
      <c r="AA129" s="18"/>
      <c r="AB129" s="28" t="str">
        <f>HYPERLINK("http://www.historytoy.com/company-story-firm-chronicle-description-corporate-history-profile-Moskowitz-Max-Nuremberg#.VFKoBue7kpN","HIstoryToy.com:Max Moscowitz")</f>
        <v>HIstoryToy.com:Max Moscowitz</v>
      </c>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row>
    <row r="130">
      <c r="A130" s="19" t="s">
        <v>77</v>
      </c>
      <c r="B130" s="32"/>
      <c r="C130" s="57" t="s">
        <v>662</v>
      </c>
      <c r="D130" s="25" t="b">
        <v>0</v>
      </c>
      <c r="E130" s="33"/>
      <c r="F130" s="34"/>
      <c r="G130" s="18"/>
      <c r="H130" s="6" t="s">
        <v>663</v>
      </c>
      <c r="I130" s="18"/>
      <c r="J130" s="18"/>
      <c r="K130" s="18"/>
      <c r="L130" s="18"/>
      <c r="M130" s="18"/>
      <c r="N130" s="18"/>
      <c r="O130" s="18"/>
      <c r="P130" s="18"/>
      <c r="Q130" s="18"/>
      <c r="R130" s="18"/>
      <c r="S130" s="18"/>
      <c r="T130" s="18"/>
      <c r="U130" s="18"/>
      <c r="V130" s="18"/>
      <c r="W130" s="18"/>
      <c r="X130" s="18"/>
      <c r="Y130" s="18"/>
      <c r="Z130" s="18"/>
      <c r="AA130" s="18"/>
      <c r="AB130" s="28" t="str">
        <f>HYPERLINK("http://www.historytoy.com/company-story-firm-chronicle-description-corporate-history-profile-Schuco#.VFKoiue7kpN","HistoryToy.com:Shuco")</f>
        <v>HistoryToy.com:Shuco</v>
      </c>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row>
    <row r="131">
      <c r="A131" s="37" t="s">
        <v>664</v>
      </c>
      <c r="B131" s="38"/>
      <c r="C131" s="58" t="s">
        <v>665</v>
      </c>
      <c r="D131" s="25" t="b">
        <v>0</v>
      </c>
      <c r="E131" s="33"/>
      <c r="F131" s="26">
        <v>1924.0</v>
      </c>
      <c r="G131" s="28" t="str">
        <f>HYPERLINK("http://www.jta.org/1924/02/28/archive/leo-schlesinger-hebrew-technical-school-founder-dies","Leo Schlessinger")</f>
        <v>Leo Schlessinger</v>
      </c>
      <c r="H131" s="6" t="s">
        <v>666</v>
      </c>
      <c r="I131" s="18"/>
      <c r="J131" s="18"/>
      <c r="K131" s="18"/>
      <c r="L131" s="18"/>
      <c r="M131" s="18"/>
      <c r="N131" s="18"/>
      <c r="O131" s="18"/>
      <c r="P131" s="18"/>
      <c r="Q131" s="18"/>
      <c r="R131" s="18"/>
      <c r="S131" s="18"/>
      <c r="T131" s="18"/>
      <c r="U131" s="18"/>
      <c r="V131" s="18"/>
      <c r="W131" s="18"/>
      <c r="X131" s="18"/>
      <c r="Y131" s="18"/>
      <c r="Z131" s="18"/>
      <c r="AA131" s="18"/>
      <c r="AB131" s="27"/>
      <c r="AC131" s="28" t="str">
        <f>HYPERLINK("http://query.nytimes.com/mem/archive-free/pdf?res=9E07E4DF103DE433A25751C0A9609C94649ED7CF","NY TImes: Hebrew Technical Ins")</f>
        <v>NY TImes: Hebrew Technical Ins</v>
      </c>
      <c r="AD131" s="18"/>
      <c r="AE131" s="18"/>
      <c r="AF131" s="6" t="s">
        <v>667</v>
      </c>
      <c r="AG131" s="6" t="s">
        <v>668</v>
      </c>
      <c r="AH131" s="6" t="s">
        <v>669</v>
      </c>
      <c r="AI131" s="18"/>
      <c r="AJ131" s="18"/>
      <c r="AK131" s="18"/>
      <c r="AL131" s="18"/>
      <c r="AM131" s="18"/>
      <c r="AN131" s="18"/>
      <c r="AO131" s="18"/>
      <c r="AP131" s="18"/>
      <c r="AQ131" s="18"/>
      <c r="AR131" s="18"/>
      <c r="AS131" s="18"/>
      <c r="AT131" s="18"/>
      <c r="AU131" s="18"/>
      <c r="AV131" s="18"/>
      <c r="AW131" s="18"/>
      <c r="AX131" s="18"/>
      <c r="AY131" s="18"/>
      <c r="AZ131" s="18"/>
      <c r="BA131" s="18"/>
    </row>
    <row r="132">
      <c r="A132" s="19" t="s">
        <v>670</v>
      </c>
      <c r="B132" s="32"/>
      <c r="C132" s="20" t="s">
        <v>183</v>
      </c>
      <c r="D132" s="25" t="b">
        <v>0</v>
      </c>
      <c r="E132" s="33"/>
      <c r="F132" s="26">
        <v>2013.0</v>
      </c>
      <c r="G132" s="28" t="str">
        <f>HYPERLINK("http://patch.com/illinois/elmhurst/death-notice-hospital-and-pinball-pioneer-alvin-j-gottlieb-formerly-of-elmhurst","Alvin Gottlieb")</f>
        <v>Alvin Gottlieb</v>
      </c>
      <c r="H132" s="6" t="s">
        <v>671</v>
      </c>
      <c r="I132" s="18"/>
      <c r="J132" s="18"/>
      <c r="K132" s="18"/>
      <c r="L132" s="18"/>
      <c r="M132" s="18"/>
      <c r="N132" s="18"/>
      <c r="O132" s="28" t="str">
        <f>HYPERLINK("http://www.vendingtimes.com/ME2/dirmod.asp?sid=&amp;nm=Music+%26+Games+Features&amp;type=Publishing&amp;mod=Publications%3A%3AArticle&amp;mid=8F3A7027421841978F18BE895F87F791&amp;tier=4&amp;id=C7E9BB04F42C495E99C47F5F44445187","Vending Times:Pinball Pioneer Alvin Gottlieb dies at 86")</f>
        <v>Vending Times:Pinball Pioneer Alvin Gottlieb dies at 86</v>
      </c>
      <c r="P132" s="18"/>
      <c r="Q132" s="18"/>
      <c r="R132" s="18"/>
      <c r="S132" s="18"/>
      <c r="T132" s="18"/>
      <c r="U132" s="18"/>
      <c r="V132" s="18"/>
      <c r="W132" s="18"/>
      <c r="X132" s="18"/>
      <c r="Y132" s="18"/>
      <c r="Z132" s="27"/>
      <c r="AA132" s="27"/>
      <c r="AB132" s="27"/>
      <c r="AC132" s="27"/>
      <c r="AD132" s="28" t="str">
        <f>HYPERLINK("https://www.youtube.com/watch?v=clsGVAB5znU","Alving G Factory Tour")</f>
        <v>Alving G Factory Tour</v>
      </c>
      <c r="AE132" s="6" t="s">
        <v>671</v>
      </c>
      <c r="AF132" s="28" t="str">
        <f>HYPERLINK("http://amusingthezillion.com/tag/alvin-g-co/","Amuzing the Zillion:Alving G and Company")</f>
        <v>Amuzing the Zillion:Alving G and Company</v>
      </c>
      <c r="AG132" s="27"/>
      <c r="AH132" s="18"/>
      <c r="AI132" s="18"/>
      <c r="AJ132" s="18"/>
      <c r="AK132" s="18"/>
      <c r="AL132" s="18"/>
      <c r="AM132" s="18"/>
      <c r="AN132" s="18"/>
      <c r="AO132" s="18"/>
      <c r="AP132" s="18"/>
      <c r="AQ132" s="18"/>
      <c r="AR132" s="18"/>
      <c r="AS132" s="18"/>
      <c r="AT132" s="18"/>
      <c r="AU132" s="18"/>
      <c r="AV132" s="18"/>
      <c r="AW132" s="18"/>
      <c r="AX132" s="18"/>
      <c r="AY132" s="18"/>
      <c r="AZ132" s="18"/>
      <c r="BA132" s="18"/>
    </row>
    <row r="133">
      <c r="A133" s="37" t="s">
        <v>207</v>
      </c>
      <c r="B133" s="38"/>
      <c r="C133" s="37" t="s">
        <v>672</v>
      </c>
      <c r="D133" s="25" t="b">
        <v>0</v>
      </c>
      <c r="E133" s="25"/>
      <c r="F133" s="26"/>
      <c r="G133" s="28" t="str">
        <f>HYPERLINK("http://articles.sun-sentinel.com/2007-10-26/news/0710260033_1_mr-klein-bally-manufacturing-mccarty","Sam Klein")</f>
        <v>Sam Klein</v>
      </c>
      <c r="H133" s="6" t="s">
        <v>673</v>
      </c>
      <c r="I133" s="18"/>
      <c r="J133" s="18"/>
      <c r="K133" s="18"/>
      <c r="L133" s="18"/>
      <c r="M133" s="18"/>
      <c r="N133" s="18"/>
      <c r="O133" s="18"/>
      <c r="P133" s="18"/>
      <c r="Q133" s="18"/>
      <c r="R133" s="18"/>
      <c r="S133" s="18"/>
      <c r="T133" s="18"/>
      <c r="U133" s="18"/>
      <c r="V133" s="18"/>
      <c r="W133" s="18"/>
      <c r="X133" s="18"/>
      <c r="Y133" s="28" t="str">
        <f>HYPERLINK("http://news.google.com/newspapers?nid=1291&amp;dat=19790715&amp;id=2PRTAAAAIBAJ&amp;sjid=q4wDAAAAIBAJ&amp;pg=3097,2341627","Boca Raton News: Jai Lai Offer Led to Investigation of Bally's")</f>
        <v>Boca Raton News: Jai Lai Offer Led to Investigation of Bally's</v>
      </c>
      <c r="Z133" s="18"/>
      <c r="AA133" s="18"/>
      <c r="AB133" s="18"/>
      <c r="AC133" s="18"/>
      <c r="AD133" s="18"/>
      <c r="AE133" s="6"/>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row>
    <row r="134">
      <c r="A134" s="2" t="s">
        <v>674</v>
      </c>
      <c r="B134" s="32"/>
      <c r="C134" s="20" t="s">
        <v>675</v>
      </c>
      <c r="D134" s="25" t="b">
        <v>0</v>
      </c>
      <c r="E134" s="33"/>
      <c r="F134" s="34"/>
      <c r="G134" s="18"/>
      <c r="H134" s="6" t="s">
        <v>676</v>
      </c>
      <c r="I134" s="18"/>
      <c r="J134" s="12"/>
      <c r="K134" s="18"/>
      <c r="L134" s="18"/>
      <c r="M134" s="18"/>
      <c r="N134" s="18"/>
      <c r="O134" s="18"/>
      <c r="P134" s="18"/>
      <c r="Q134" s="18"/>
      <c r="R134" s="18"/>
      <c r="S134" s="18"/>
      <c r="T134" s="18"/>
      <c r="U134" s="18"/>
      <c r="V134" s="18"/>
      <c r="W134" s="18"/>
      <c r="X134" s="18"/>
      <c r="Y134" s="18"/>
      <c r="Z134" s="18"/>
      <c r="AA134" s="18"/>
      <c r="AB134" s="18"/>
      <c r="AC134" s="18"/>
      <c r="AD134" s="18"/>
      <c r="AE134" s="6" t="s">
        <v>676</v>
      </c>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row>
    <row r="135">
      <c r="A135" s="2" t="s">
        <v>147</v>
      </c>
      <c r="B135" s="32"/>
      <c r="C135" s="20" t="s">
        <v>677</v>
      </c>
      <c r="D135" s="25" t="b">
        <v>0</v>
      </c>
      <c r="E135" s="33"/>
      <c r="F135" s="34"/>
      <c r="G135" s="18"/>
      <c r="H135" s="6" t="s">
        <v>676</v>
      </c>
      <c r="I135" s="18"/>
      <c r="J135" s="18"/>
      <c r="K135" s="18"/>
      <c r="L135" s="18"/>
      <c r="M135" s="18"/>
      <c r="N135" s="18"/>
      <c r="O135" s="18"/>
      <c r="P135" s="18"/>
      <c r="Q135" s="18"/>
      <c r="R135" s="18"/>
      <c r="S135" s="18"/>
      <c r="T135" s="18"/>
      <c r="U135" s="18"/>
      <c r="V135" s="18"/>
      <c r="W135" s="18"/>
      <c r="X135" s="18"/>
      <c r="Y135" s="18"/>
      <c r="Z135" s="18"/>
      <c r="AA135" s="18"/>
      <c r="AB135" s="18"/>
      <c r="AC135" s="18"/>
      <c r="AD135" s="18"/>
      <c r="AE135" s="6" t="s">
        <v>676</v>
      </c>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row>
    <row r="136">
      <c r="A136" s="37" t="s">
        <v>207</v>
      </c>
      <c r="B136" s="38"/>
      <c r="C136" s="37" t="s">
        <v>678</v>
      </c>
      <c r="D136" s="25" t="b">
        <v>0</v>
      </c>
      <c r="E136" s="33"/>
      <c r="F136" s="34"/>
      <c r="G136" s="18"/>
      <c r="H136" s="6" t="s">
        <v>679</v>
      </c>
      <c r="I136" s="18"/>
      <c r="J136" s="18"/>
      <c r="K136" s="18"/>
      <c r="L136" s="18"/>
      <c r="M136" s="18"/>
      <c r="N136" s="18"/>
      <c r="O136" s="18"/>
      <c r="P136" s="18"/>
      <c r="Q136" s="18"/>
      <c r="R136" s="18"/>
      <c r="S136" s="18"/>
      <c r="T136" s="18"/>
      <c r="U136" s="18"/>
      <c r="V136" s="18"/>
      <c r="W136" s="18"/>
      <c r="X136" s="18"/>
      <c r="Y136" s="18"/>
      <c r="Z136" s="18"/>
      <c r="AA136" s="18"/>
      <c r="AB136" s="18"/>
      <c r="AC136" s="18"/>
      <c r="AD136" s="18"/>
      <c r="AE136" s="6" t="s">
        <v>679</v>
      </c>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row>
    <row r="137">
      <c r="A137" s="2" t="s">
        <v>680</v>
      </c>
      <c r="B137" s="38"/>
      <c r="C137" s="37" t="s">
        <v>681</v>
      </c>
      <c r="D137" s="25" t="b">
        <v>0</v>
      </c>
      <c r="E137" s="33"/>
      <c r="F137" s="34"/>
      <c r="G137" s="18"/>
      <c r="H137" s="6" t="s">
        <v>679</v>
      </c>
      <c r="I137" s="18"/>
      <c r="J137" s="18"/>
      <c r="K137" s="18"/>
      <c r="L137" s="18"/>
      <c r="M137" s="18"/>
      <c r="N137" s="18"/>
      <c r="O137" s="18"/>
      <c r="P137" s="18"/>
      <c r="Q137" s="18"/>
      <c r="R137" s="18"/>
      <c r="S137" s="18"/>
      <c r="T137" s="18"/>
      <c r="U137" s="18"/>
      <c r="V137" s="18"/>
      <c r="W137" s="18"/>
      <c r="X137" s="18"/>
      <c r="Y137" s="18"/>
      <c r="Z137" s="18"/>
      <c r="AA137" s="18"/>
      <c r="AB137" s="18"/>
      <c r="AC137" s="18"/>
      <c r="AD137" s="18"/>
      <c r="AE137" s="6" t="s">
        <v>679</v>
      </c>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row>
    <row r="138">
      <c r="A138" s="12" t="s">
        <v>682</v>
      </c>
      <c r="B138" s="16"/>
      <c r="C138" s="12" t="s">
        <v>683</v>
      </c>
      <c r="D138" s="25" t="b">
        <v>0</v>
      </c>
      <c r="E138" s="33"/>
      <c r="F138" s="26" t="s">
        <v>56</v>
      </c>
      <c r="G138" s="6" t="s">
        <v>56</v>
      </c>
      <c r="H138" s="6" t="s">
        <v>684</v>
      </c>
      <c r="I138" s="18"/>
      <c r="J138" s="18"/>
      <c r="K138" s="18"/>
      <c r="L138" s="18"/>
      <c r="M138" s="18"/>
      <c r="N138" s="18"/>
      <c r="O138" s="18"/>
      <c r="P138" s="18"/>
      <c r="Q138" s="18"/>
      <c r="R138" s="29" t="str">
        <f>HYPERLINK("http://en.wikipedia.org/wiki/Richard_Dansky","Richard Dansky")</f>
        <v>Richard Dansky</v>
      </c>
      <c r="S138" s="18"/>
      <c r="T138" s="18"/>
      <c r="U138" s="18"/>
      <c r="V138" s="18"/>
      <c r="W138" s="18"/>
      <c r="X138" s="18"/>
      <c r="Y138" s="18"/>
      <c r="Z138" s="18"/>
      <c r="AA138" s="18"/>
      <c r="AB138" s="18"/>
      <c r="AC138" s="18"/>
      <c r="AD138" s="18"/>
      <c r="AE138" s="6" t="s">
        <v>685</v>
      </c>
      <c r="AF138" s="6" t="s">
        <v>686</v>
      </c>
      <c r="AG138" s="6"/>
      <c r="AH138" s="6">
        <v>1994.0</v>
      </c>
      <c r="AI138" s="18"/>
      <c r="AJ138" s="18"/>
      <c r="AK138" s="18"/>
      <c r="AL138" s="18"/>
      <c r="AM138" s="18"/>
      <c r="AN138" s="18"/>
      <c r="AO138" s="18"/>
      <c r="AP138" s="18"/>
      <c r="AQ138" s="18"/>
      <c r="AR138" s="18"/>
      <c r="AS138" s="18"/>
      <c r="AT138" s="18"/>
      <c r="AU138" s="18"/>
      <c r="AV138" s="18"/>
      <c r="AW138" s="18"/>
      <c r="AX138" s="18"/>
      <c r="AY138" s="18"/>
      <c r="AZ138" s="18"/>
      <c r="BA138" s="18"/>
    </row>
    <row r="139">
      <c r="A139" s="37" t="s">
        <v>650</v>
      </c>
      <c r="B139" s="38"/>
      <c r="C139" s="37" t="s">
        <v>232</v>
      </c>
      <c r="D139" s="25" t="b">
        <v>0</v>
      </c>
      <c r="E139" s="33"/>
      <c r="F139" s="34"/>
      <c r="G139" s="6"/>
      <c r="H139" s="6"/>
      <c r="I139" s="18"/>
      <c r="J139" s="18"/>
      <c r="K139" s="18"/>
      <c r="L139" s="18"/>
      <c r="M139" s="18"/>
      <c r="N139" s="18"/>
      <c r="O139" s="18"/>
      <c r="P139" s="18"/>
      <c r="Q139" s="18"/>
      <c r="R139" s="18"/>
      <c r="S139" s="18"/>
      <c r="T139" s="18"/>
      <c r="U139" s="18"/>
      <c r="V139" s="18"/>
      <c r="W139" s="18"/>
      <c r="X139" s="18"/>
      <c r="Y139" s="18"/>
      <c r="Z139" s="18"/>
      <c r="AA139" s="18"/>
      <c r="AB139" s="27"/>
      <c r="AC139" s="18"/>
      <c r="AD139" s="18"/>
      <c r="AE139" s="6"/>
      <c r="AF139" s="6"/>
      <c r="AG139" s="6"/>
      <c r="AH139" s="18"/>
      <c r="AI139" s="18"/>
      <c r="AJ139" s="18"/>
      <c r="AK139" s="6"/>
      <c r="AL139" s="6"/>
      <c r="AM139" s="6"/>
      <c r="AN139" s="18"/>
      <c r="AO139" s="18"/>
      <c r="AP139" s="18"/>
      <c r="AQ139" s="18"/>
      <c r="AR139" s="18"/>
      <c r="AS139" s="18"/>
      <c r="AT139" s="18"/>
      <c r="AU139" s="18"/>
      <c r="AV139" s="18"/>
      <c r="AW139" s="18"/>
      <c r="AX139" s="18"/>
      <c r="AY139" s="18"/>
      <c r="AZ139" s="18"/>
      <c r="BA139" s="18"/>
    </row>
    <row r="140">
      <c r="A140" s="37" t="s">
        <v>687</v>
      </c>
      <c r="B140" s="38"/>
      <c r="C140" s="37" t="s">
        <v>688</v>
      </c>
      <c r="D140" s="25" t="b">
        <v>0</v>
      </c>
      <c r="E140" s="25"/>
      <c r="F140" s="34"/>
      <c r="G140" s="6"/>
      <c r="H140" s="6"/>
      <c r="I140" s="18"/>
      <c r="J140" s="18"/>
      <c r="K140" s="18"/>
      <c r="L140" s="18"/>
      <c r="M140" s="18"/>
      <c r="N140" s="18"/>
      <c r="O140" s="18"/>
      <c r="P140" s="18"/>
      <c r="Q140" s="18"/>
      <c r="R140" s="36"/>
      <c r="S140" s="18"/>
      <c r="T140" s="18"/>
      <c r="U140" s="18"/>
      <c r="V140" s="18"/>
      <c r="W140" s="18"/>
      <c r="X140" s="18"/>
      <c r="Y140" s="18"/>
      <c r="Z140" s="18"/>
      <c r="AA140" s="18"/>
      <c r="AB140" s="27"/>
      <c r="AC140" s="18"/>
      <c r="AD140" s="18"/>
      <c r="AE140" s="6"/>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row>
    <row r="141">
      <c r="A141" s="37" t="s">
        <v>689</v>
      </c>
      <c r="B141" s="38"/>
      <c r="C141" s="37" t="s">
        <v>232</v>
      </c>
      <c r="D141" s="25" t="b">
        <v>0</v>
      </c>
      <c r="E141" s="33"/>
      <c r="F141" s="34"/>
      <c r="G141" s="6" t="s">
        <v>56</v>
      </c>
      <c r="H141" s="6" t="s">
        <v>690</v>
      </c>
      <c r="I141" s="6">
        <v>1991.0</v>
      </c>
      <c r="J141" s="18"/>
      <c r="K141" s="18"/>
      <c r="L141" s="18"/>
      <c r="M141" s="18"/>
      <c r="N141" s="18"/>
      <c r="O141" s="18"/>
      <c r="P141" s="18"/>
      <c r="Q141" s="18"/>
      <c r="R141" s="18"/>
      <c r="S141" s="18"/>
      <c r="T141" s="18"/>
      <c r="U141" s="18"/>
      <c r="V141" s="18"/>
      <c r="W141" s="18"/>
      <c r="X141" s="18"/>
      <c r="Y141" s="18"/>
      <c r="Z141" s="18"/>
      <c r="AA141" s="18"/>
      <c r="AB141" s="18"/>
      <c r="AC141" s="18"/>
      <c r="AD141" s="18"/>
      <c r="AE141" s="6" t="s">
        <v>691</v>
      </c>
      <c r="AF141" s="6" t="s">
        <v>692</v>
      </c>
      <c r="AG141" s="6"/>
      <c r="AH141" s="6">
        <v>1991.0</v>
      </c>
      <c r="AI141" s="18"/>
      <c r="AJ141" s="18"/>
      <c r="AK141" s="18"/>
      <c r="AL141" s="18"/>
      <c r="AM141" s="18"/>
      <c r="AN141" s="18"/>
      <c r="AO141" s="18"/>
      <c r="AP141" s="18"/>
      <c r="AQ141" s="18"/>
      <c r="AR141" s="18"/>
      <c r="AS141" s="18"/>
      <c r="AT141" s="18"/>
      <c r="AU141" s="18"/>
      <c r="AV141" s="18"/>
      <c r="AW141" s="18"/>
      <c r="AX141" s="18"/>
      <c r="AY141" s="18"/>
      <c r="AZ141" s="18"/>
      <c r="BA141" s="18"/>
    </row>
    <row r="142">
      <c r="A142" s="2" t="s">
        <v>693</v>
      </c>
      <c r="B142" s="19" t="s">
        <v>614</v>
      </c>
      <c r="C142" s="20" t="s">
        <v>232</v>
      </c>
      <c r="D142" s="25" t="b">
        <v>0</v>
      </c>
      <c r="E142" s="33"/>
      <c r="F142" s="34"/>
      <c r="G142" s="6" t="s">
        <v>56</v>
      </c>
      <c r="H142" s="6" t="s">
        <v>694</v>
      </c>
      <c r="I142" s="6">
        <v>1980.0</v>
      </c>
      <c r="J142" s="18"/>
      <c r="K142" s="18"/>
      <c r="L142" s="18"/>
      <c r="M142" s="18"/>
      <c r="N142" s="18"/>
      <c r="O142" s="18"/>
      <c r="P142" s="18"/>
      <c r="Q142" s="18"/>
      <c r="R142" s="18"/>
      <c r="S142" s="18"/>
      <c r="T142" s="18"/>
      <c r="U142" s="18"/>
      <c r="V142" s="18"/>
      <c r="W142" s="18"/>
      <c r="X142" s="18"/>
      <c r="Y142" s="18"/>
      <c r="Z142" s="18"/>
      <c r="AA142" s="18"/>
      <c r="AB142" s="18"/>
      <c r="AC142" s="18"/>
      <c r="AD142" s="18"/>
      <c r="AE142" s="6" t="s">
        <v>694</v>
      </c>
      <c r="AF142" s="6" t="s">
        <v>695</v>
      </c>
      <c r="AG142" s="6"/>
      <c r="AH142" s="6">
        <v>1981.0</v>
      </c>
      <c r="AI142" s="18"/>
      <c r="AJ142" s="18"/>
      <c r="AK142" s="18"/>
      <c r="AL142" s="18"/>
      <c r="AM142" s="18"/>
      <c r="AN142" s="18"/>
      <c r="AO142" s="18"/>
      <c r="AP142" s="18"/>
      <c r="AQ142" s="18"/>
      <c r="AR142" s="18"/>
      <c r="AS142" s="18"/>
      <c r="AT142" s="18"/>
      <c r="AU142" s="18"/>
      <c r="AV142" s="18"/>
      <c r="AW142" s="18"/>
      <c r="AX142" s="18"/>
      <c r="AY142" s="18"/>
      <c r="AZ142" s="18"/>
      <c r="BA142" s="18"/>
    </row>
    <row r="143">
      <c r="A143" s="6" t="s">
        <v>425</v>
      </c>
      <c r="B143" s="18"/>
      <c r="C143" s="6" t="s">
        <v>696</v>
      </c>
      <c r="D143" s="25" t="b">
        <v>0</v>
      </c>
      <c r="E143" s="25">
        <v>1926.0</v>
      </c>
      <c r="F143" s="26">
        <v>2015.0</v>
      </c>
      <c r="G143" s="40" t="s">
        <v>697</v>
      </c>
      <c r="H143" s="6" t="s">
        <v>698</v>
      </c>
      <c r="I143" s="6">
        <v>1949.0</v>
      </c>
      <c r="J143" s="18"/>
      <c r="K143" s="18"/>
      <c r="L143" s="18"/>
      <c r="M143" s="18"/>
      <c r="N143" s="18"/>
      <c r="O143" s="18"/>
      <c r="P143" s="18"/>
      <c r="Q143" s="40" t="s">
        <v>699</v>
      </c>
      <c r="R143" s="6" t="s">
        <v>700</v>
      </c>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row>
    <row r="144">
      <c r="A144" s="6" t="s">
        <v>285</v>
      </c>
      <c r="B144" s="18"/>
      <c r="C144" s="6" t="s">
        <v>701</v>
      </c>
      <c r="D144" s="25" t="b">
        <v>0</v>
      </c>
      <c r="E144" s="25">
        <v>1916.0</v>
      </c>
      <c r="F144" s="26">
        <v>2011.0</v>
      </c>
      <c r="G144" s="18"/>
      <c r="H144" s="6" t="s">
        <v>702</v>
      </c>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row>
    <row r="145">
      <c r="A145" s="6" t="s">
        <v>703</v>
      </c>
      <c r="B145" s="18"/>
      <c r="C145" s="6" t="s">
        <v>701</v>
      </c>
      <c r="D145" s="25" t="b">
        <v>0</v>
      </c>
      <c r="E145" s="33"/>
      <c r="F145" s="34"/>
      <c r="G145" s="18"/>
      <c r="H145" s="6" t="s">
        <v>702</v>
      </c>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row>
    <row r="146">
      <c r="A146" s="18"/>
      <c r="B146" s="18"/>
      <c r="C146" s="18"/>
      <c r="D146" s="33"/>
      <c r="E146" s="33"/>
      <c r="F146" s="34"/>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row>
    <row r="147">
      <c r="A147" s="18"/>
      <c r="B147" s="18"/>
      <c r="C147" s="18"/>
      <c r="D147" s="33"/>
      <c r="E147" s="33"/>
      <c r="F147" s="34"/>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row>
    <row r="148">
      <c r="A148" s="18"/>
      <c r="B148" s="18"/>
      <c r="C148" s="18"/>
      <c r="D148" s="33"/>
      <c r="E148" s="33"/>
      <c r="F148" s="34"/>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row>
    <row r="149">
      <c r="A149" s="18"/>
      <c r="B149" s="18"/>
      <c r="C149" s="18"/>
      <c r="D149" s="33"/>
      <c r="E149" s="33"/>
      <c r="F149" s="34"/>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row>
    <row r="150">
      <c r="A150" s="18"/>
      <c r="B150" s="18"/>
      <c r="C150" s="18"/>
      <c r="D150" s="33"/>
      <c r="E150" s="33"/>
      <c r="F150" s="34"/>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row>
    <row r="151">
      <c r="A151" s="18"/>
      <c r="B151" s="18"/>
      <c r="C151" s="18"/>
      <c r="D151" s="33"/>
      <c r="E151" s="33"/>
      <c r="F151" s="34"/>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row>
    <row r="152">
      <c r="A152" s="18"/>
      <c r="B152" s="18"/>
      <c r="C152" s="18"/>
      <c r="D152" s="33"/>
      <c r="E152" s="33"/>
      <c r="F152" s="34"/>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row>
    <row r="153">
      <c r="A153" s="18"/>
      <c r="B153" s="18"/>
      <c r="C153" s="18"/>
      <c r="D153" s="33"/>
      <c r="E153" s="33"/>
      <c r="F153" s="34"/>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row>
    <row r="154">
      <c r="A154" s="18"/>
      <c r="B154" s="18"/>
      <c r="C154" s="18"/>
      <c r="D154" s="33"/>
      <c r="E154" s="33"/>
      <c r="F154" s="34"/>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row>
    <row r="155">
      <c r="A155" s="18"/>
      <c r="B155" s="18"/>
      <c r="C155" s="18"/>
      <c r="D155" s="33"/>
      <c r="E155" s="33"/>
      <c r="F155" s="34"/>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row>
    <row r="156">
      <c r="A156" s="18"/>
      <c r="B156" s="18"/>
      <c r="C156" s="18"/>
      <c r="D156" s="33"/>
      <c r="E156" s="33"/>
      <c r="F156" s="34"/>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row>
    <row r="157">
      <c r="A157" s="18"/>
      <c r="B157" s="18"/>
      <c r="C157" s="18"/>
      <c r="D157" s="33"/>
      <c r="E157" s="33"/>
      <c r="F157" s="34"/>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row>
    <row r="158">
      <c r="A158" s="18"/>
      <c r="B158" s="18"/>
      <c r="C158" s="18"/>
      <c r="D158" s="33"/>
      <c r="E158" s="33"/>
      <c r="F158" s="34"/>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row>
    <row r="159">
      <c r="A159" s="18"/>
      <c r="B159" s="18"/>
      <c r="C159" s="18"/>
      <c r="D159" s="33"/>
      <c r="E159" s="33"/>
      <c r="F159" s="34"/>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row>
    <row r="160">
      <c r="A160" s="18"/>
      <c r="B160" s="18"/>
      <c r="C160" s="18"/>
      <c r="D160" s="33"/>
      <c r="E160" s="33"/>
      <c r="F160" s="34"/>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row>
    <row r="161">
      <c r="A161" s="18"/>
      <c r="B161" s="18"/>
      <c r="C161" s="18"/>
      <c r="D161" s="33"/>
      <c r="E161" s="33"/>
      <c r="F161" s="34"/>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row>
    <row r="162">
      <c r="A162" s="18"/>
      <c r="B162" s="18"/>
      <c r="C162" s="18"/>
      <c r="D162" s="33"/>
      <c r="E162" s="33"/>
      <c r="F162" s="34"/>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row>
    <row r="163">
      <c r="A163" s="18"/>
      <c r="B163" s="18"/>
      <c r="C163" s="18"/>
      <c r="D163" s="33"/>
      <c r="E163" s="33"/>
      <c r="F163" s="34"/>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row>
    <row r="164">
      <c r="A164" s="18"/>
      <c r="B164" s="18"/>
      <c r="C164" s="18"/>
      <c r="D164" s="33"/>
      <c r="E164" s="33"/>
      <c r="F164" s="34"/>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row>
    <row r="165">
      <c r="A165" s="18"/>
      <c r="B165" s="18"/>
      <c r="C165" s="18"/>
      <c r="D165" s="33"/>
      <c r="E165" s="33"/>
      <c r="F165" s="34"/>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row>
    <row r="166">
      <c r="A166" s="18"/>
      <c r="B166" s="18"/>
      <c r="C166" s="18"/>
      <c r="D166" s="33"/>
      <c r="E166" s="33"/>
      <c r="F166" s="34"/>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row>
    <row r="167">
      <c r="A167" s="18"/>
      <c r="B167" s="18"/>
      <c r="C167" s="18"/>
      <c r="D167" s="33"/>
      <c r="E167" s="33"/>
      <c r="F167" s="34"/>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row>
    <row r="168">
      <c r="A168" s="18"/>
      <c r="B168" s="18"/>
      <c r="C168" s="18"/>
      <c r="D168" s="33"/>
      <c r="E168" s="33"/>
      <c r="F168" s="34"/>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row>
    <row r="169">
      <c r="A169" s="18"/>
      <c r="B169" s="18"/>
      <c r="C169" s="18"/>
      <c r="D169" s="33"/>
      <c r="E169" s="33"/>
      <c r="F169" s="34"/>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row>
    <row r="170">
      <c r="A170" s="18"/>
      <c r="B170" s="18"/>
      <c r="C170" s="18"/>
      <c r="D170" s="33"/>
      <c r="E170" s="33"/>
      <c r="F170" s="34"/>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row>
    <row r="171">
      <c r="A171" s="18"/>
      <c r="B171" s="18"/>
      <c r="C171" s="18"/>
      <c r="D171" s="33"/>
      <c r="E171" s="33"/>
      <c r="F171" s="34"/>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row>
    <row r="172">
      <c r="A172" s="18"/>
      <c r="B172" s="18"/>
      <c r="C172" s="18"/>
      <c r="D172" s="33"/>
      <c r="E172" s="33"/>
      <c r="F172" s="34"/>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row>
    <row r="173">
      <c r="A173" s="18"/>
      <c r="B173" s="18"/>
      <c r="C173" s="18"/>
      <c r="D173" s="33"/>
      <c r="E173" s="33"/>
      <c r="F173" s="34"/>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row>
    <row r="174">
      <c r="A174" s="18"/>
      <c r="B174" s="18"/>
      <c r="C174" s="18"/>
      <c r="D174" s="33"/>
      <c r="E174" s="33"/>
      <c r="F174" s="34"/>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row>
    <row r="175">
      <c r="A175" s="18"/>
      <c r="B175" s="18"/>
      <c r="C175" s="18"/>
      <c r="D175" s="33"/>
      <c r="E175" s="33"/>
      <c r="F175" s="34"/>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row>
    <row r="176">
      <c r="A176" s="18"/>
      <c r="B176" s="18"/>
      <c r="C176" s="18"/>
      <c r="D176" s="33"/>
      <c r="E176" s="33"/>
      <c r="F176" s="34"/>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row>
    <row r="177">
      <c r="A177" s="18"/>
      <c r="B177" s="18"/>
      <c r="C177" s="18"/>
      <c r="D177" s="33"/>
      <c r="E177" s="33"/>
      <c r="F177" s="34"/>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row>
    <row r="178">
      <c r="A178" s="18"/>
      <c r="B178" s="18"/>
      <c r="C178" s="18"/>
      <c r="D178" s="33"/>
      <c r="E178" s="33"/>
      <c r="F178" s="34"/>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row>
    <row r="179">
      <c r="A179" s="18"/>
      <c r="B179" s="18"/>
      <c r="C179" s="18"/>
      <c r="D179" s="33"/>
      <c r="E179" s="33"/>
      <c r="F179" s="34"/>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row>
    <row r="180">
      <c r="A180" s="18"/>
      <c r="B180" s="18"/>
      <c r="C180" s="18"/>
      <c r="D180" s="33"/>
      <c r="E180" s="33"/>
      <c r="F180" s="34"/>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row>
    <row r="181">
      <c r="A181" s="18"/>
      <c r="B181" s="18"/>
      <c r="C181" s="18"/>
      <c r="D181" s="33"/>
      <c r="E181" s="33"/>
      <c r="F181" s="34"/>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row>
    <row r="182">
      <c r="A182" s="18"/>
      <c r="B182" s="18"/>
      <c r="C182" s="18"/>
      <c r="D182" s="33"/>
      <c r="E182" s="33"/>
      <c r="F182" s="34"/>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row>
    <row r="183">
      <c r="A183" s="18"/>
      <c r="B183" s="18"/>
      <c r="C183" s="18"/>
      <c r="D183" s="33"/>
      <c r="E183" s="33"/>
      <c r="F183" s="34"/>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row>
    <row r="184">
      <c r="A184" s="18"/>
      <c r="B184" s="18"/>
      <c r="C184" s="18"/>
      <c r="D184" s="33"/>
      <c r="E184" s="33"/>
      <c r="F184" s="34"/>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row>
    <row r="185">
      <c r="A185" s="18"/>
      <c r="B185" s="18"/>
      <c r="C185" s="18"/>
      <c r="D185" s="33"/>
      <c r="E185" s="33"/>
      <c r="F185" s="34"/>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row>
    <row r="186">
      <c r="A186" s="18"/>
      <c r="B186" s="18"/>
      <c r="C186" s="18"/>
      <c r="D186" s="33"/>
      <c r="E186" s="33"/>
      <c r="F186" s="34"/>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row>
    <row r="187">
      <c r="A187" s="18"/>
      <c r="B187" s="18"/>
      <c r="C187" s="18"/>
      <c r="D187" s="33"/>
      <c r="E187" s="33"/>
      <c r="F187" s="34"/>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row>
    <row r="188">
      <c r="A188" s="18"/>
      <c r="B188" s="18"/>
      <c r="C188" s="18"/>
      <c r="D188" s="33"/>
      <c r="E188" s="33"/>
      <c r="F188" s="34"/>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row>
    <row r="189">
      <c r="A189" s="18"/>
      <c r="B189" s="18"/>
      <c r="C189" s="18"/>
      <c r="D189" s="33"/>
      <c r="E189" s="33"/>
      <c r="F189" s="34"/>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row>
    <row r="190">
      <c r="A190" s="18"/>
      <c r="B190" s="18"/>
      <c r="C190" s="18"/>
      <c r="D190" s="33"/>
      <c r="E190" s="33"/>
      <c r="F190" s="34"/>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row>
    <row r="191">
      <c r="A191" s="18"/>
      <c r="B191" s="18"/>
      <c r="C191" s="18"/>
      <c r="D191" s="33"/>
      <c r="E191" s="33"/>
      <c r="F191" s="34"/>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row>
    <row r="192">
      <c r="A192" s="18"/>
      <c r="B192" s="18"/>
      <c r="C192" s="18"/>
      <c r="D192" s="33"/>
      <c r="E192" s="33"/>
      <c r="F192" s="34"/>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row>
    <row r="193">
      <c r="A193" s="18"/>
      <c r="B193" s="18"/>
      <c r="C193" s="18"/>
      <c r="D193" s="33"/>
      <c r="E193" s="33"/>
      <c r="F193" s="34"/>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row>
    <row r="194">
      <c r="A194" s="18"/>
      <c r="B194" s="18"/>
      <c r="C194" s="18"/>
      <c r="D194" s="33"/>
      <c r="E194" s="33"/>
      <c r="F194" s="34"/>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row>
    <row r="195">
      <c r="A195" s="18"/>
      <c r="B195" s="18"/>
      <c r="C195" s="18"/>
      <c r="D195" s="33"/>
      <c r="E195" s="33"/>
      <c r="F195" s="34"/>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row>
    <row r="196">
      <c r="A196" s="18"/>
      <c r="B196" s="18"/>
      <c r="C196" s="18"/>
      <c r="D196" s="33"/>
      <c r="E196" s="33"/>
      <c r="F196" s="34"/>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row>
    <row r="197">
      <c r="A197" s="18"/>
      <c r="B197" s="18"/>
      <c r="C197" s="18"/>
      <c r="D197" s="33"/>
      <c r="E197" s="33"/>
      <c r="F197" s="34"/>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row>
    <row r="198">
      <c r="A198" s="18"/>
      <c r="B198" s="18"/>
      <c r="C198" s="18"/>
      <c r="D198" s="33"/>
      <c r="E198" s="33"/>
      <c r="F198" s="34"/>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row>
    <row r="199">
      <c r="A199" s="18"/>
      <c r="B199" s="18"/>
      <c r="C199" s="18"/>
      <c r="D199" s="33"/>
      <c r="E199" s="33"/>
      <c r="F199" s="34"/>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row>
    <row r="200">
      <c r="A200" s="18"/>
      <c r="B200" s="18"/>
      <c r="C200" s="18"/>
      <c r="D200" s="33"/>
      <c r="E200" s="33"/>
      <c r="F200" s="34"/>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row>
    <row r="201">
      <c r="A201" s="18"/>
      <c r="B201" s="18"/>
      <c r="C201" s="18"/>
      <c r="D201" s="33"/>
      <c r="E201" s="33"/>
      <c r="F201" s="34"/>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row>
    <row r="202">
      <c r="A202" s="18"/>
      <c r="B202" s="18"/>
      <c r="C202" s="18"/>
      <c r="D202" s="33"/>
      <c r="E202" s="33"/>
      <c r="F202" s="34"/>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row>
    <row r="203">
      <c r="A203" s="18"/>
      <c r="B203" s="18"/>
      <c r="C203" s="18"/>
      <c r="D203" s="33"/>
      <c r="E203" s="33"/>
      <c r="F203" s="34"/>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row>
    <row r="204">
      <c r="A204" s="18"/>
      <c r="B204" s="18"/>
      <c r="C204" s="18"/>
      <c r="D204" s="33"/>
      <c r="E204" s="33"/>
      <c r="F204" s="34"/>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row>
    <row r="205">
      <c r="A205" s="18"/>
      <c r="B205" s="18"/>
      <c r="C205" s="18"/>
      <c r="D205" s="33"/>
      <c r="E205" s="33"/>
      <c r="F205" s="34"/>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row>
    <row r="206">
      <c r="A206" s="18"/>
      <c r="B206" s="18"/>
      <c r="C206" s="18"/>
      <c r="D206" s="33"/>
      <c r="E206" s="33"/>
      <c r="F206" s="34"/>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row>
    <row r="207">
      <c r="A207" s="18"/>
      <c r="B207" s="18"/>
      <c r="C207" s="18"/>
      <c r="D207" s="33"/>
      <c r="E207" s="33"/>
      <c r="F207" s="34"/>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row>
    <row r="208">
      <c r="A208" s="18"/>
      <c r="B208" s="18"/>
      <c r="C208" s="18"/>
      <c r="D208" s="33"/>
      <c r="E208" s="33"/>
      <c r="F208" s="34"/>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row>
    <row r="209">
      <c r="A209" s="18"/>
      <c r="B209" s="18"/>
      <c r="C209" s="18"/>
      <c r="D209" s="33"/>
      <c r="E209" s="33"/>
      <c r="F209" s="34"/>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row>
    <row r="210">
      <c r="A210" s="18"/>
      <c r="B210" s="18"/>
      <c r="C210" s="18"/>
      <c r="D210" s="33"/>
      <c r="E210" s="33"/>
      <c r="F210" s="34"/>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row>
    <row r="211">
      <c r="A211" s="18"/>
      <c r="B211" s="18"/>
      <c r="C211" s="18"/>
      <c r="D211" s="33"/>
      <c r="E211" s="33"/>
      <c r="F211" s="34"/>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row>
    <row r="212">
      <c r="A212" s="18"/>
      <c r="B212" s="18"/>
      <c r="C212" s="18"/>
      <c r="D212" s="33"/>
      <c r="E212" s="33"/>
      <c r="F212" s="34"/>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row>
    <row r="213">
      <c r="A213" s="18"/>
      <c r="B213" s="18"/>
      <c r="C213" s="18"/>
      <c r="D213" s="33"/>
      <c r="E213" s="33"/>
      <c r="F213" s="34"/>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row>
    <row r="214">
      <c r="A214" s="18"/>
      <c r="B214" s="18"/>
      <c r="C214" s="18"/>
      <c r="D214" s="33"/>
      <c r="E214" s="33"/>
      <c r="F214" s="34"/>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row>
    <row r="215">
      <c r="A215" s="18"/>
      <c r="B215" s="18"/>
      <c r="C215" s="18"/>
      <c r="D215" s="33"/>
      <c r="E215" s="33"/>
      <c r="F215" s="34"/>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row>
    <row r="216">
      <c r="A216" s="18"/>
      <c r="B216" s="18"/>
      <c r="C216" s="18"/>
      <c r="D216" s="33"/>
      <c r="E216" s="33"/>
      <c r="F216" s="34"/>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row>
    <row r="217">
      <c r="A217" s="18"/>
      <c r="B217" s="18"/>
      <c r="C217" s="18"/>
      <c r="D217" s="33"/>
      <c r="E217" s="33"/>
      <c r="F217" s="34"/>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row>
    <row r="218">
      <c r="A218" s="18"/>
      <c r="B218" s="18"/>
      <c r="C218" s="18"/>
      <c r="D218" s="33"/>
      <c r="E218" s="33"/>
      <c r="F218" s="34"/>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row>
    <row r="219">
      <c r="A219" s="18"/>
      <c r="B219" s="18"/>
      <c r="C219" s="18"/>
      <c r="D219" s="33"/>
      <c r="E219" s="33"/>
      <c r="F219" s="34"/>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row>
    <row r="220">
      <c r="A220" s="18"/>
      <c r="B220" s="18"/>
      <c r="C220" s="18"/>
      <c r="D220" s="33"/>
      <c r="E220" s="33"/>
      <c r="F220" s="34"/>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row>
    <row r="221">
      <c r="A221" s="18"/>
      <c r="B221" s="18"/>
      <c r="C221" s="18"/>
      <c r="D221" s="33"/>
      <c r="E221" s="33"/>
      <c r="F221" s="34"/>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row>
    <row r="222">
      <c r="A222" s="18"/>
      <c r="B222" s="18"/>
      <c r="C222" s="18"/>
      <c r="D222" s="33"/>
      <c r="E222" s="33"/>
      <c r="F222" s="34"/>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row>
    <row r="223">
      <c r="A223" s="18"/>
      <c r="B223" s="18"/>
      <c r="C223" s="18"/>
      <c r="D223" s="33"/>
      <c r="E223" s="33"/>
      <c r="F223" s="34"/>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row>
    <row r="224">
      <c r="A224" s="18"/>
      <c r="B224" s="18"/>
      <c r="C224" s="18"/>
      <c r="D224" s="33"/>
      <c r="E224" s="33"/>
      <c r="F224" s="34"/>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row>
    <row r="225">
      <c r="A225" s="18"/>
      <c r="B225" s="18"/>
      <c r="C225" s="18"/>
      <c r="D225" s="33"/>
      <c r="E225" s="33"/>
      <c r="F225" s="34"/>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row>
    <row r="226">
      <c r="A226" s="18"/>
      <c r="B226" s="18"/>
      <c r="C226" s="18"/>
      <c r="D226" s="33"/>
      <c r="E226" s="33"/>
      <c r="F226" s="34"/>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row>
    <row r="227">
      <c r="A227" s="18"/>
      <c r="B227" s="18"/>
      <c r="C227" s="18"/>
      <c r="D227" s="33"/>
      <c r="E227" s="33"/>
      <c r="F227" s="34"/>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row>
    <row r="228">
      <c r="A228" s="18"/>
      <c r="B228" s="18"/>
      <c r="C228" s="18"/>
      <c r="D228" s="33"/>
      <c r="E228" s="33"/>
      <c r="F228" s="34"/>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row>
    <row r="229">
      <c r="A229" s="18"/>
      <c r="B229" s="18"/>
      <c r="C229" s="18"/>
      <c r="D229" s="33"/>
      <c r="E229" s="33"/>
      <c r="F229" s="34"/>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row>
    <row r="230">
      <c r="A230" s="18"/>
      <c r="B230" s="18"/>
      <c r="C230" s="18"/>
      <c r="D230" s="33"/>
      <c r="E230" s="33"/>
      <c r="F230" s="34"/>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row>
    <row r="231">
      <c r="A231" s="18"/>
      <c r="B231" s="18"/>
      <c r="C231" s="18"/>
      <c r="D231" s="33"/>
      <c r="E231" s="33"/>
      <c r="F231" s="34"/>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row>
    <row r="232">
      <c r="A232" s="18"/>
      <c r="B232" s="18"/>
      <c r="C232" s="18"/>
      <c r="D232" s="33"/>
      <c r="E232" s="33"/>
      <c r="F232" s="34"/>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row>
    <row r="233">
      <c r="A233" s="18"/>
      <c r="B233" s="18"/>
      <c r="C233" s="18"/>
      <c r="D233" s="33"/>
      <c r="E233" s="33"/>
      <c r="F233" s="34"/>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row>
    <row r="234">
      <c r="A234" s="18"/>
      <c r="B234" s="18"/>
      <c r="C234" s="18"/>
      <c r="D234" s="33"/>
      <c r="E234" s="33"/>
      <c r="F234" s="34"/>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row>
    <row r="235">
      <c r="A235" s="18"/>
      <c r="B235" s="18"/>
      <c r="C235" s="18"/>
      <c r="D235" s="33"/>
      <c r="E235" s="33"/>
      <c r="F235" s="34"/>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row>
    <row r="236">
      <c r="A236" s="18"/>
      <c r="B236" s="18"/>
      <c r="C236" s="18"/>
      <c r="D236" s="33"/>
      <c r="E236" s="33"/>
      <c r="F236" s="34"/>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row>
    <row r="237">
      <c r="A237" s="18"/>
      <c r="B237" s="18"/>
      <c r="C237" s="18"/>
      <c r="D237" s="33"/>
      <c r="E237" s="33"/>
      <c r="F237" s="34"/>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row>
    <row r="238">
      <c r="A238" s="18"/>
      <c r="B238" s="18"/>
      <c r="C238" s="18"/>
      <c r="D238" s="33"/>
      <c r="E238" s="33"/>
      <c r="F238" s="34"/>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row>
    <row r="239">
      <c r="A239" s="18"/>
      <c r="B239" s="18"/>
      <c r="C239" s="18"/>
      <c r="D239" s="33"/>
      <c r="E239" s="33"/>
      <c r="F239" s="34"/>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row>
    <row r="240">
      <c r="A240" s="18"/>
      <c r="B240" s="18"/>
      <c r="C240" s="18"/>
      <c r="D240" s="33"/>
      <c r="E240" s="33"/>
      <c r="F240" s="34"/>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row>
    <row r="241">
      <c r="A241" s="18"/>
      <c r="B241" s="18"/>
      <c r="C241" s="18"/>
      <c r="D241" s="33"/>
      <c r="E241" s="33"/>
      <c r="F241" s="34"/>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row>
    <row r="242">
      <c r="A242" s="18"/>
      <c r="B242" s="18"/>
      <c r="C242" s="18"/>
      <c r="D242" s="33"/>
      <c r="E242" s="33"/>
      <c r="F242" s="34"/>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row>
    <row r="243">
      <c r="A243" s="18"/>
      <c r="B243" s="18"/>
      <c r="C243" s="18"/>
      <c r="D243" s="33"/>
      <c r="E243" s="33"/>
      <c r="F243" s="34"/>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row>
    <row r="244">
      <c r="A244" s="18"/>
      <c r="B244" s="18"/>
      <c r="C244" s="18"/>
      <c r="D244" s="33"/>
      <c r="E244" s="33"/>
      <c r="F244" s="34"/>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row>
    <row r="245">
      <c r="A245" s="18"/>
      <c r="B245" s="18"/>
      <c r="C245" s="18"/>
      <c r="D245" s="33"/>
      <c r="E245" s="33"/>
      <c r="F245" s="34"/>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row>
    <row r="246">
      <c r="A246" s="18"/>
      <c r="B246" s="18"/>
      <c r="C246" s="18"/>
      <c r="D246" s="33"/>
      <c r="E246" s="33"/>
      <c r="F246" s="34"/>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row>
    <row r="247">
      <c r="A247" s="18"/>
      <c r="B247" s="18"/>
      <c r="C247" s="18"/>
      <c r="D247" s="33"/>
      <c r="E247" s="33"/>
      <c r="F247" s="34"/>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row>
    <row r="248">
      <c r="A248" s="18"/>
      <c r="B248" s="18"/>
      <c r="C248" s="18"/>
      <c r="D248" s="33"/>
      <c r="E248" s="33"/>
      <c r="F248" s="34"/>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row>
    <row r="249">
      <c r="A249" s="18"/>
      <c r="B249" s="18"/>
      <c r="C249" s="18"/>
      <c r="D249" s="33"/>
      <c r="E249" s="33"/>
      <c r="F249" s="34"/>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row>
    <row r="250">
      <c r="A250" s="18"/>
      <c r="B250" s="18"/>
      <c r="C250" s="18"/>
      <c r="D250" s="33"/>
      <c r="E250" s="33"/>
      <c r="F250" s="34"/>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row>
    <row r="251">
      <c r="A251" s="18"/>
      <c r="B251" s="18"/>
      <c r="C251" s="18"/>
      <c r="D251" s="33"/>
      <c r="E251" s="33"/>
      <c r="F251" s="34"/>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row>
    <row r="252">
      <c r="A252" s="18"/>
      <c r="B252" s="18"/>
      <c r="C252" s="18"/>
      <c r="D252" s="33"/>
      <c r="E252" s="33"/>
      <c r="F252" s="34"/>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row>
    <row r="253">
      <c r="A253" s="18"/>
      <c r="B253" s="18"/>
      <c r="C253" s="18"/>
      <c r="D253" s="33"/>
      <c r="E253" s="33"/>
      <c r="F253" s="34"/>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row>
    <row r="254">
      <c r="A254" s="18"/>
      <c r="B254" s="18"/>
      <c r="C254" s="18"/>
      <c r="D254" s="33"/>
      <c r="E254" s="33"/>
      <c r="F254" s="34"/>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row>
    <row r="255">
      <c r="A255" s="18"/>
      <c r="B255" s="18"/>
      <c r="C255" s="18"/>
      <c r="D255" s="33"/>
      <c r="E255" s="33"/>
      <c r="F255" s="34"/>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row>
    <row r="256">
      <c r="A256" s="18"/>
      <c r="B256" s="18"/>
      <c r="C256" s="18"/>
      <c r="D256" s="33"/>
      <c r="E256" s="33"/>
      <c r="F256" s="34"/>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row>
    <row r="257">
      <c r="A257" s="18"/>
      <c r="B257" s="18"/>
      <c r="C257" s="18"/>
      <c r="D257" s="33"/>
      <c r="E257" s="33"/>
      <c r="F257" s="34"/>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row>
    <row r="258">
      <c r="A258" s="18"/>
      <c r="B258" s="18"/>
      <c r="C258" s="18"/>
      <c r="D258" s="33"/>
      <c r="E258" s="33"/>
      <c r="F258" s="34"/>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row>
    <row r="259">
      <c r="A259" s="18"/>
      <c r="B259" s="18"/>
      <c r="C259" s="18"/>
      <c r="D259" s="33"/>
      <c r="E259" s="33"/>
      <c r="F259" s="34"/>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row>
    <row r="260">
      <c r="A260" s="18"/>
      <c r="B260" s="18"/>
      <c r="C260" s="18"/>
      <c r="D260" s="33"/>
      <c r="E260" s="33"/>
      <c r="F260" s="34"/>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row>
    <row r="261">
      <c r="A261" s="18"/>
      <c r="B261" s="18"/>
      <c r="C261" s="18"/>
      <c r="D261" s="33"/>
      <c r="E261" s="33"/>
      <c r="F261" s="34"/>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row>
    <row r="262">
      <c r="A262" s="18"/>
      <c r="B262" s="18"/>
      <c r="C262" s="18"/>
      <c r="D262" s="33"/>
      <c r="E262" s="33"/>
      <c r="F262" s="34"/>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row>
    <row r="263">
      <c r="A263" s="18"/>
      <c r="B263" s="18"/>
      <c r="C263" s="18"/>
      <c r="D263" s="33"/>
      <c r="E263" s="33"/>
      <c r="F263" s="34"/>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row>
    <row r="264">
      <c r="A264" s="18"/>
      <c r="B264" s="18"/>
      <c r="C264" s="18"/>
      <c r="D264" s="33"/>
      <c r="E264" s="33"/>
      <c r="F264" s="34"/>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row>
    <row r="265">
      <c r="A265" s="18"/>
      <c r="B265" s="18"/>
      <c r="C265" s="18"/>
      <c r="D265" s="33"/>
      <c r="E265" s="33"/>
      <c r="F265" s="34"/>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row>
    <row r="266">
      <c r="A266" s="18"/>
      <c r="B266" s="18"/>
      <c r="C266" s="18"/>
      <c r="D266" s="33"/>
      <c r="E266" s="33"/>
      <c r="F266" s="34"/>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row>
    <row r="267">
      <c r="A267" s="18"/>
      <c r="B267" s="18"/>
      <c r="C267" s="18"/>
      <c r="D267" s="33"/>
      <c r="E267" s="33"/>
      <c r="F267" s="34"/>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row>
    <row r="268">
      <c r="A268" s="18"/>
      <c r="B268" s="18"/>
      <c r="C268" s="18"/>
      <c r="D268" s="33"/>
      <c r="E268" s="33"/>
      <c r="F268" s="34"/>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row>
    <row r="269">
      <c r="A269" s="18"/>
      <c r="B269" s="18"/>
      <c r="C269" s="18"/>
      <c r="D269" s="33"/>
      <c r="E269" s="33"/>
      <c r="F269" s="34"/>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row>
    <row r="270">
      <c r="A270" s="18"/>
      <c r="B270" s="18"/>
      <c r="C270" s="18"/>
      <c r="D270" s="33"/>
      <c r="E270" s="33"/>
      <c r="F270" s="34"/>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row>
    <row r="271">
      <c r="A271" s="18"/>
      <c r="B271" s="18"/>
      <c r="C271" s="18"/>
      <c r="D271" s="33"/>
      <c r="E271" s="33"/>
      <c r="F271" s="34"/>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row>
    <row r="272">
      <c r="A272" s="18"/>
      <c r="B272" s="18"/>
      <c r="C272" s="18"/>
      <c r="D272" s="33"/>
      <c r="E272" s="33"/>
      <c r="F272" s="34"/>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row>
    <row r="273">
      <c r="A273" s="18"/>
      <c r="B273" s="18"/>
      <c r="C273" s="18"/>
      <c r="D273" s="33"/>
      <c r="E273" s="33"/>
      <c r="F273" s="34"/>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row>
    <row r="274">
      <c r="A274" s="18"/>
      <c r="B274" s="18"/>
      <c r="C274" s="18"/>
      <c r="D274" s="33"/>
      <c r="E274" s="33"/>
      <c r="F274" s="34"/>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row>
    <row r="275">
      <c r="A275" s="18"/>
      <c r="B275" s="18"/>
      <c r="C275" s="18"/>
      <c r="D275" s="33"/>
      <c r="E275" s="33"/>
      <c r="F275" s="34"/>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row>
    <row r="276">
      <c r="A276" s="18"/>
      <c r="B276" s="18"/>
      <c r="C276" s="18"/>
      <c r="D276" s="33"/>
      <c r="E276" s="33"/>
      <c r="F276" s="34"/>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row>
    <row r="277">
      <c r="A277" s="18"/>
      <c r="B277" s="18"/>
      <c r="C277" s="18"/>
      <c r="D277" s="33"/>
      <c r="E277" s="33"/>
      <c r="F277" s="34"/>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row>
    <row r="278">
      <c r="A278" s="18"/>
      <c r="B278" s="18"/>
      <c r="C278" s="18"/>
      <c r="D278" s="33"/>
      <c r="E278" s="33"/>
      <c r="F278" s="34"/>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c r="AR278" s="18"/>
      <c r="AS278" s="18"/>
      <c r="AT278" s="18"/>
      <c r="AU278" s="18"/>
      <c r="AV278" s="18"/>
      <c r="AW278" s="18"/>
      <c r="AX278" s="18"/>
      <c r="AY278" s="18"/>
      <c r="AZ278" s="18"/>
      <c r="BA278" s="18"/>
    </row>
    <row r="279">
      <c r="A279" s="18"/>
      <c r="B279" s="18"/>
      <c r="C279" s="18"/>
      <c r="D279" s="33"/>
      <c r="E279" s="33"/>
      <c r="F279" s="34"/>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row>
    <row r="280">
      <c r="A280" s="18"/>
      <c r="B280" s="18"/>
      <c r="C280" s="18"/>
      <c r="D280" s="33"/>
      <c r="E280" s="33"/>
      <c r="F280" s="34"/>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c r="AP280" s="18"/>
      <c r="AQ280" s="18"/>
      <c r="AR280" s="18"/>
      <c r="AS280" s="18"/>
      <c r="AT280" s="18"/>
      <c r="AU280" s="18"/>
      <c r="AV280" s="18"/>
      <c r="AW280" s="18"/>
      <c r="AX280" s="18"/>
      <c r="AY280" s="18"/>
      <c r="AZ280" s="18"/>
      <c r="BA280" s="18"/>
    </row>
    <row r="281">
      <c r="A281" s="18"/>
      <c r="B281" s="18"/>
      <c r="C281" s="18"/>
      <c r="D281" s="33"/>
      <c r="E281" s="33"/>
      <c r="F281" s="34"/>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18"/>
      <c r="AW281" s="18"/>
      <c r="AX281" s="18"/>
      <c r="AY281" s="18"/>
      <c r="AZ281" s="18"/>
      <c r="BA281" s="18"/>
    </row>
    <row r="282">
      <c r="A282" s="18"/>
      <c r="B282" s="18"/>
      <c r="C282" s="18"/>
      <c r="D282" s="33"/>
      <c r="E282" s="33"/>
      <c r="F282" s="34"/>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c r="AP282" s="18"/>
      <c r="AQ282" s="18"/>
      <c r="AR282" s="18"/>
      <c r="AS282" s="18"/>
      <c r="AT282" s="18"/>
      <c r="AU282" s="18"/>
      <c r="AV282" s="18"/>
      <c r="AW282" s="18"/>
      <c r="AX282" s="18"/>
      <c r="AY282" s="18"/>
      <c r="AZ282" s="18"/>
      <c r="BA282" s="18"/>
    </row>
    <row r="283">
      <c r="A283" s="18"/>
      <c r="B283" s="18"/>
      <c r="C283" s="18"/>
      <c r="D283" s="33"/>
      <c r="E283" s="33"/>
      <c r="F283" s="34"/>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row>
    <row r="284">
      <c r="A284" s="18"/>
      <c r="B284" s="18"/>
      <c r="C284" s="18"/>
      <c r="D284" s="33"/>
      <c r="E284" s="33"/>
      <c r="F284" s="34"/>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c r="AP284" s="18"/>
      <c r="AQ284" s="18"/>
      <c r="AR284" s="18"/>
      <c r="AS284" s="18"/>
      <c r="AT284" s="18"/>
      <c r="AU284" s="18"/>
      <c r="AV284" s="18"/>
      <c r="AW284" s="18"/>
      <c r="AX284" s="18"/>
      <c r="AY284" s="18"/>
      <c r="AZ284" s="18"/>
      <c r="BA284" s="18"/>
    </row>
    <row r="285">
      <c r="A285" s="18"/>
      <c r="B285" s="18"/>
      <c r="C285" s="18"/>
      <c r="D285" s="33"/>
      <c r="E285" s="33"/>
      <c r="F285" s="34"/>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18"/>
      <c r="AW285" s="18"/>
      <c r="AX285" s="18"/>
      <c r="AY285" s="18"/>
      <c r="AZ285" s="18"/>
      <c r="BA285" s="18"/>
    </row>
    <row r="286">
      <c r="A286" s="18"/>
      <c r="B286" s="18"/>
      <c r="C286" s="18"/>
      <c r="D286" s="33"/>
      <c r="E286" s="33"/>
      <c r="F286" s="34"/>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c r="AP286" s="18"/>
      <c r="AQ286" s="18"/>
      <c r="AR286" s="18"/>
      <c r="AS286" s="18"/>
      <c r="AT286" s="18"/>
      <c r="AU286" s="18"/>
      <c r="AV286" s="18"/>
      <c r="AW286" s="18"/>
      <c r="AX286" s="18"/>
      <c r="AY286" s="18"/>
      <c r="AZ286" s="18"/>
      <c r="BA286" s="18"/>
    </row>
    <row r="287">
      <c r="A287" s="18"/>
      <c r="B287" s="18"/>
      <c r="C287" s="18"/>
      <c r="D287" s="33"/>
      <c r="E287" s="33"/>
      <c r="F287" s="34"/>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18"/>
      <c r="AW287" s="18"/>
      <c r="AX287" s="18"/>
      <c r="AY287" s="18"/>
      <c r="AZ287" s="18"/>
      <c r="BA287" s="18"/>
    </row>
    <row r="288">
      <c r="A288" s="18"/>
      <c r="B288" s="18"/>
      <c r="C288" s="18"/>
      <c r="D288" s="33"/>
      <c r="E288" s="33"/>
      <c r="F288" s="34"/>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c r="AZ288" s="18"/>
      <c r="BA288" s="18"/>
    </row>
    <row r="289">
      <c r="A289" s="18"/>
      <c r="B289" s="18"/>
      <c r="C289" s="18"/>
      <c r="D289" s="33"/>
      <c r="E289" s="33"/>
      <c r="F289" s="34"/>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row>
    <row r="290">
      <c r="A290" s="18"/>
      <c r="B290" s="18"/>
      <c r="C290" s="18"/>
      <c r="D290" s="33"/>
      <c r="E290" s="33"/>
      <c r="F290" s="34"/>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c r="AP290" s="18"/>
      <c r="AQ290" s="18"/>
      <c r="AR290" s="18"/>
      <c r="AS290" s="18"/>
      <c r="AT290" s="18"/>
      <c r="AU290" s="18"/>
      <c r="AV290" s="18"/>
      <c r="AW290" s="18"/>
      <c r="AX290" s="18"/>
      <c r="AY290" s="18"/>
      <c r="AZ290" s="18"/>
      <c r="BA290" s="18"/>
    </row>
    <row r="291">
      <c r="A291" s="18"/>
      <c r="B291" s="18"/>
      <c r="C291" s="18"/>
      <c r="D291" s="33"/>
      <c r="E291" s="33"/>
      <c r="F291" s="34"/>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c r="AS291" s="18"/>
      <c r="AT291" s="18"/>
      <c r="AU291" s="18"/>
      <c r="AV291" s="18"/>
      <c r="AW291" s="18"/>
      <c r="AX291" s="18"/>
      <c r="AY291" s="18"/>
      <c r="AZ291" s="18"/>
      <c r="BA291" s="18"/>
    </row>
    <row r="292">
      <c r="A292" s="18"/>
      <c r="B292" s="18"/>
      <c r="C292" s="18"/>
      <c r="D292" s="33"/>
      <c r="E292" s="33"/>
      <c r="F292" s="34"/>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c r="AP292" s="18"/>
      <c r="AQ292" s="18"/>
      <c r="AR292" s="18"/>
      <c r="AS292" s="18"/>
      <c r="AT292" s="18"/>
      <c r="AU292" s="18"/>
      <c r="AV292" s="18"/>
      <c r="AW292" s="18"/>
      <c r="AX292" s="18"/>
      <c r="AY292" s="18"/>
      <c r="AZ292" s="18"/>
      <c r="BA292" s="18"/>
    </row>
    <row r="293">
      <c r="A293" s="18"/>
      <c r="B293" s="18"/>
      <c r="C293" s="18"/>
      <c r="D293" s="33"/>
      <c r="E293" s="33"/>
      <c r="F293" s="34"/>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row>
    <row r="294">
      <c r="A294" s="18"/>
      <c r="B294" s="18"/>
      <c r="C294" s="18"/>
      <c r="D294" s="33"/>
      <c r="E294" s="33"/>
      <c r="F294" s="34"/>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18"/>
      <c r="AQ294" s="18"/>
      <c r="AR294" s="18"/>
      <c r="AS294" s="18"/>
      <c r="AT294" s="18"/>
      <c r="AU294" s="18"/>
      <c r="AV294" s="18"/>
      <c r="AW294" s="18"/>
      <c r="AX294" s="18"/>
      <c r="AY294" s="18"/>
      <c r="AZ294" s="18"/>
      <c r="BA294" s="18"/>
    </row>
    <row r="295">
      <c r="A295" s="18"/>
      <c r="B295" s="18"/>
      <c r="C295" s="18"/>
      <c r="D295" s="33"/>
      <c r="E295" s="33"/>
      <c r="F295" s="34"/>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c r="AR295" s="18"/>
      <c r="AS295" s="18"/>
      <c r="AT295" s="18"/>
      <c r="AU295" s="18"/>
      <c r="AV295" s="18"/>
      <c r="AW295" s="18"/>
      <c r="AX295" s="18"/>
      <c r="AY295" s="18"/>
      <c r="AZ295" s="18"/>
      <c r="BA295" s="18"/>
    </row>
    <row r="296">
      <c r="A296" s="18"/>
      <c r="B296" s="18"/>
      <c r="C296" s="18"/>
      <c r="D296" s="33"/>
      <c r="E296" s="33"/>
      <c r="F296" s="34"/>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c r="AP296" s="18"/>
      <c r="AQ296" s="18"/>
      <c r="AR296" s="18"/>
      <c r="AS296" s="18"/>
      <c r="AT296" s="18"/>
      <c r="AU296" s="18"/>
      <c r="AV296" s="18"/>
      <c r="AW296" s="18"/>
      <c r="AX296" s="18"/>
      <c r="AY296" s="18"/>
      <c r="AZ296" s="18"/>
      <c r="BA296" s="18"/>
    </row>
    <row r="297">
      <c r="A297" s="18"/>
      <c r="B297" s="18"/>
      <c r="C297" s="18"/>
      <c r="D297" s="33"/>
      <c r="E297" s="33"/>
      <c r="F297" s="34"/>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row>
    <row r="298">
      <c r="A298" s="18"/>
      <c r="B298" s="18"/>
      <c r="C298" s="18"/>
      <c r="D298" s="33"/>
      <c r="E298" s="33"/>
      <c r="F298" s="34"/>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c r="AP298" s="18"/>
      <c r="AQ298" s="18"/>
      <c r="AR298" s="18"/>
      <c r="AS298" s="18"/>
      <c r="AT298" s="18"/>
      <c r="AU298" s="18"/>
      <c r="AV298" s="18"/>
      <c r="AW298" s="18"/>
      <c r="AX298" s="18"/>
      <c r="AY298" s="18"/>
      <c r="AZ298" s="18"/>
      <c r="BA298" s="18"/>
    </row>
    <row r="299">
      <c r="A299" s="18"/>
      <c r="B299" s="18"/>
      <c r="C299" s="18"/>
      <c r="D299" s="33"/>
      <c r="E299" s="33"/>
      <c r="F299" s="34"/>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row>
    <row r="300">
      <c r="A300" s="18"/>
      <c r="B300" s="18"/>
      <c r="C300" s="18"/>
      <c r="D300" s="33"/>
      <c r="E300" s="33"/>
      <c r="F300" s="34"/>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c r="AU300" s="18"/>
      <c r="AV300" s="18"/>
      <c r="AW300" s="18"/>
      <c r="AX300" s="18"/>
      <c r="AY300" s="18"/>
      <c r="AZ300" s="18"/>
      <c r="BA300" s="18"/>
    </row>
    <row r="301">
      <c r="A301" s="18"/>
      <c r="B301" s="18"/>
      <c r="C301" s="18"/>
      <c r="D301" s="33"/>
      <c r="E301" s="33"/>
      <c r="F301" s="34"/>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c r="AZ301" s="18"/>
      <c r="BA301" s="18"/>
    </row>
    <row r="302">
      <c r="A302" s="18"/>
      <c r="B302" s="18"/>
      <c r="C302" s="18"/>
      <c r="D302" s="33"/>
      <c r="E302" s="33"/>
      <c r="F302" s="34"/>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row>
    <row r="303">
      <c r="A303" s="18"/>
      <c r="B303" s="18"/>
      <c r="C303" s="18"/>
      <c r="D303" s="33"/>
      <c r="E303" s="33"/>
      <c r="F303" s="34"/>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18"/>
      <c r="AW303" s="18"/>
      <c r="AX303" s="18"/>
      <c r="AY303" s="18"/>
      <c r="AZ303" s="18"/>
      <c r="BA303" s="18"/>
    </row>
    <row r="304">
      <c r="A304" s="18"/>
      <c r="B304" s="18"/>
      <c r="C304" s="18"/>
      <c r="D304" s="33"/>
      <c r="E304" s="33"/>
      <c r="F304" s="34"/>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18"/>
      <c r="AQ304" s="18"/>
      <c r="AR304" s="18"/>
      <c r="AS304" s="18"/>
      <c r="AT304" s="18"/>
      <c r="AU304" s="18"/>
      <c r="AV304" s="18"/>
      <c r="AW304" s="18"/>
      <c r="AX304" s="18"/>
      <c r="AY304" s="18"/>
      <c r="AZ304" s="18"/>
      <c r="BA304" s="18"/>
    </row>
    <row r="305">
      <c r="A305" s="18"/>
      <c r="B305" s="18"/>
      <c r="C305" s="18"/>
      <c r="D305" s="33"/>
      <c r="E305" s="33"/>
      <c r="F305" s="34"/>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c r="AR305" s="18"/>
      <c r="AS305" s="18"/>
      <c r="AT305" s="18"/>
      <c r="AU305" s="18"/>
      <c r="AV305" s="18"/>
      <c r="AW305" s="18"/>
      <c r="AX305" s="18"/>
      <c r="AY305" s="18"/>
      <c r="AZ305" s="18"/>
      <c r="BA305" s="18"/>
    </row>
    <row r="306">
      <c r="A306" s="18"/>
      <c r="B306" s="18"/>
      <c r="C306" s="18"/>
      <c r="D306" s="33"/>
      <c r="E306" s="33"/>
      <c r="F306" s="34"/>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c r="AP306" s="18"/>
      <c r="AQ306" s="18"/>
      <c r="AR306" s="18"/>
      <c r="AS306" s="18"/>
      <c r="AT306" s="18"/>
      <c r="AU306" s="18"/>
      <c r="AV306" s="18"/>
      <c r="AW306" s="18"/>
      <c r="AX306" s="18"/>
      <c r="AY306" s="18"/>
      <c r="AZ306" s="18"/>
      <c r="BA306" s="18"/>
    </row>
    <row r="307">
      <c r="A307" s="18"/>
      <c r="B307" s="18"/>
      <c r="C307" s="18"/>
      <c r="D307" s="33"/>
      <c r="E307" s="33"/>
      <c r="F307" s="34"/>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18"/>
      <c r="AW307" s="18"/>
      <c r="AX307" s="18"/>
      <c r="AY307" s="18"/>
      <c r="AZ307" s="18"/>
      <c r="BA307" s="18"/>
    </row>
    <row r="308">
      <c r="A308" s="18"/>
      <c r="B308" s="18"/>
      <c r="C308" s="18"/>
      <c r="D308" s="33"/>
      <c r="E308" s="33"/>
      <c r="F308" s="34"/>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c r="AP308" s="18"/>
      <c r="AQ308" s="18"/>
      <c r="AR308" s="18"/>
      <c r="AS308" s="18"/>
      <c r="AT308" s="18"/>
      <c r="AU308" s="18"/>
      <c r="AV308" s="18"/>
      <c r="AW308" s="18"/>
      <c r="AX308" s="18"/>
      <c r="AY308" s="18"/>
      <c r="AZ308" s="18"/>
      <c r="BA308" s="18"/>
    </row>
    <row r="309">
      <c r="A309" s="18"/>
      <c r="B309" s="18"/>
      <c r="C309" s="18"/>
      <c r="D309" s="33"/>
      <c r="E309" s="33"/>
      <c r="F309" s="34"/>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18"/>
      <c r="AW309" s="18"/>
      <c r="AX309" s="18"/>
      <c r="AY309" s="18"/>
      <c r="AZ309" s="18"/>
      <c r="BA309" s="18"/>
    </row>
    <row r="310">
      <c r="A310" s="18"/>
      <c r="B310" s="18"/>
      <c r="C310" s="18"/>
      <c r="D310" s="33"/>
      <c r="E310" s="33"/>
      <c r="F310" s="34"/>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18"/>
      <c r="AQ310" s="18"/>
      <c r="AR310" s="18"/>
      <c r="AS310" s="18"/>
      <c r="AT310" s="18"/>
      <c r="AU310" s="18"/>
      <c r="AV310" s="18"/>
      <c r="AW310" s="18"/>
      <c r="AX310" s="18"/>
      <c r="AY310" s="18"/>
      <c r="AZ310" s="18"/>
      <c r="BA310" s="18"/>
    </row>
    <row r="311">
      <c r="A311" s="18"/>
      <c r="B311" s="18"/>
      <c r="C311" s="18"/>
      <c r="D311" s="33"/>
      <c r="E311" s="33"/>
      <c r="F311" s="34"/>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c r="AR311" s="18"/>
      <c r="AS311" s="18"/>
      <c r="AT311" s="18"/>
      <c r="AU311" s="18"/>
      <c r="AV311" s="18"/>
      <c r="AW311" s="18"/>
      <c r="AX311" s="18"/>
      <c r="AY311" s="18"/>
      <c r="AZ311" s="18"/>
      <c r="BA311" s="18"/>
    </row>
    <row r="312">
      <c r="A312" s="18"/>
      <c r="B312" s="18"/>
      <c r="C312" s="18"/>
      <c r="D312" s="33"/>
      <c r="E312" s="33"/>
      <c r="F312" s="34"/>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c r="AP312" s="18"/>
      <c r="AQ312" s="18"/>
      <c r="AR312" s="18"/>
      <c r="AS312" s="18"/>
      <c r="AT312" s="18"/>
      <c r="AU312" s="18"/>
      <c r="AV312" s="18"/>
      <c r="AW312" s="18"/>
      <c r="AX312" s="18"/>
      <c r="AY312" s="18"/>
      <c r="AZ312" s="18"/>
      <c r="BA312" s="18"/>
    </row>
    <row r="313">
      <c r="A313" s="18"/>
      <c r="B313" s="18"/>
      <c r="C313" s="18"/>
      <c r="D313" s="33"/>
      <c r="E313" s="33"/>
      <c r="F313" s="34"/>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18"/>
      <c r="AW313" s="18"/>
      <c r="AX313" s="18"/>
      <c r="AY313" s="18"/>
      <c r="AZ313" s="18"/>
      <c r="BA313" s="18"/>
    </row>
    <row r="314">
      <c r="A314" s="18"/>
      <c r="B314" s="18"/>
      <c r="C314" s="18"/>
      <c r="D314" s="33"/>
      <c r="E314" s="33"/>
      <c r="F314" s="34"/>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c r="AZ314" s="18"/>
      <c r="BA314" s="18"/>
    </row>
    <row r="315">
      <c r="A315" s="18"/>
      <c r="B315" s="18"/>
      <c r="C315" s="18"/>
      <c r="D315" s="33"/>
      <c r="E315" s="33"/>
      <c r="F315" s="34"/>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18"/>
      <c r="AW315" s="18"/>
      <c r="AX315" s="18"/>
      <c r="AY315" s="18"/>
      <c r="AZ315" s="18"/>
      <c r="BA315" s="18"/>
    </row>
    <row r="316">
      <c r="A316" s="18"/>
      <c r="B316" s="18"/>
      <c r="C316" s="18"/>
      <c r="D316" s="33"/>
      <c r="E316" s="33"/>
      <c r="F316" s="34"/>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c r="AP316" s="18"/>
      <c r="AQ316" s="18"/>
      <c r="AR316" s="18"/>
      <c r="AS316" s="18"/>
      <c r="AT316" s="18"/>
      <c r="AU316" s="18"/>
      <c r="AV316" s="18"/>
      <c r="AW316" s="18"/>
      <c r="AX316" s="18"/>
      <c r="AY316" s="18"/>
      <c r="AZ316" s="18"/>
      <c r="BA316" s="18"/>
    </row>
    <row r="317">
      <c r="A317" s="18"/>
      <c r="B317" s="18"/>
      <c r="C317" s="18"/>
      <c r="D317" s="33"/>
      <c r="E317" s="33"/>
      <c r="F317" s="34"/>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c r="AP317" s="18"/>
      <c r="AQ317" s="18"/>
      <c r="AR317" s="18"/>
      <c r="AS317" s="18"/>
      <c r="AT317" s="18"/>
      <c r="AU317" s="18"/>
      <c r="AV317" s="18"/>
      <c r="AW317" s="18"/>
      <c r="AX317" s="18"/>
      <c r="AY317" s="18"/>
      <c r="AZ317" s="18"/>
      <c r="BA317" s="18"/>
    </row>
    <row r="318">
      <c r="A318" s="18"/>
      <c r="B318" s="18"/>
      <c r="C318" s="18"/>
      <c r="D318" s="33"/>
      <c r="E318" s="33"/>
      <c r="F318" s="34"/>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c r="AP318" s="18"/>
      <c r="AQ318" s="18"/>
      <c r="AR318" s="18"/>
      <c r="AS318" s="18"/>
      <c r="AT318" s="18"/>
      <c r="AU318" s="18"/>
      <c r="AV318" s="18"/>
      <c r="AW318" s="18"/>
      <c r="AX318" s="18"/>
      <c r="AY318" s="18"/>
      <c r="AZ318" s="18"/>
      <c r="BA318" s="18"/>
    </row>
    <row r="319">
      <c r="A319" s="18"/>
      <c r="B319" s="18"/>
      <c r="C319" s="18"/>
      <c r="D319" s="33"/>
      <c r="E319" s="33"/>
      <c r="F319" s="34"/>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c r="AP319" s="18"/>
      <c r="AQ319" s="18"/>
      <c r="AR319" s="18"/>
      <c r="AS319" s="18"/>
      <c r="AT319" s="18"/>
      <c r="AU319" s="18"/>
      <c r="AV319" s="18"/>
      <c r="AW319" s="18"/>
      <c r="AX319" s="18"/>
      <c r="AY319" s="18"/>
      <c r="AZ319" s="18"/>
      <c r="BA319" s="18"/>
    </row>
    <row r="320">
      <c r="A320" s="18"/>
      <c r="B320" s="18"/>
      <c r="C320" s="18"/>
      <c r="D320" s="33"/>
      <c r="E320" s="33"/>
      <c r="F320" s="34"/>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c r="AP320" s="18"/>
      <c r="AQ320" s="18"/>
      <c r="AR320" s="18"/>
      <c r="AS320" s="18"/>
      <c r="AT320" s="18"/>
      <c r="AU320" s="18"/>
      <c r="AV320" s="18"/>
      <c r="AW320" s="18"/>
      <c r="AX320" s="18"/>
      <c r="AY320" s="18"/>
      <c r="AZ320" s="18"/>
      <c r="BA320" s="18"/>
    </row>
    <row r="321">
      <c r="A321" s="18"/>
      <c r="B321" s="18"/>
      <c r="C321" s="18"/>
      <c r="D321" s="33"/>
      <c r="E321" s="33"/>
      <c r="F321" s="34"/>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c r="AP321" s="18"/>
      <c r="AQ321" s="18"/>
      <c r="AR321" s="18"/>
      <c r="AS321" s="18"/>
      <c r="AT321" s="18"/>
      <c r="AU321" s="18"/>
      <c r="AV321" s="18"/>
      <c r="AW321" s="18"/>
      <c r="AX321" s="18"/>
      <c r="AY321" s="18"/>
      <c r="AZ321" s="18"/>
      <c r="BA321" s="18"/>
    </row>
    <row r="322">
      <c r="A322" s="18"/>
      <c r="B322" s="18"/>
      <c r="C322" s="18"/>
      <c r="D322" s="33"/>
      <c r="E322" s="33"/>
      <c r="F322" s="34"/>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c r="AP322" s="18"/>
      <c r="AQ322" s="18"/>
      <c r="AR322" s="18"/>
      <c r="AS322" s="18"/>
      <c r="AT322" s="18"/>
      <c r="AU322" s="18"/>
      <c r="AV322" s="18"/>
      <c r="AW322" s="18"/>
      <c r="AX322" s="18"/>
      <c r="AY322" s="18"/>
      <c r="AZ322" s="18"/>
      <c r="BA322" s="18"/>
    </row>
    <row r="323">
      <c r="A323" s="18"/>
      <c r="B323" s="18"/>
      <c r="C323" s="18"/>
      <c r="D323" s="33"/>
      <c r="E323" s="33"/>
      <c r="F323" s="34"/>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c r="AP323" s="18"/>
      <c r="AQ323" s="18"/>
      <c r="AR323" s="18"/>
      <c r="AS323" s="18"/>
      <c r="AT323" s="18"/>
      <c r="AU323" s="18"/>
      <c r="AV323" s="18"/>
      <c r="AW323" s="18"/>
      <c r="AX323" s="18"/>
      <c r="AY323" s="18"/>
      <c r="AZ323" s="18"/>
      <c r="BA323" s="18"/>
    </row>
    <row r="324">
      <c r="A324" s="18"/>
      <c r="B324" s="18"/>
      <c r="C324" s="18"/>
      <c r="D324" s="33"/>
      <c r="E324" s="33"/>
      <c r="F324" s="34"/>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c r="AP324" s="18"/>
      <c r="AQ324" s="18"/>
      <c r="AR324" s="18"/>
      <c r="AS324" s="18"/>
      <c r="AT324" s="18"/>
      <c r="AU324" s="18"/>
      <c r="AV324" s="18"/>
      <c r="AW324" s="18"/>
      <c r="AX324" s="18"/>
      <c r="AY324" s="18"/>
      <c r="AZ324" s="18"/>
      <c r="BA324" s="18"/>
    </row>
    <row r="325">
      <c r="A325" s="18"/>
      <c r="B325" s="18"/>
      <c r="C325" s="18"/>
      <c r="D325" s="33"/>
      <c r="E325" s="33"/>
      <c r="F325" s="34"/>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c r="AP325" s="18"/>
      <c r="AQ325" s="18"/>
      <c r="AR325" s="18"/>
      <c r="AS325" s="18"/>
      <c r="AT325" s="18"/>
      <c r="AU325" s="18"/>
      <c r="AV325" s="18"/>
      <c r="AW325" s="18"/>
      <c r="AX325" s="18"/>
      <c r="AY325" s="18"/>
      <c r="AZ325" s="18"/>
      <c r="BA325" s="18"/>
    </row>
    <row r="326">
      <c r="A326" s="18"/>
      <c r="B326" s="18"/>
      <c r="C326" s="18"/>
      <c r="D326" s="33"/>
      <c r="E326" s="33"/>
      <c r="F326" s="34"/>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c r="AP326" s="18"/>
      <c r="AQ326" s="18"/>
      <c r="AR326" s="18"/>
      <c r="AS326" s="18"/>
      <c r="AT326" s="18"/>
      <c r="AU326" s="18"/>
      <c r="AV326" s="18"/>
      <c r="AW326" s="18"/>
      <c r="AX326" s="18"/>
      <c r="AY326" s="18"/>
      <c r="AZ326" s="18"/>
      <c r="BA326" s="18"/>
    </row>
    <row r="327">
      <c r="A327" s="18"/>
      <c r="B327" s="18"/>
      <c r="C327" s="18"/>
      <c r="D327" s="33"/>
      <c r="E327" s="33"/>
      <c r="F327" s="34"/>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c r="AZ327" s="18"/>
      <c r="BA327" s="18"/>
    </row>
    <row r="328">
      <c r="A328" s="18"/>
      <c r="B328" s="18"/>
      <c r="C328" s="18"/>
      <c r="D328" s="33"/>
      <c r="E328" s="33"/>
      <c r="F328" s="34"/>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c r="AP328" s="18"/>
      <c r="AQ328" s="18"/>
      <c r="AR328" s="18"/>
      <c r="AS328" s="18"/>
      <c r="AT328" s="18"/>
      <c r="AU328" s="18"/>
      <c r="AV328" s="18"/>
      <c r="AW328" s="18"/>
      <c r="AX328" s="18"/>
      <c r="AY328" s="18"/>
      <c r="AZ328" s="18"/>
      <c r="BA328" s="18"/>
    </row>
    <row r="329">
      <c r="A329" s="18"/>
      <c r="B329" s="18"/>
      <c r="C329" s="18"/>
      <c r="D329" s="33"/>
      <c r="E329" s="33"/>
      <c r="F329" s="34"/>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c r="AP329" s="18"/>
      <c r="AQ329" s="18"/>
      <c r="AR329" s="18"/>
      <c r="AS329" s="18"/>
      <c r="AT329" s="18"/>
      <c r="AU329" s="18"/>
      <c r="AV329" s="18"/>
      <c r="AW329" s="18"/>
      <c r="AX329" s="18"/>
      <c r="AY329" s="18"/>
      <c r="AZ329" s="18"/>
      <c r="BA329" s="18"/>
    </row>
    <row r="330">
      <c r="A330" s="18"/>
      <c r="B330" s="18"/>
      <c r="C330" s="18"/>
      <c r="D330" s="33"/>
      <c r="E330" s="33"/>
      <c r="F330" s="34"/>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c r="AP330" s="18"/>
      <c r="AQ330" s="18"/>
      <c r="AR330" s="18"/>
      <c r="AS330" s="18"/>
      <c r="AT330" s="18"/>
      <c r="AU330" s="18"/>
      <c r="AV330" s="18"/>
      <c r="AW330" s="18"/>
      <c r="AX330" s="18"/>
      <c r="AY330" s="18"/>
      <c r="AZ330" s="18"/>
      <c r="BA330" s="18"/>
    </row>
    <row r="331">
      <c r="A331" s="18"/>
      <c r="B331" s="18"/>
      <c r="C331" s="18"/>
      <c r="D331" s="33"/>
      <c r="E331" s="33"/>
      <c r="F331" s="34"/>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c r="AP331" s="18"/>
      <c r="AQ331" s="18"/>
      <c r="AR331" s="18"/>
      <c r="AS331" s="18"/>
      <c r="AT331" s="18"/>
      <c r="AU331" s="18"/>
      <c r="AV331" s="18"/>
      <c r="AW331" s="18"/>
      <c r="AX331" s="18"/>
      <c r="AY331" s="18"/>
      <c r="AZ331" s="18"/>
      <c r="BA331" s="18"/>
    </row>
    <row r="332">
      <c r="A332" s="18"/>
      <c r="B332" s="18"/>
      <c r="C332" s="18"/>
      <c r="D332" s="33"/>
      <c r="E332" s="33"/>
      <c r="F332" s="34"/>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c r="AP332" s="18"/>
      <c r="AQ332" s="18"/>
      <c r="AR332" s="18"/>
      <c r="AS332" s="18"/>
      <c r="AT332" s="18"/>
      <c r="AU332" s="18"/>
      <c r="AV332" s="18"/>
      <c r="AW332" s="18"/>
      <c r="AX332" s="18"/>
      <c r="AY332" s="18"/>
      <c r="AZ332" s="18"/>
      <c r="BA332" s="18"/>
    </row>
    <row r="333">
      <c r="A333" s="18"/>
      <c r="B333" s="18"/>
      <c r="C333" s="18"/>
      <c r="D333" s="33"/>
      <c r="E333" s="33"/>
      <c r="F333" s="34"/>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c r="AP333" s="18"/>
      <c r="AQ333" s="18"/>
      <c r="AR333" s="18"/>
      <c r="AS333" s="18"/>
      <c r="AT333" s="18"/>
      <c r="AU333" s="18"/>
      <c r="AV333" s="18"/>
      <c r="AW333" s="18"/>
      <c r="AX333" s="18"/>
      <c r="AY333" s="18"/>
      <c r="AZ333" s="18"/>
      <c r="BA333" s="18"/>
    </row>
    <row r="334">
      <c r="A334" s="18"/>
      <c r="B334" s="18"/>
      <c r="C334" s="18"/>
      <c r="D334" s="33"/>
      <c r="E334" s="33"/>
      <c r="F334" s="34"/>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c r="AP334" s="18"/>
      <c r="AQ334" s="18"/>
      <c r="AR334" s="18"/>
      <c r="AS334" s="18"/>
      <c r="AT334" s="18"/>
      <c r="AU334" s="18"/>
      <c r="AV334" s="18"/>
      <c r="AW334" s="18"/>
      <c r="AX334" s="18"/>
      <c r="AY334" s="18"/>
      <c r="AZ334" s="18"/>
      <c r="BA334" s="18"/>
    </row>
    <row r="335">
      <c r="A335" s="18"/>
      <c r="B335" s="18"/>
      <c r="C335" s="18"/>
      <c r="D335" s="33"/>
      <c r="E335" s="33"/>
      <c r="F335" s="34"/>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18"/>
      <c r="AQ335" s="18"/>
      <c r="AR335" s="18"/>
      <c r="AS335" s="18"/>
      <c r="AT335" s="18"/>
      <c r="AU335" s="18"/>
      <c r="AV335" s="18"/>
      <c r="AW335" s="18"/>
      <c r="AX335" s="18"/>
      <c r="AY335" s="18"/>
      <c r="AZ335" s="18"/>
      <c r="BA335" s="18"/>
    </row>
    <row r="336">
      <c r="A336" s="18"/>
      <c r="B336" s="18"/>
      <c r="C336" s="18"/>
      <c r="D336" s="33"/>
      <c r="E336" s="33"/>
      <c r="F336" s="34"/>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c r="AP336" s="18"/>
      <c r="AQ336" s="18"/>
      <c r="AR336" s="18"/>
      <c r="AS336" s="18"/>
      <c r="AT336" s="18"/>
      <c r="AU336" s="18"/>
      <c r="AV336" s="18"/>
      <c r="AW336" s="18"/>
      <c r="AX336" s="18"/>
      <c r="AY336" s="18"/>
      <c r="AZ336" s="18"/>
      <c r="BA336" s="18"/>
    </row>
    <row r="337">
      <c r="A337" s="18"/>
      <c r="B337" s="18"/>
      <c r="C337" s="18"/>
      <c r="D337" s="33"/>
      <c r="E337" s="33"/>
      <c r="F337" s="34"/>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c r="AP337" s="18"/>
      <c r="AQ337" s="18"/>
      <c r="AR337" s="18"/>
      <c r="AS337" s="18"/>
      <c r="AT337" s="18"/>
      <c r="AU337" s="18"/>
      <c r="AV337" s="18"/>
      <c r="AW337" s="18"/>
      <c r="AX337" s="18"/>
      <c r="AY337" s="18"/>
      <c r="AZ337" s="18"/>
      <c r="BA337" s="18"/>
    </row>
    <row r="338">
      <c r="A338" s="18"/>
      <c r="B338" s="18"/>
      <c r="C338" s="18"/>
      <c r="D338" s="33"/>
      <c r="E338" s="33"/>
      <c r="F338" s="34"/>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c r="AP338" s="18"/>
      <c r="AQ338" s="18"/>
      <c r="AR338" s="18"/>
      <c r="AS338" s="18"/>
      <c r="AT338" s="18"/>
      <c r="AU338" s="18"/>
      <c r="AV338" s="18"/>
      <c r="AW338" s="18"/>
      <c r="AX338" s="18"/>
      <c r="AY338" s="18"/>
      <c r="AZ338" s="18"/>
      <c r="BA338" s="18"/>
    </row>
    <row r="339">
      <c r="A339" s="18"/>
      <c r="B339" s="18"/>
      <c r="C339" s="18"/>
      <c r="D339" s="33"/>
      <c r="E339" s="33"/>
      <c r="F339" s="34"/>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c r="AP339" s="18"/>
      <c r="AQ339" s="18"/>
      <c r="AR339" s="18"/>
      <c r="AS339" s="18"/>
      <c r="AT339" s="18"/>
      <c r="AU339" s="18"/>
      <c r="AV339" s="18"/>
      <c r="AW339" s="18"/>
      <c r="AX339" s="18"/>
      <c r="AY339" s="18"/>
      <c r="AZ339" s="18"/>
      <c r="BA339" s="18"/>
    </row>
    <row r="340">
      <c r="A340" s="18"/>
      <c r="B340" s="18"/>
      <c r="C340" s="18"/>
      <c r="D340" s="33"/>
      <c r="E340" s="33"/>
      <c r="F340" s="34"/>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c r="AZ340" s="18"/>
      <c r="BA340" s="18"/>
    </row>
    <row r="341">
      <c r="A341" s="18"/>
      <c r="B341" s="18"/>
      <c r="C341" s="18"/>
      <c r="D341" s="33"/>
      <c r="E341" s="33"/>
      <c r="F341" s="34"/>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c r="AP341" s="18"/>
      <c r="AQ341" s="18"/>
      <c r="AR341" s="18"/>
      <c r="AS341" s="18"/>
      <c r="AT341" s="18"/>
      <c r="AU341" s="18"/>
      <c r="AV341" s="18"/>
      <c r="AW341" s="18"/>
      <c r="AX341" s="18"/>
      <c r="AY341" s="18"/>
      <c r="AZ341" s="18"/>
      <c r="BA341" s="18"/>
    </row>
    <row r="342">
      <c r="A342" s="18"/>
      <c r="B342" s="18"/>
      <c r="C342" s="18"/>
      <c r="D342" s="33"/>
      <c r="E342" s="33"/>
      <c r="F342" s="34"/>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c r="AP342" s="18"/>
      <c r="AQ342" s="18"/>
      <c r="AR342" s="18"/>
      <c r="AS342" s="18"/>
      <c r="AT342" s="18"/>
      <c r="AU342" s="18"/>
      <c r="AV342" s="18"/>
      <c r="AW342" s="18"/>
      <c r="AX342" s="18"/>
      <c r="AY342" s="18"/>
      <c r="AZ342" s="18"/>
      <c r="BA342" s="18"/>
    </row>
    <row r="343">
      <c r="A343" s="18"/>
      <c r="B343" s="18"/>
      <c r="C343" s="18"/>
      <c r="D343" s="33"/>
      <c r="E343" s="33"/>
      <c r="F343" s="34"/>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c r="AP343" s="18"/>
      <c r="AQ343" s="18"/>
      <c r="AR343" s="18"/>
      <c r="AS343" s="18"/>
      <c r="AT343" s="18"/>
      <c r="AU343" s="18"/>
      <c r="AV343" s="18"/>
      <c r="AW343" s="18"/>
      <c r="AX343" s="18"/>
      <c r="AY343" s="18"/>
      <c r="AZ343" s="18"/>
      <c r="BA343" s="18"/>
    </row>
    <row r="344">
      <c r="A344" s="18"/>
      <c r="B344" s="18"/>
      <c r="C344" s="18"/>
      <c r="D344" s="33"/>
      <c r="E344" s="33"/>
      <c r="F344" s="34"/>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c r="AN344" s="18"/>
      <c r="AO344" s="18"/>
      <c r="AP344" s="18"/>
      <c r="AQ344" s="18"/>
      <c r="AR344" s="18"/>
      <c r="AS344" s="18"/>
      <c r="AT344" s="18"/>
      <c r="AU344" s="18"/>
      <c r="AV344" s="18"/>
      <c r="AW344" s="18"/>
      <c r="AX344" s="18"/>
      <c r="AY344" s="18"/>
      <c r="AZ344" s="18"/>
      <c r="BA344" s="18"/>
    </row>
    <row r="345">
      <c r="A345" s="18"/>
      <c r="B345" s="18"/>
      <c r="C345" s="18"/>
      <c r="D345" s="33"/>
      <c r="E345" s="33"/>
      <c r="F345" s="34"/>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c r="AP345" s="18"/>
      <c r="AQ345" s="18"/>
      <c r="AR345" s="18"/>
      <c r="AS345" s="18"/>
      <c r="AT345" s="18"/>
      <c r="AU345" s="18"/>
      <c r="AV345" s="18"/>
      <c r="AW345" s="18"/>
      <c r="AX345" s="18"/>
      <c r="AY345" s="18"/>
      <c r="AZ345" s="18"/>
      <c r="BA345" s="18"/>
    </row>
    <row r="346">
      <c r="A346" s="18"/>
      <c r="B346" s="18"/>
      <c r="C346" s="18"/>
      <c r="D346" s="33"/>
      <c r="E346" s="33"/>
      <c r="F346" s="34"/>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c r="AP346" s="18"/>
      <c r="AQ346" s="18"/>
      <c r="AR346" s="18"/>
      <c r="AS346" s="18"/>
      <c r="AT346" s="18"/>
      <c r="AU346" s="18"/>
      <c r="AV346" s="18"/>
      <c r="AW346" s="18"/>
      <c r="AX346" s="18"/>
      <c r="AY346" s="18"/>
      <c r="AZ346" s="18"/>
      <c r="BA346" s="18"/>
    </row>
    <row r="347">
      <c r="A347" s="18"/>
      <c r="B347" s="18"/>
      <c r="C347" s="18"/>
      <c r="D347" s="33"/>
      <c r="E347" s="33"/>
      <c r="F347" s="34"/>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c r="AP347" s="18"/>
      <c r="AQ347" s="18"/>
      <c r="AR347" s="18"/>
      <c r="AS347" s="18"/>
      <c r="AT347" s="18"/>
      <c r="AU347" s="18"/>
      <c r="AV347" s="18"/>
      <c r="AW347" s="18"/>
      <c r="AX347" s="18"/>
      <c r="AY347" s="18"/>
      <c r="AZ347" s="18"/>
      <c r="BA347" s="18"/>
    </row>
    <row r="348">
      <c r="A348" s="18"/>
      <c r="B348" s="18"/>
      <c r="C348" s="18"/>
      <c r="D348" s="33"/>
      <c r="E348" s="33"/>
      <c r="F348" s="34"/>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c r="AP348" s="18"/>
      <c r="AQ348" s="18"/>
      <c r="AR348" s="18"/>
      <c r="AS348" s="18"/>
      <c r="AT348" s="18"/>
      <c r="AU348" s="18"/>
      <c r="AV348" s="18"/>
      <c r="AW348" s="18"/>
      <c r="AX348" s="18"/>
      <c r="AY348" s="18"/>
      <c r="AZ348" s="18"/>
      <c r="BA348" s="18"/>
    </row>
    <row r="349">
      <c r="A349" s="18"/>
      <c r="B349" s="18"/>
      <c r="C349" s="18"/>
      <c r="D349" s="33"/>
      <c r="E349" s="33"/>
      <c r="F349" s="34"/>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c r="AP349" s="18"/>
      <c r="AQ349" s="18"/>
      <c r="AR349" s="18"/>
      <c r="AS349" s="18"/>
      <c r="AT349" s="18"/>
      <c r="AU349" s="18"/>
      <c r="AV349" s="18"/>
      <c r="AW349" s="18"/>
      <c r="AX349" s="18"/>
      <c r="AY349" s="18"/>
      <c r="AZ349" s="18"/>
      <c r="BA349" s="18"/>
    </row>
    <row r="350">
      <c r="A350" s="18"/>
      <c r="B350" s="18"/>
      <c r="C350" s="18"/>
      <c r="D350" s="33"/>
      <c r="E350" s="33"/>
      <c r="F350" s="34"/>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c r="AP350" s="18"/>
      <c r="AQ350" s="18"/>
      <c r="AR350" s="18"/>
      <c r="AS350" s="18"/>
      <c r="AT350" s="18"/>
      <c r="AU350" s="18"/>
      <c r="AV350" s="18"/>
      <c r="AW350" s="18"/>
      <c r="AX350" s="18"/>
      <c r="AY350" s="18"/>
      <c r="AZ350" s="18"/>
      <c r="BA350" s="18"/>
    </row>
    <row r="351">
      <c r="A351" s="18"/>
      <c r="B351" s="18"/>
      <c r="C351" s="18"/>
      <c r="D351" s="33"/>
      <c r="E351" s="33"/>
      <c r="F351" s="34"/>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c r="AX351" s="18"/>
      <c r="AY351" s="18"/>
      <c r="AZ351" s="18"/>
      <c r="BA351" s="18"/>
    </row>
    <row r="352">
      <c r="A352" s="18"/>
      <c r="B352" s="18"/>
      <c r="C352" s="18"/>
      <c r="D352" s="33"/>
      <c r="E352" s="33"/>
      <c r="F352" s="34"/>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c r="AP352" s="18"/>
      <c r="AQ352" s="18"/>
      <c r="AR352" s="18"/>
      <c r="AS352" s="18"/>
      <c r="AT352" s="18"/>
      <c r="AU352" s="18"/>
      <c r="AV352" s="18"/>
      <c r="AW352" s="18"/>
      <c r="AX352" s="18"/>
      <c r="AY352" s="18"/>
      <c r="AZ352" s="18"/>
      <c r="BA352" s="18"/>
    </row>
    <row r="353">
      <c r="A353" s="18"/>
      <c r="B353" s="18"/>
      <c r="C353" s="18"/>
      <c r="D353" s="33"/>
      <c r="E353" s="33"/>
      <c r="F353" s="34"/>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c r="AZ353" s="18"/>
      <c r="BA353" s="18"/>
    </row>
    <row r="354">
      <c r="A354" s="18"/>
      <c r="B354" s="18"/>
      <c r="C354" s="18"/>
      <c r="D354" s="33"/>
      <c r="E354" s="33"/>
      <c r="F354" s="34"/>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8"/>
    </row>
    <row r="355">
      <c r="A355" s="18"/>
      <c r="B355" s="18"/>
      <c r="C355" s="18"/>
      <c r="D355" s="33"/>
      <c r="E355" s="33"/>
      <c r="F355" s="34"/>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row>
    <row r="356">
      <c r="A356" s="18"/>
      <c r="B356" s="18"/>
      <c r="C356" s="18"/>
      <c r="D356" s="33"/>
      <c r="E356" s="33"/>
      <c r="F356" s="34"/>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8"/>
    </row>
    <row r="357">
      <c r="A357" s="18"/>
      <c r="B357" s="18"/>
      <c r="C357" s="18"/>
      <c r="D357" s="33"/>
      <c r="E357" s="33"/>
      <c r="F357" s="34"/>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c r="AU357" s="18"/>
      <c r="AV357" s="18"/>
      <c r="AW357" s="18"/>
      <c r="AX357" s="18"/>
      <c r="AY357" s="18"/>
      <c r="AZ357" s="18"/>
      <c r="BA357" s="18"/>
    </row>
    <row r="358">
      <c r="A358" s="18"/>
      <c r="B358" s="18"/>
      <c r="C358" s="18"/>
      <c r="D358" s="33"/>
      <c r="E358" s="33"/>
      <c r="F358" s="34"/>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8"/>
    </row>
    <row r="359">
      <c r="A359" s="18"/>
      <c r="B359" s="18"/>
      <c r="C359" s="18"/>
      <c r="D359" s="33"/>
      <c r="E359" s="33"/>
      <c r="F359" s="34"/>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row>
    <row r="360">
      <c r="A360" s="18"/>
      <c r="B360" s="18"/>
      <c r="C360" s="18"/>
      <c r="D360" s="33"/>
      <c r="E360" s="33"/>
      <c r="F360" s="34"/>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row>
    <row r="361">
      <c r="A361" s="18"/>
      <c r="B361" s="18"/>
      <c r="C361" s="18"/>
      <c r="D361" s="33"/>
      <c r="E361" s="33"/>
      <c r="F361" s="34"/>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row>
    <row r="362">
      <c r="A362" s="18"/>
      <c r="B362" s="18"/>
      <c r="C362" s="18"/>
      <c r="D362" s="33"/>
      <c r="E362" s="33"/>
      <c r="F362" s="34"/>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c r="AN362" s="18"/>
      <c r="AO362" s="18"/>
      <c r="AP362" s="18"/>
      <c r="AQ362" s="18"/>
      <c r="AR362" s="18"/>
      <c r="AS362" s="18"/>
      <c r="AT362" s="18"/>
      <c r="AU362" s="18"/>
      <c r="AV362" s="18"/>
      <c r="AW362" s="18"/>
      <c r="AX362" s="18"/>
      <c r="AY362" s="18"/>
      <c r="AZ362" s="18"/>
      <c r="BA362" s="18"/>
    </row>
    <row r="363">
      <c r="A363" s="18"/>
      <c r="B363" s="18"/>
      <c r="C363" s="18"/>
      <c r="D363" s="33"/>
      <c r="E363" s="33"/>
      <c r="F363" s="34"/>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8"/>
    </row>
    <row r="364">
      <c r="A364" s="18"/>
      <c r="B364" s="18"/>
      <c r="C364" s="18"/>
      <c r="D364" s="33"/>
      <c r="E364" s="33"/>
      <c r="F364" s="34"/>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8"/>
    </row>
    <row r="365">
      <c r="A365" s="18"/>
      <c r="B365" s="18"/>
      <c r="C365" s="18"/>
      <c r="D365" s="33"/>
      <c r="E365" s="33"/>
      <c r="F365" s="34"/>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row>
    <row r="366">
      <c r="A366" s="18"/>
      <c r="B366" s="18"/>
      <c r="C366" s="18"/>
      <c r="D366" s="33"/>
      <c r="E366" s="33"/>
      <c r="F366" s="34"/>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8"/>
    </row>
    <row r="367">
      <c r="A367" s="18"/>
      <c r="B367" s="18"/>
      <c r="C367" s="18"/>
      <c r="D367" s="33"/>
      <c r="E367" s="33"/>
      <c r="F367" s="34"/>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c r="AU367" s="18"/>
      <c r="AV367" s="18"/>
      <c r="AW367" s="18"/>
      <c r="AX367" s="18"/>
      <c r="AY367" s="18"/>
      <c r="AZ367" s="18"/>
      <c r="BA367" s="18"/>
    </row>
    <row r="368">
      <c r="A368" s="18"/>
      <c r="B368" s="18"/>
      <c r="C368" s="18"/>
      <c r="D368" s="33"/>
      <c r="E368" s="33"/>
      <c r="F368" s="34"/>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8"/>
    </row>
    <row r="369">
      <c r="A369" s="18"/>
      <c r="B369" s="18"/>
      <c r="C369" s="18"/>
      <c r="D369" s="33"/>
      <c r="E369" s="33"/>
      <c r="F369" s="34"/>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row>
    <row r="370">
      <c r="A370" s="18"/>
      <c r="B370" s="18"/>
      <c r="C370" s="18"/>
      <c r="D370" s="33"/>
      <c r="E370" s="33"/>
      <c r="F370" s="34"/>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8"/>
    </row>
    <row r="371">
      <c r="A371" s="18"/>
      <c r="B371" s="18"/>
      <c r="C371" s="18"/>
      <c r="D371" s="33"/>
      <c r="E371" s="33"/>
      <c r="F371" s="34"/>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row>
    <row r="372">
      <c r="A372" s="18"/>
      <c r="B372" s="18"/>
      <c r="C372" s="18"/>
      <c r="D372" s="33"/>
      <c r="E372" s="33"/>
      <c r="F372" s="34"/>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c r="AP372" s="18"/>
      <c r="AQ372" s="18"/>
      <c r="AR372" s="18"/>
      <c r="AS372" s="18"/>
      <c r="AT372" s="18"/>
      <c r="AU372" s="18"/>
      <c r="AV372" s="18"/>
      <c r="AW372" s="18"/>
      <c r="AX372" s="18"/>
      <c r="AY372" s="18"/>
      <c r="AZ372" s="18"/>
      <c r="BA372" s="18"/>
    </row>
    <row r="373">
      <c r="A373" s="18"/>
      <c r="B373" s="18"/>
      <c r="C373" s="18"/>
      <c r="D373" s="33"/>
      <c r="E373" s="33"/>
      <c r="F373" s="34"/>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row>
    <row r="374">
      <c r="A374" s="18"/>
      <c r="B374" s="18"/>
      <c r="C374" s="18"/>
      <c r="D374" s="33"/>
      <c r="E374" s="33"/>
      <c r="F374" s="34"/>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c r="AP374" s="18"/>
      <c r="AQ374" s="18"/>
      <c r="AR374" s="18"/>
      <c r="AS374" s="18"/>
      <c r="AT374" s="18"/>
      <c r="AU374" s="18"/>
      <c r="AV374" s="18"/>
      <c r="AW374" s="18"/>
      <c r="AX374" s="18"/>
      <c r="AY374" s="18"/>
      <c r="AZ374" s="18"/>
      <c r="BA374" s="18"/>
    </row>
    <row r="375">
      <c r="A375" s="18"/>
      <c r="B375" s="18"/>
      <c r="C375" s="18"/>
      <c r="D375" s="33"/>
      <c r="E375" s="33"/>
      <c r="F375" s="34"/>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c r="AU375" s="18"/>
      <c r="AV375" s="18"/>
      <c r="AW375" s="18"/>
      <c r="AX375" s="18"/>
      <c r="AY375" s="18"/>
      <c r="AZ375" s="18"/>
      <c r="BA375" s="18"/>
    </row>
    <row r="376">
      <c r="A376" s="18"/>
      <c r="B376" s="18"/>
      <c r="C376" s="18"/>
      <c r="D376" s="33"/>
      <c r="E376" s="33"/>
      <c r="F376" s="34"/>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8"/>
    </row>
    <row r="377">
      <c r="A377" s="18"/>
      <c r="B377" s="18"/>
      <c r="C377" s="18"/>
      <c r="D377" s="33"/>
      <c r="E377" s="33"/>
      <c r="F377" s="34"/>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8"/>
    </row>
    <row r="378">
      <c r="A378" s="18"/>
      <c r="B378" s="18"/>
      <c r="C378" s="18"/>
      <c r="D378" s="33"/>
      <c r="E378" s="33"/>
      <c r="F378" s="34"/>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8"/>
    </row>
    <row r="379">
      <c r="A379" s="18"/>
      <c r="B379" s="18"/>
      <c r="C379" s="18"/>
      <c r="D379" s="33"/>
      <c r="E379" s="33"/>
      <c r="F379" s="34"/>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c r="AR379" s="18"/>
      <c r="AS379" s="18"/>
      <c r="AT379" s="18"/>
      <c r="AU379" s="18"/>
      <c r="AV379" s="18"/>
      <c r="AW379" s="18"/>
      <c r="AX379" s="18"/>
      <c r="AY379" s="18"/>
      <c r="AZ379" s="18"/>
      <c r="BA379" s="18"/>
    </row>
    <row r="380">
      <c r="A380" s="18"/>
      <c r="B380" s="18"/>
      <c r="C380" s="18"/>
      <c r="D380" s="33"/>
      <c r="E380" s="33"/>
      <c r="F380" s="34"/>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8"/>
    </row>
    <row r="381">
      <c r="A381" s="18"/>
      <c r="B381" s="18"/>
      <c r="C381" s="18"/>
      <c r="D381" s="33"/>
      <c r="E381" s="33"/>
      <c r="F381" s="34"/>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row>
    <row r="382">
      <c r="A382" s="18"/>
      <c r="B382" s="18"/>
      <c r="C382" s="18"/>
      <c r="D382" s="33"/>
      <c r="E382" s="33"/>
      <c r="F382" s="34"/>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8"/>
    </row>
    <row r="383">
      <c r="A383" s="18"/>
      <c r="B383" s="18"/>
      <c r="C383" s="18"/>
      <c r="D383" s="33"/>
      <c r="E383" s="33"/>
      <c r="F383" s="34"/>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c r="AR383" s="18"/>
      <c r="AS383" s="18"/>
      <c r="AT383" s="18"/>
      <c r="AU383" s="18"/>
      <c r="AV383" s="18"/>
      <c r="AW383" s="18"/>
      <c r="AX383" s="18"/>
      <c r="AY383" s="18"/>
      <c r="AZ383" s="18"/>
      <c r="BA383" s="18"/>
    </row>
    <row r="384">
      <c r="A384" s="18"/>
      <c r="B384" s="18"/>
      <c r="C384" s="18"/>
      <c r="D384" s="33"/>
      <c r="E384" s="33"/>
      <c r="F384" s="34"/>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8"/>
    </row>
    <row r="385">
      <c r="A385" s="18"/>
      <c r="B385" s="18"/>
      <c r="C385" s="18"/>
      <c r="D385" s="33"/>
      <c r="E385" s="33"/>
      <c r="F385" s="34"/>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8"/>
    </row>
    <row r="386">
      <c r="A386" s="18"/>
      <c r="B386" s="18"/>
      <c r="C386" s="18"/>
      <c r="D386" s="33"/>
      <c r="E386" s="33"/>
      <c r="F386" s="34"/>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8"/>
    </row>
    <row r="387">
      <c r="A387" s="18"/>
      <c r="B387" s="18"/>
      <c r="C387" s="18"/>
      <c r="D387" s="33"/>
      <c r="E387" s="33"/>
      <c r="F387" s="34"/>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18"/>
      <c r="AW387" s="18"/>
      <c r="AX387" s="18"/>
      <c r="AY387" s="18"/>
      <c r="AZ387" s="18"/>
      <c r="BA387" s="18"/>
    </row>
    <row r="388">
      <c r="A388" s="18"/>
      <c r="B388" s="18"/>
      <c r="C388" s="18"/>
      <c r="D388" s="33"/>
      <c r="E388" s="33"/>
      <c r="F388" s="34"/>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8"/>
    </row>
    <row r="389">
      <c r="A389" s="18"/>
      <c r="B389" s="18"/>
      <c r="C389" s="18"/>
      <c r="D389" s="33"/>
      <c r="E389" s="33"/>
      <c r="F389" s="34"/>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8"/>
    </row>
    <row r="390">
      <c r="A390" s="18"/>
      <c r="B390" s="18"/>
      <c r="C390" s="18"/>
      <c r="D390" s="33"/>
      <c r="E390" s="33"/>
      <c r="F390" s="34"/>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c r="AP390" s="18"/>
      <c r="AQ390" s="18"/>
      <c r="AR390" s="18"/>
      <c r="AS390" s="18"/>
      <c r="AT390" s="18"/>
      <c r="AU390" s="18"/>
      <c r="AV390" s="18"/>
      <c r="AW390" s="18"/>
      <c r="AX390" s="18"/>
      <c r="AY390" s="18"/>
      <c r="AZ390" s="18"/>
      <c r="BA390" s="18"/>
    </row>
    <row r="391">
      <c r="A391" s="18"/>
      <c r="B391" s="18"/>
      <c r="C391" s="18"/>
      <c r="D391" s="33"/>
      <c r="E391" s="33"/>
      <c r="F391" s="34"/>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8"/>
    </row>
    <row r="392">
      <c r="A392" s="18"/>
      <c r="B392" s="18"/>
      <c r="C392" s="18"/>
      <c r="D392" s="33"/>
      <c r="E392" s="33"/>
      <c r="F392" s="34"/>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c r="AP392" s="18"/>
      <c r="AQ392" s="18"/>
      <c r="AR392" s="18"/>
      <c r="AS392" s="18"/>
      <c r="AT392" s="18"/>
      <c r="AU392" s="18"/>
      <c r="AV392" s="18"/>
      <c r="AW392" s="18"/>
      <c r="AX392" s="18"/>
      <c r="AY392" s="18"/>
      <c r="AZ392" s="18"/>
      <c r="BA392" s="18"/>
    </row>
    <row r="393">
      <c r="A393" s="18"/>
      <c r="B393" s="18"/>
      <c r="C393" s="18"/>
      <c r="D393" s="33"/>
      <c r="E393" s="33"/>
      <c r="F393" s="34"/>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18"/>
      <c r="AW393" s="18"/>
      <c r="AX393" s="18"/>
      <c r="AY393" s="18"/>
      <c r="AZ393" s="18"/>
      <c r="BA393" s="18"/>
    </row>
    <row r="394">
      <c r="A394" s="18"/>
      <c r="B394" s="18"/>
      <c r="C394" s="18"/>
      <c r="D394" s="33"/>
      <c r="E394" s="33"/>
      <c r="F394" s="34"/>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c r="AP394" s="18"/>
      <c r="AQ394" s="18"/>
      <c r="AR394" s="18"/>
      <c r="AS394" s="18"/>
      <c r="AT394" s="18"/>
      <c r="AU394" s="18"/>
      <c r="AV394" s="18"/>
      <c r="AW394" s="18"/>
      <c r="AX394" s="18"/>
      <c r="AY394" s="18"/>
      <c r="AZ394" s="18"/>
      <c r="BA394" s="18"/>
    </row>
    <row r="395">
      <c r="A395" s="18"/>
      <c r="B395" s="18"/>
      <c r="C395" s="18"/>
      <c r="D395" s="33"/>
      <c r="E395" s="33"/>
      <c r="F395" s="34"/>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c r="AU395" s="18"/>
      <c r="AV395" s="18"/>
      <c r="AW395" s="18"/>
      <c r="AX395" s="18"/>
      <c r="AY395" s="18"/>
      <c r="AZ395" s="18"/>
      <c r="BA395" s="18"/>
    </row>
    <row r="396">
      <c r="A396" s="18"/>
      <c r="B396" s="18"/>
      <c r="C396" s="18"/>
      <c r="D396" s="33"/>
      <c r="E396" s="33"/>
      <c r="F396" s="34"/>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c r="AP396" s="18"/>
      <c r="AQ396" s="18"/>
      <c r="AR396" s="18"/>
      <c r="AS396" s="18"/>
      <c r="AT396" s="18"/>
      <c r="AU396" s="18"/>
      <c r="AV396" s="18"/>
      <c r="AW396" s="18"/>
      <c r="AX396" s="18"/>
      <c r="AY396" s="18"/>
      <c r="AZ396" s="18"/>
      <c r="BA396" s="18"/>
    </row>
    <row r="397">
      <c r="A397" s="18"/>
      <c r="B397" s="18"/>
      <c r="C397" s="18"/>
      <c r="D397" s="33"/>
      <c r="E397" s="33"/>
      <c r="F397" s="34"/>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row>
    <row r="398">
      <c r="A398" s="18"/>
      <c r="B398" s="18"/>
      <c r="C398" s="18"/>
      <c r="D398" s="33"/>
      <c r="E398" s="33"/>
      <c r="F398" s="34"/>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8"/>
    </row>
    <row r="399">
      <c r="A399" s="18"/>
      <c r="B399" s="18"/>
      <c r="C399" s="18"/>
      <c r="D399" s="33"/>
      <c r="E399" s="33"/>
      <c r="F399" s="34"/>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row>
    <row r="400">
      <c r="A400" s="18"/>
      <c r="B400" s="18"/>
      <c r="C400" s="18"/>
      <c r="D400" s="33"/>
      <c r="E400" s="33"/>
      <c r="F400" s="34"/>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8"/>
    </row>
    <row r="401">
      <c r="A401" s="18"/>
      <c r="B401" s="18"/>
      <c r="C401" s="18"/>
      <c r="D401" s="33"/>
      <c r="E401" s="33"/>
      <c r="F401" s="34"/>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row>
    <row r="402">
      <c r="A402" s="18"/>
      <c r="B402" s="18"/>
      <c r="C402" s="18"/>
      <c r="D402" s="33"/>
      <c r="E402" s="33"/>
      <c r="F402" s="34"/>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8"/>
    </row>
    <row r="403">
      <c r="A403" s="18"/>
      <c r="B403" s="18"/>
      <c r="C403" s="18"/>
      <c r="D403" s="33"/>
      <c r="E403" s="33"/>
      <c r="F403" s="34"/>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row>
    <row r="404">
      <c r="A404" s="18"/>
      <c r="B404" s="18"/>
      <c r="C404" s="18"/>
      <c r="D404" s="33"/>
      <c r="E404" s="33"/>
      <c r="F404" s="34"/>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c r="AP404" s="18"/>
      <c r="AQ404" s="18"/>
      <c r="AR404" s="18"/>
      <c r="AS404" s="18"/>
      <c r="AT404" s="18"/>
      <c r="AU404" s="18"/>
      <c r="AV404" s="18"/>
      <c r="AW404" s="18"/>
      <c r="AX404" s="18"/>
      <c r="AY404" s="18"/>
      <c r="AZ404" s="18"/>
      <c r="BA404" s="18"/>
    </row>
    <row r="405">
      <c r="A405" s="18"/>
      <c r="B405" s="18"/>
      <c r="C405" s="18"/>
      <c r="D405" s="33"/>
      <c r="E405" s="33"/>
      <c r="F405" s="34"/>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c r="AU405" s="18"/>
      <c r="AV405" s="18"/>
      <c r="AW405" s="18"/>
      <c r="AX405" s="18"/>
      <c r="AY405" s="18"/>
      <c r="AZ405" s="18"/>
      <c r="BA405" s="18"/>
    </row>
    <row r="406">
      <c r="A406" s="18"/>
      <c r="B406" s="18"/>
      <c r="C406" s="18"/>
      <c r="D406" s="33"/>
      <c r="E406" s="33"/>
      <c r="F406" s="34"/>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c r="AP406" s="18"/>
      <c r="AQ406" s="18"/>
      <c r="AR406" s="18"/>
      <c r="AS406" s="18"/>
      <c r="AT406" s="18"/>
      <c r="AU406" s="18"/>
      <c r="AV406" s="18"/>
      <c r="AW406" s="18"/>
      <c r="AX406" s="18"/>
      <c r="AY406" s="18"/>
      <c r="AZ406" s="18"/>
      <c r="BA406" s="18"/>
    </row>
    <row r="407">
      <c r="A407" s="18"/>
      <c r="B407" s="18"/>
      <c r="C407" s="18"/>
      <c r="D407" s="33"/>
      <c r="E407" s="33"/>
      <c r="F407" s="34"/>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c r="AR407" s="18"/>
      <c r="AS407" s="18"/>
      <c r="AT407" s="18"/>
      <c r="AU407" s="18"/>
      <c r="AV407" s="18"/>
      <c r="AW407" s="18"/>
      <c r="AX407" s="18"/>
      <c r="AY407" s="18"/>
      <c r="AZ407" s="18"/>
      <c r="BA407" s="18"/>
    </row>
    <row r="408">
      <c r="A408" s="18"/>
      <c r="B408" s="18"/>
      <c r="C408" s="18"/>
      <c r="D408" s="33"/>
      <c r="E408" s="33"/>
      <c r="F408" s="34"/>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8"/>
    </row>
    <row r="409">
      <c r="A409" s="18"/>
      <c r="B409" s="18"/>
      <c r="C409" s="18"/>
      <c r="D409" s="33"/>
      <c r="E409" s="33"/>
      <c r="F409" s="34"/>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row>
    <row r="410">
      <c r="A410" s="18"/>
      <c r="B410" s="18"/>
      <c r="C410" s="18"/>
      <c r="D410" s="33"/>
      <c r="E410" s="33"/>
      <c r="F410" s="34"/>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8"/>
    </row>
    <row r="411">
      <c r="A411" s="18"/>
      <c r="B411" s="18"/>
      <c r="C411" s="18"/>
      <c r="D411" s="33"/>
      <c r="E411" s="33"/>
      <c r="F411" s="34"/>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row>
    <row r="412">
      <c r="A412" s="18"/>
      <c r="B412" s="18"/>
      <c r="C412" s="18"/>
      <c r="D412" s="33"/>
      <c r="E412" s="33"/>
      <c r="F412" s="34"/>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8"/>
    </row>
    <row r="413">
      <c r="A413" s="18"/>
      <c r="B413" s="18"/>
      <c r="C413" s="18"/>
      <c r="D413" s="33"/>
      <c r="E413" s="33"/>
      <c r="F413" s="34"/>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row>
    <row r="414">
      <c r="A414" s="18"/>
      <c r="B414" s="18"/>
      <c r="C414" s="18"/>
      <c r="D414" s="33"/>
      <c r="E414" s="33"/>
      <c r="F414" s="34"/>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c r="AP414" s="18"/>
      <c r="AQ414" s="18"/>
      <c r="AR414" s="18"/>
      <c r="AS414" s="18"/>
      <c r="AT414" s="18"/>
      <c r="AU414" s="18"/>
      <c r="AV414" s="18"/>
      <c r="AW414" s="18"/>
      <c r="AX414" s="18"/>
      <c r="AY414" s="18"/>
      <c r="AZ414" s="18"/>
      <c r="BA414" s="18"/>
    </row>
    <row r="415">
      <c r="A415" s="18"/>
      <c r="B415" s="18"/>
      <c r="C415" s="18"/>
      <c r="D415" s="33"/>
      <c r="E415" s="33"/>
      <c r="F415" s="34"/>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row>
    <row r="416">
      <c r="A416" s="18"/>
      <c r="B416" s="18"/>
      <c r="C416" s="18"/>
      <c r="D416" s="33"/>
      <c r="E416" s="33"/>
      <c r="F416" s="34"/>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8"/>
    </row>
    <row r="417">
      <c r="A417" s="18"/>
      <c r="B417" s="18"/>
      <c r="C417" s="18"/>
      <c r="D417" s="33"/>
      <c r="E417" s="33"/>
      <c r="F417" s="34"/>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row>
    <row r="418">
      <c r="A418" s="18"/>
      <c r="B418" s="18"/>
      <c r="C418" s="18"/>
      <c r="D418" s="33"/>
      <c r="E418" s="33"/>
      <c r="F418" s="34"/>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8"/>
    </row>
    <row r="419">
      <c r="A419" s="18"/>
      <c r="B419" s="18"/>
      <c r="C419" s="18"/>
      <c r="D419" s="33"/>
      <c r="E419" s="33"/>
      <c r="F419" s="34"/>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row>
    <row r="420">
      <c r="A420" s="18"/>
      <c r="B420" s="18"/>
      <c r="C420" s="18"/>
      <c r="D420" s="33"/>
      <c r="E420" s="33"/>
      <c r="F420" s="34"/>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8"/>
    </row>
    <row r="421">
      <c r="A421" s="18"/>
      <c r="B421" s="18"/>
      <c r="C421" s="18"/>
      <c r="D421" s="33"/>
      <c r="E421" s="33"/>
      <c r="F421" s="34"/>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c r="AU421" s="18"/>
      <c r="AV421" s="18"/>
      <c r="AW421" s="18"/>
      <c r="AX421" s="18"/>
      <c r="AY421" s="18"/>
      <c r="AZ421" s="18"/>
      <c r="BA421" s="18"/>
    </row>
    <row r="422">
      <c r="A422" s="18"/>
      <c r="B422" s="18"/>
      <c r="C422" s="18"/>
      <c r="D422" s="33"/>
      <c r="E422" s="33"/>
      <c r="F422" s="34"/>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8"/>
    </row>
    <row r="423">
      <c r="A423" s="18"/>
      <c r="B423" s="18"/>
      <c r="C423" s="18"/>
      <c r="D423" s="33"/>
      <c r="E423" s="33"/>
      <c r="F423" s="34"/>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row>
    <row r="424">
      <c r="A424" s="18"/>
      <c r="B424" s="18"/>
      <c r="C424" s="18"/>
      <c r="D424" s="33"/>
      <c r="E424" s="33"/>
      <c r="F424" s="34"/>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8"/>
    </row>
    <row r="425">
      <c r="A425" s="18"/>
      <c r="B425" s="18"/>
      <c r="C425" s="18"/>
      <c r="D425" s="33"/>
      <c r="E425" s="33"/>
      <c r="F425" s="34"/>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row>
    <row r="426">
      <c r="A426" s="18"/>
      <c r="B426" s="18"/>
      <c r="C426" s="18"/>
      <c r="D426" s="33"/>
      <c r="E426" s="33"/>
      <c r="F426" s="34"/>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8"/>
    </row>
    <row r="427">
      <c r="A427" s="18"/>
      <c r="B427" s="18"/>
      <c r="C427" s="18"/>
      <c r="D427" s="33"/>
      <c r="E427" s="33"/>
      <c r="F427" s="34"/>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row>
    <row r="428">
      <c r="A428" s="18"/>
      <c r="B428" s="18"/>
      <c r="C428" s="18"/>
      <c r="D428" s="33"/>
      <c r="E428" s="33"/>
      <c r="F428" s="34"/>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c r="AP428" s="18"/>
      <c r="AQ428" s="18"/>
      <c r="AR428" s="18"/>
      <c r="AS428" s="18"/>
      <c r="AT428" s="18"/>
      <c r="AU428" s="18"/>
      <c r="AV428" s="18"/>
      <c r="AW428" s="18"/>
      <c r="AX428" s="18"/>
      <c r="AY428" s="18"/>
      <c r="AZ428" s="18"/>
      <c r="BA428" s="18"/>
    </row>
    <row r="429">
      <c r="A429" s="18"/>
      <c r="B429" s="18"/>
      <c r="C429" s="18"/>
      <c r="D429" s="33"/>
      <c r="E429" s="33"/>
      <c r="F429" s="34"/>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row>
    <row r="430">
      <c r="A430" s="18"/>
      <c r="B430" s="18"/>
      <c r="C430" s="18"/>
      <c r="D430" s="33"/>
      <c r="E430" s="33"/>
      <c r="F430" s="34"/>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8"/>
    </row>
    <row r="431">
      <c r="A431" s="18"/>
      <c r="B431" s="18"/>
      <c r="C431" s="18"/>
      <c r="D431" s="33"/>
      <c r="E431" s="33"/>
      <c r="F431" s="34"/>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8"/>
    </row>
    <row r="432">
      <c r="A432" s="18"/>
      <c r="B432" s="18"/>
      <c r="C432" s="18"/>
      <c r="D432" s="33"/>
      <c r="E432" s="33"/>
      <c r="F432" s="34"/>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8"/>
    </row>
    <row r="433">
      <c r="A433" s="18"/>
      <c r="B433" s="18"/>
      <c r="C433" s="18"/>
      <c r="D433" s="33"/>
      <c r="E433" s="33"/>
      <c r="F433" s="34"/>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8"/>
    </row>
    <row r="434">
      <c r="A434" s="18"/>
      <c r="B434" s="18"/>
      <c r="C434" s="18"/>
      <c r="D434" s="33"/>
      <c r="E434" s="33"/>
      <c r="F434" s="34"/>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8"/>
      <c r="BA434" s="18"/>
    </row>
    <row r="435">
      <c r="A435" s="18"/>
      <c r="B435" s="18"/>
      <c r="C435" s="18"/>
      <c r="D435" s="33"/>
      <c r="E435" s="33"/>
      <c r="F435" s="34"/>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c r="AP435" s="18"/>
      <c r="AQ435" s="18"/>
      <c r="AR435" s="18"/>
      <c r="AS435" s="18"/>
      <c r="AT435" s="18"/>
      <c r="AU435" s="18"/>
      <c r="AV435" s="18"/>
      <c r="AW435" s="18"/>
      <c r="AX435" s="18"/>
      <c r="AY435" s="18"/>
      <c r="AZ435" s="18"/>
      <c r="BA435" s="18"/>
    </row>
    <row r="436">
      <c r="A436" s="18"/>
      <c r="B436" s="18"/>
      <c r="C436" s="18"/>
      <c r="D436" s="33"/>
      <c r="E436" s="33"/>
      <c r="F436" s="34"/>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8"/>
    </row>
    <row r="437">
      <c r="A437" s="18"/>
      <c r="B437" s="18"/>
      <c r="C437" s="18"/>
      <c r="D437" s="33"/>
      <c r="E437" s="33"/>
      <c r="F437" s="34"/>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row>
    <row r="438">
      <c r="A438" s="18"/>
      <c r="B438" s="18"/>
      <c r="C438" s="18"/>
      <c r="D438" s="33"/>
      <c r="E438" s="33"/>
      <c r="F438" s="34"/>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8"/>
    </row>
    <row r="439">
      <c r="A439" s="18"/>
      <c r="B439" s="18"/>
      <c r="C439" s="18"/>
      <c r="D439" s="33"/>
      <c r="E439" s="33"/>
      <c r="F439" s="34"/>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8"/>
    </row>
    <row r="440">
      <c r="A440" s="18"/>
      <c r="B440" s="18"/>
      <c r="C440" s="18"/>
      <c r="D440" s="33"/>
      <c r="E440" s="33"/>
      <c r="F440" s="34"/>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8"/>
    </row>
    <row r="441">
      <c r="A441" s="18"/>
      <c r="B441" s="18"/>
      <c r="C441" s="18"/>
      <c r="D441" s="33"/>
      <c r="E441" s="33"/>
      <c r="F441" s="34"/>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8"/>
    </row>
    <row r="442">
      <c r="A442" s="18"/>
      <c r="B442" s="18"/>
      <c r="C442" s="18"/>
      <c r="D442" s="33"/>
      <c r="E442" s="33"/>
      <c r="F442" s="34"/>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c r="AP442" s="18"/>
      <c r="AQ442" s="18"/>
      <c r="AR442" s="18"/>
      <c r="AS442" s="18"/>
      <c r="AT442" s="18"/>
      <c r="AU442" s="18"/>
      <c r="AV442" s="18"/>
      <c r="AW442" s="18"/>
      <c r="AX442" s="18"/>
      <c r="AY442" s="18"/>
      <c r="AZ442" s="18"/>
      <c r="BA442" s="18"/>
    </row>
    <row r="443">
      <c r="A443" s="18"/>
      <c r="B443" s="18"/>
      <c r="C443" s="18"/>
      <c r="D443" s="33"/>
      <c r="E443" s="33"/>
      <c r="F443" s="34"/>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8"/>
    </row>
    <row r="444">
      <c r="A444" s="18"/>
      <c r="B444" s="18"/>
      <c r="C444" s="18"/>
      <c r="D444" s="33"/>
      <c r="E444" s="33"/>
      <c r="F444" s="34"/>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8"/>
      <c r="BA444" s="18"/>
    </row>
    <row r="445">
      <c r="A445" s="18"/>
      <c r="B445" s="18"/>
      <c r="C445" s="18"/>
      <c r="D445" s="33"/>
      <c r="E445" s="33"/>
      <c r="F445" s="34"/>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row>
    <row r="446">
      <c r="A446" s="18"/>
      <c r="B446" s="18"/>
      <c r="C446" s="18"/>
      <c r="D446" s="33"/>
      <c r="E446" s="33"/>
      <c r="F446" s="34"/>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8"/>
    </row>
    <row r="447">
      <c r="A447" s="18"/>
      <c r="B447" s="18"/>
      <c r="C447" s="18"/>
      <c r="D447" s="33"/>
      <c r="E447" s="33"/>
      <c r="F447" s="34"/>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row>
    <row r="448">
      <c r="A448" s="18"/>
      <c r="B448" s="18"/>
      <c r="C448" s="18"/>
      <c r="D448" s="33"/>
      <c r="E448" s="33"/>
      <c r="F448" s="34"/>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8"/>
    </row>
    <row r="449">
      <c r="A449" s="18"/>
      <c r="B449" s="18"/>
      <c r="C449" s="18"/>
      <c r="D449" s="33"/>
      <c r="E449" s="33"/>
      <c r="F449" s="34"/>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c r="AS449" s="18"/>
      <c r="AT449" s="18"/>
      <c r="AU449" s="18"/>
      <c r="AV449" s="18"/>
      <c r="AW449" s="18"/>
      <c r="AX449" s="18"/>
      <c r="AY449" s="18"/>
      <c r="AZ449" s="18"/>
      <c r="BA449" s="18"/>
    </row>
    <row r="450">
      <c r="A450" s="18"/>
      <c r="B450" s="18"/>
      <c r="C450" s="18"/>
      <c r="D450" s="33"/>
      <c r="E450" s="33"/>
      <c r="F450" s="34"/>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8"/>
    </row>
    <row r="451">
      <c r="A451" s="18"/>
      <c r="B451" s="18"/>
      <c r="C451" s="18"/>
      <c r="D451" s="33"/>
      <c r="E451" s="33"/>
      <c r="F451" s="34"/>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c r="AR451" s="18"/>
      <c r="AS451" s="18"/>
      <c r="AT451" s="18"/>
      <c r="AU451" s="18"/>
      <c r="AV451" s="18"/>
      <c r="AW451" s="18"/>
      <c r="AX451" s="18"/>
      <c r="AY451" s="18"/>
      <c r="AZ451" s="18"/>
      <c r="BA451" s="18"/>
    </row>
    <row r="452">
      <c r="A452" s="18"/>
      <c r="B452" s="18"/>
      <c r="C452" s="18"/>
      <c r="D452" s="33"/>
      <c r="E452" s="33"/>
      <c r="F452" s="34"/>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8"/>
    </row>
    <row r="453">
      <c r="A453" s="18"/>
      <c r="B453" s="18"/>
      <c r="C453" s="18"/>
      <c r="D453" s="33"/>
      <c r="E453" s="33"/>
      <c r="F453" s="34"/>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row>
    <row r="454">
      <c r="A454" s="18"/>
      <c r="B454" s="18"/>
      <c r="C454" s="18"/>
      <c r="D454" s="33"/>
      <c r="E454" s="33"/>
      <c r="F454" s="34"/>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8"/>
    </row>
    <row r="455">
      <c r="A455" s="18"/>
      <c r="B455" s="18"/>
      <c r="C455" s="18"/>
      <c r="D455" s="33"/>
      <c r="E455" s="33"/>
      <c r="F455" s="34"/>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8"/>
    </row>
    <row r="456">
      <c r="A456" s="18"/>
      <c r="B456" s="18"/>
      <c r="C456" s="18"/>
      <c r="D456" s="33"/>
      <c r="E456" s="33"/>
      <c r="F456" s="34"/>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8"/>
    </row>
    <row r="457">
      <c r="A457" s="18"/>
      <c r="B457" s="18"/>
      <c r="C457" s="18"/>
      <c r="D457" s="33"/>
      <c r="E457" s="33"/>
      <c r="F457" s="34"/>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c r="AU457" s="18"/>
      <c r="AV457" s="18"/>
      <c r="AW457" s="18"/>
      <c r="AX457" s="18"/>
      <c r="AY457" s="18"/>
      <c r="AZ457" s="18"/>
      <c r="BA457" s="18"/>
    </row>
    <row r="458">
      <c r="A458" s="18"/>
      <c r="B458" s="18"/>
      <c r="C458" s="18"/>
      <c r="D458" s="33"/>
      <c r="E458" s="33"/>
      <c r="F458" s="34"/>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8"/>
    </row>
    <row r="459">
      <c r="A459" s="18"/>
      <c r="B459" s="18"/>
      <c r="C459" s="18"/>
      <c r="D459" s="33"/>
      <c r="E459" s="33"/>
      <c r="F459" s="34"/>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row>
    <row r="460">
      <c r="A460" s="18"/>
      <c r="B460" s="18"/>
      <c r="C460" s="18"/>
      <c r="D460" s="33"/>
      <c r="E460" s="33"/>
      <c r="F460" s="34"/>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8"/>
    </row>
    <row r="461">
      <c r="A461" s="18"/>
      <c r="B461" s="18"/>
      <c r="C461" s="18"/>
      <c r="D461" s="33"/>
      <c r="E461" s="33"/>
      <c r="F461" s="34"/>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row>
    <row r="462">
      <c r="A462" s="18"/>
      <c r="B462" s="18"/>
      <c r="C462" s="18"/>
      <c r="D462" s="33"/>
      <c r="E462" s="33"/>
      <c r="F462" s="34"/>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8"/>
    </row>
    <row r="463">
      <c r="A463" s="18"/>
      <c r="B463" s="18"/>
      <c r="C463" s="18"/>
      <c r="D463" s="33"/>
      <c r="E463" s="33"/>
      <c r="F463" s="34"/>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c r="AU463" s="18"/>
      <c r="AV463" s="18"/>
      <c r="AW463" s="18"/>
      <c r="AX463" s="18"/>
      <c r="AY463" s="18"/>
      <c r="AZ463" s="18"/>
      <c r="BA463" s="18"/>
    </row>
    <row r="464">
      <c r="A464" s="18"/>
      <c r="B464" s="18"/>
      <c r="C464" s="18"/>
      <c r="D464" s="33"/>
      <c r="E464" s="33"/>
      <c r="F464" s="34"/>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8"/>
    </row>
    <row r="465">
      <c r="A465" s="18"/>
      <c r="B465" s="18"/>
      <c r="C465" s="18"/>
      <c r="D465" s="33"/>
      <c r="E465" s="33"/>
      <c r="F465" s="34"/>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row>
    <row r="466">
      <c r="A466" s="18"/>
      <c r="B466" s="18"/>
      <c r="C466" s="18"/>
      <c r="D466" s="33"/>
      <c r="E466" s="33"/>
      <c r="F466" s="34"/>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8"/>
    </row>
    <row r="467">
      <c r="A467" s="18"/>
      <c r="B467" s="18"/>
      <c r="C467" s="18"/>
      <c r="D467" s="33"/>
      <c r="E467" s="33"/>
      <c r="F467" s="34"/>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row>
    <row r="468">
      <c r="A468" s="18"/>
      <c r="B468" s="18"/>
      <c r="C468" s="18"/>
      <c r="D468" s="33"/>
      <c r="E468" s="33"/>
      <c r="F468" s="34"/>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8"/>
    </row>
    <row r="469">
      <c r="A469" s="18"/>
      <c r="B469" s="18"/>
      <c r="C469" s="18"/>
      <c r="D469" s="33"/>
      <c r="E469" s="33"/>
      <c r="F469" s="34"/>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c r="AU469" s="18"/>
      <c r="AV469" s="18"/>
      <c r="AW469" s="18"/>
      <c r="AX469" s="18"/>
      <c r="AY469" s="18"/>
      <c r="AZ469" s="18"/>
      <c r="BA469" s="18"/>
    </row>
    <row r="470">
      <c r="A470" s="18"/>
      <c r="B470" s="18"/>
      <c r="C470" s="18"/>
      <c r="D470" s="33"/>
      <c r="E470" s="33"/>
      <c r="F470" s="34"/>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8"/>
    </row>
    <row r="471">
      <c r="A471" s="18"/>
      <c r="B471" s="18"/>
      <c r="C471" s="18"/>
      <c r="D471" s="33"/>
      <c r="E471" s="33"/>
      <c r="F471" s="34"/>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row>
    <row r="472">
      <c r="A472" s="18"/>
      <c r="B472" s="18"/>
      <c r="C472" s="18"/>
      <c r="D472" s="33"/>
      <c r="E472" s="33"/>
      <c r="F472" s="34"/>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8"/>
    </row>
    <row r="473">
      <c r="A473" s="18"/>
      <c r="B473" s="18"/>
      <c r="C473" s="18"/>
      <c r="D473" s="33"/>
      <c r="E473" s="33"/>
      <c r="F473" s="34"/>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8"/>
    </row>
    <row r="474">
      <c r="A474" s="18"/>
      <c r="B474" s="18"/>
      <c r="C474" s="18"/>
      <c r="D474" s="33"/>
      <c r="E474" s="33"/>
      <c r="F474" s="34"/>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8"/>
    </row>
    <row r="475">
      <c r="A475" s="18"/>
      <c r="B475" s="18"/>
      <c r="C475" s="18"/>
      <c r="D475" s="33"/>
      <c r="E475" s="33"/>
      <c r="F475" s="34"/>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c r="AP475" s="18"/>
      <c r="AQ475" s="18"/>
      <c r="AR475" s="18"/>
      <c r="AS475" s="18"/>
      <c r="AT475" s="18"/>
      <c r="AU475" s="18"/>
      <c r="AV475" s="18"/>
      <c r="AW475" s="18"/>
      <c r="AX475" s="18"/>
      <c r="AY475" s="18"/>
      <c r="AZ475" s="18"/>
      <c r="BA475" s="18"/>
    </row>
    <row r="476">
      <c r="A476" s="18"/>
      <c r="B476" s="18"/>
      <c r="C476" s="18"/>
      <c r="D476" s="33"/>
      <c r="E476" s="33"/>
      <c r="F476" s="34"/>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8"/>
    </row>
    <row r="477">
      <c r="A477" s="18"/>
      <c r="B477" s="18"/>
      <c r="C477" s="18"/>
      <c r="D477" s="33"/>
      <c r="E477" s="33"/>
      <c r="F477" s="34"/>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8"/>
    </row>
    <row r="478">
      <c r="A478" s="18"/>
      <c r="B478" s="18"/>
      <c r="C478" s="18"/>
      <c r="D478" s="33"/>
      <c r="E478" s="33"/>
      <c r="F478" s="34"/>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8"/>
    </row>
    <row r="479">
      <c r="A479" s="18"/>
      <c r="B479" s="18"/>
      <c r="C479" s="18"/>
      <c r="D479" s="33"/>
      <c r="E479" s="33"/>
      <c r="F479" s="34"/>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8"/>
    </row>
    <row r="480">
      <c r="A480" s="18"/>
      <c r="B480" s="18"/>
      <c r="C480" s="18"/>
      <c r="D480" s="33"/>
      <c r="E480" s="33"/>
      <c r="F480" s="34"/>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8"/>
    </row>
    <row r="481">
      <c r="A481" s="18"/>
      <c r="B481" s="18"/>
      <c r="C481" s="18"/>
      <c r="D481" s="33"/>
      <c r="E481" s="33"/>
      <c r="F481" s="34"/>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c r="AP481" s="18"/>
      <c r="AQ481" s="18"/>
      <c r="AR481" s="18"/>
      <c r="AS481" s="18"/>
      <c r="AT481" s="18"/>
      <c r="AU481" s="18"/>
      <c r="AV481" s="18"/>
      <c r="AW481" s="18"/>
      <c r="AX481" s="18"/>
      <c r="AY481" s="18"/>
      <c r="AZ481" s="18"/>
      <c r="BA481" s="18"/>
    </row>
    <row r="482">
      <c r="A482" s="18"/>
      <c r="B482" s="18"/>
      <c r="C482" s="18"/>
      <c r="D482" s="33"/>
      <c r="E482" s="33"/>
      <c r="F482" s="34"/>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8"/>
    </row>
    <row r="483">
      <c r="A483" s="18"/>
      <c r="B483" s="18"/>
      <c r="C483" s="18"/>
      <c r="D483" s="33"/>
      <c r="E483" s="33"/>
      <c r="F483" s="34"/>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8"/>
    </row>
    <row r="484">
      <c r="A484" s="18"/>
      <c r="B484" s="18"/>
      <c r="C484" s="18"/>
      <c r="D484" s="33"/>
      <c r="E484" s="33"/>
      <c r="F484" s="34"/>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8"/>
    </row>
    <row r="485">
      <c r="A485" s="18"/>
      <c r="B485" s="18"/>
      <c r="C485" s="18"/>
      <c r="D485" s="33"/>
      <c r="E485" s="33"/>
      <c r="F485" s="34"/>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8"/>
    </row>
    <row r="486">
      <c r="A486" s="18"/>
      <c r="B486" s="18"/>
      <c r="C486" s="18"/>
      <c r="D486" s="33"/>
      <c r="E486" s="33"/>
      <c r="F486" s="34"/>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8"/>
    </row>
    <row r="487">
      <c r="A487" s="18"/>
      <c r="B487" s="18"/>
      <c r="C487" s="18"/>
      <c r="D487" s="33"/>
      <c r="E487" s="33"/>
      <c r="F487" s="34"/>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c r="AP487" s="18"/>
      <c r="AQ487" s="18"/>
      <c r="AR487" s="18"/>
      <c r="AS487" s="18"/>
      <c r="AT487" s="18"/>
      <c r="AU487" s="18"/>
      <c r="AV487" s="18"/>
      <c r="AW487" s="18"/>
      <c r="AX487" s="18"/>
      <c r="AY487" s="18"/>
      <c r="AZ487" s="18"/>
      <c r="BA487" s="18"/>
    </row>
    <row r="488">
      <c r="A488" s="18"/>
      <c r="B488" s="18"/>
      <c r="C488" s="18"/>
      <c r="D488" s="33"/>
      <c r="E488" s="33"/>
      <c r="F488" s="34"/>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8"/>
    </row>
    <row r="489">
      <c r="A489" s="18"/>
      <c r="B489" s="18"/>
      <c r="C489" s="18"/>
      <c r="D489" s="33"/>
      <c r="E489" s="33"/>
      <c r="F489" s="34"/>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8"/>
    </row>
    <row r="490">
      <c r="A490" s="18"/>
      <c r="B490" s="18"/>
      <c r="C490" s="18"/>
      <c r="D490" s="33"/>
      <c r="E490" s="33"/>
      <c r="F490" s="34"/>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8"/>
    </row>
    <row r="491">
      <c r="A491" s="18"/>
      <c r="B491" s="18"/>
      <c r="C491" s="18"/>
      <c r="D491" s="33"/>
      <c r="E491" s="33"/>
      <c r="F491" s="34"/>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8"/>
    </row>
    <row r="492">
      <c r="A492" s="18"/>
      <c r="B492" s="18"/>
      <c r="C492" s="18"/>
      <c r="D492" s="33"/>
      <c r="E492" s="33"/>
      <c r="F492" s="34"/>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8"/>
    </row>
    <row r="493">
      <c r="A493" s="18"/>
      <c r="B493" s="18"/>
      <c r="C493" s="18"/>
      <c r="D493" s="33"/>
      <c r="E493" s="33"/>
      <c r="F493" s="34"/>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c r="AP493" s="18"/>
      <c r="AQ493" s="18"/>
      <c r="AR493" s="18"/>
      <c r="AS493" s="18"/>
      <c r="AT493" s="18"/>
      <c r="AU493" s="18"/>
      <c r="AV493" s="18"/>
      <c r="AW493" s="18"/>
      <c r="AX493" s="18"/>
      <c r="AY493" s="18"/>
      <c r="AZ493" s="18"/>
      <c r="BA493" s="18"/>
    </row>
    <row r="494">
      <c r="A494" s="18"/>
      <c r="B494" s="18"/>
      <c r="C494" s="18"/>
      <c r="D494" s="33"/>
      <c r="E494" s="33"/>
      <c r="F494" s="34"/>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8"/>
    </row>
    <row r="495">
      <c r="A495" s="18"/>
      <c r="B495" s="18"/>
      <c r="C495" s="18"/>
      <c r="D495" s="33"/>
      <c r="E495" s="33"/>
      <c r="F495" s="34"/>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8"/>
    </row>
    <row r="496">
      <c r="A496" s="18"/>
      <c r="B496" s="18"/>
      <c r="C496" s="18"/>
      <c r="D496" s="33"/>
      <c r="E496" s="33"/>
      <c r="F496" s="34"/>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8"/>
    </row>
    <row r="497">
      <c r="A497" s="18"/>
      <c r="B497" s="18"/>
      <c r="C497" s="18"/>
      <c r="D497" s="33"/>
      <c r="E497" s="33"/>
      <c r="F497" s="34"/>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8"/>
    </row>
    <row r="498">
      <c r="A498" s="18"/>
      <c r="B498" s="18"/>
      <c r="C498" s="18"/>
      <c r="D498" s="33"/>
      <c r="E498" s="33"/>
      <c r="F498" s="34"/>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8"/>
    </row>
    <row r="499">
      <c r="A499" s="18"/>
      <c r="B499" s="18"/>
      <c r="C499" s="18"/>
      <c r="D499" s="33"/>
      <c r="E499" s="33"/>
      <c r="F499" s="34"/>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c r="AP499" s="18"/>
      <c r="AQ499" s="18"/>
      <c r="AR499" s="18"/>
      <c r="AS499" s="18"/>
      <c r="AT499" s="18"/>
      <c r="AU499" s="18"/>
      <c r="AV499" s="18"/>
      <c r="AW499" s="18"/>
      <c r="AX499" s="18"/>
      <c r="AY499" s="18"/>
      <c r="AZ499" s="18"/>
      <c r="BA499" s="18"/>
    </row>
    <row r="500">
      <c r="A500" s="18"/>
      <c r="B500" s="18"/>
      <c r="C500" s="18"/>
      <c r="D500" s="33"/>
      <c r="E500" s="33"/>
      <c r="F500" s="34"/>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8"/>
    </row>
    <row r="501">
      <c r="A501" s="18"/>
      <c r="B501" s="18"/>
      <c r="C501" s="18"/>
      <c r="D501" s="33"/>
      <c r="E501" s="33"/>
      <c r="F501" s="34"/>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8"/>
    </row>
    <row r="502">
      <c r="A502" s="18"/>
      <c r="B502" s="18"/>
      <c r="C502" s="18"/>
      <c r="D502" s="33"/>
      <c r="E502" s="33"/>
      <c r="F502" s="34"/>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8"/>
    </row>
    <row r="503">
      <c r="A503" s="18"/>
      <c r="B503" s="18"/>
      <c r="C503" s="18"/>
      <c r="D503" s="33"/>
      <c r="E503" s="33"/>
      <c r="F503" s="34"/>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row>
    <row r="504">
      <c r="A504" s="18"/>
      <c r="B504" s="18"/>
      <c r="C504" s="18"/>
      <c r="D504" s="33"/>
      <c r="E504" s="33"/>
      <c r="F504" s="34"/>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8"/>
    </row>
    <row r="505">
      <c r="A505" s="18"/>
      <c r="B505" s="18"/>
      <c r="C505" s="18"/>
      <c r="D505" s="33"/>
      <c r="E505" s="33"/>
      <c r="F505" s="34"/>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c r="AU505" s="18"/>
      <c r="AV505" s="18"/>
      <c r="AW505" s="18"/>
      <c r="AX505" s="18"/>
      <c r="AY505" s="18"/>
      <c r="AZ505" s="18"/>
      <c r="BA505" s="18"/>
    </row>
    <row r="506">
      <c r="A506" s="18"/>
      <c r="B506" s="18"/>
      <c r="C506" s="18"/>
      <c r="D506" s="33"/>
      <c r="E506" s="33"/>
      <c r="F506" s="34"/>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8"/>
    </row>
    <row r="507">
      <c r="A507" s="18"/>
      <c r="B507" s="18"/>
      <c r="C507" s="18"/>
      <c r="D507" s="33"/>
      <c r="E507" s="33"/>
      <c r="F507" s="34"/>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row>
    <row r="508">
      <c r="A508" s="18"/>
      <c r="B508" s="18"/>
      <c r="C508" s="18"/>
      <c r="D508" s="33"/>
      <c r="E508" s="33"/>
      <c r="F508" s="34"/>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8"/>
    </row>
    <row r="509">
      <c r="A509" s="18"/>
      <c r="B509" s="18"/>
      <c r="C509" s="18"/>
      <c r="D509" s="33"/>
      <c r="E509" s="33"/>
      <c r="F509" s="34"/>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row>
    <row r="510">
      <c r="A510" s="18"/>
      <c r="B510" s="18"/>
      <c r="C510" s="18"/>
      <c r="D510" s="33"/>
      <c r="E510" s="33"/>
      <c r="F510" s="34"/>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8"/>
    </row>
    <row r="511">
      <c r="A511" s="18"/>
      <c r="B511" s="18"/>
      <c r="C511" s="18"/>
      <c r="D511" s="33"/>
      <c r="E511" s="33"/>
      <c r="F511" s="34"/>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c r="AP511" s="18"/>
      <c r="AQ511" s="18"/>
      <c r="AR511" s="18"/>
      <c r="AS511" s="18"/>
      <c r="AT511" s="18"/>
      <c r="AU511" s="18"/>
      <c r="AV511" s="18"/>
      <c r="AW511" s="18"/>
      <c r="AX511" s="18"/>
      <c r="AY511" s="18"/>
      <c r="AZ511" s="18"/>
      <c r="BA511" s="18"/>
    </row>
    <row r="512">
      <c r="A512" s="18"/>
      <c r="B512" s="18"/>
      <c r="C512" s="18"/>
      <c r="D512" s="33"/>
      <c r="E512" s="33"/>
      <c r="F512" s="34"/>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8"/>
      <c r="BA512" s="18"/>
    </row>
    <row r="513">
      <c r="A513" s="18"/>
      <c r="B513" s="18"/>
      <c r="C513" s="18"/>
      <c r="D513" s="33"/>
      <c r="E513" s="33"/>
      <c r="F513" s="34"/>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8"/>
    </row>
    <row r="514">
      <c r="A514" s="18"/>
      <c r="B514" s="18"/>
      <c r="C514" s="18"/>
      <c r="D514" s="33"/>
      <c r="E514" s="33"/>
      <c r="F514" s="34"/>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8"/>
      <c r="BA514" s="18"/>
    </row>
    <row r="515">
      <c r="A515" s="18"/>
      <c r="B515" s="18"/>
      <c r="C515" s="18"/>
      <c r="D515" s="33"/>
      <c r="E515" s="33"/>
      <c r="F515" s="34"/>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8"/>
    </row>
    <row r="516">
      <c r="A516" s="18"/>
      <c r="B516" s="18"/>
      <c r="C516" s="18"/>
      <c r="D516" s="33"/>
      <c r="E516" s="33"/>
      <c r="F516" s="34"/>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8"/>
    </row>
    <row r="517">
      <c r="A517" s="18"/>
      <c r="B517" s="18"/>
      <c r="C517" s="18"/>
      <c r="D517" s="33"/>
      <c r="E517" s="33"/>
      <c r="F517" s="34"/>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row>
    <row r="518">
      <c r="A518" s="18"/>
      <c r="B518" s="18"/>
      <c r="C518" s="18"/>
      <c r="D518" s="33"/>
      <c r="E518" s="33"/>
      <c r="F518" s="34"/>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8"/>
    </row>
    <row r="519">
      <c r="A519" s="18"/>
      <c r="B519" s="18"/>
      <c r="C519" s="18"/>
      <c r="D519" s="33"/>
      <c r="E519" s="33"/>
      <c r="F519" s="34"/>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row>
    <row r="520">
      <c r="A520" s="18"/>
      <c r="B520" s="18"/>
      <c r="C520" s="18"/>
      <c r="D520" s="33"/>
      <c r="E520" s="33"/>
      <c r="F520" s="34"/>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8"/>
    </row>
    <row r="521">
      <c r="A521" s="18"/>
      <c r="B521" s="18"/>
      <c r="C521" s="18"/>
      <c r="D521" s="33"/>
      <c r="E521" s="33"/>
      <c r="F521" s="34"/>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row>
    <row r="522">
      <c r="A522" s="18"/>
      <c r="B522" s="18"/>
      <c r="C522" s="18"/>
      <c r="D522" s="33"/>
      <c r="E522" s="33"/>
      <c r="F522" s="34"/>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8"/>
    </row>
    <row r="523">
      <c r="A523" s="18"/>
      <c r="B523" s="18"/>
      <c r="C523" s="18"/>
      <c r="D523" s="33"/>
      <c r="E523" s="33"/>
      <c r="F523" s="34"/>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row>
    <row r="524">
      <c r="A524" s="18"/>
      <c r="B524" s="18"/>
      <c r="C524" s="18"/>
      <c r="D524" s="33"/>
      <c r="E524" s="33"/>
      <c r="F524" s="34"/>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8"/>
    </row>
    <row r="525">
      <c r="A525" s="18"/>
      <c r="B525" s="18"/>
      <c r="C525" s="18"/>
      <c r="D525" s="33"/>
      <c r="E525" s="33"/>
      <c r="F525" s="34"/>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8"/>
    </row>
    <row r="526">
      <c r="A526" s="18"/>
      <c r="B526" s="18"/>
      <c r="C526" s="18"/>
      <c r="D526" s="33"/>
      <c r="E526" s="33"/>
      <c r="F526" s="34"/>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8"/>
    </row>
    <row r="527">
      <c r="A527" s="18"/>
      <c r="B527" s="18"/>
      <c r="C527" s="18"/>
      <c r="D527" s="33"/>
      <c r="E527" s="33"/>
      <c r="F527" s="34"/>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8"/>
    </row>
    <row r="528">
      <c r="A528" s="18"/>
      <c r="B528" s="18"/>
      <c r="C528" s="18"/>
      <c r="D528" s="33"/>
      <c r="E528" s="33"/>
      <c r="F528" s="34"/>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8"/>
    </row>
    <row r="529">
      <c r="A529" s="18"/>
      <c r="B529" s="18"/>
      <c r="C529" s="18"/>
      <c r="D529" s="33"/>
      <c r="E529" s="33"/>
      <c r="F529" s="34"/>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row>
    <row r="530">
      <c r="A530" s="18"/>
      <c r="B530" s="18"/>
      <c r="C530" s="18"/>
      <c r="D530" s="33"/>
      <c r="E530" s="33"/>
      <c r="F530" s="34"/>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8"/>
    </row>
    <row r="531">
      <c r="A531" s="18"/>
      <c r="B531" s="18"/>
      <c r="C531" s="18"/>
      <c r="D531" s="33"/>
      <c r="E531" s="33"/>
      <c r="F531" s="34"/>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c r="AP531" s="18"/>
      <c r="AQ531" s="18"/>
      <c r="AR531" s="18"/>
      <c r="AS531" s="18"/>
      <c r="AT531" s="18"/>
      <c r="AU531" s="18"/>
      <c r="AV531" s="18"/>
      <c r="AW531" s="18"/>
      <c r="AX531" s="18"/>
      <c r="AY531" s="18"/>
      <c r="AZ531" s="18"/>
      <c r="BA531" s="18"/>
    </row>
    <row r="532">
      <c r="A532" s="18"/>
      <c r="B532" s="18"/>
      <c r="C532" s="18"/>
      <c r="D532" s="33"/>
      <c r="E532" s="33"/>
      <c r="F532" s="34"/>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8"/>
    </row>
    <row r="533">
      <c r="A533" s="18"/>
      <c r="B533" s="18"/>
      <c r="C533" s="18"/>
      <c r="D533" s="33"/>
      <c r="E533" s="33"/>
      <c r="F533" s="34"/>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8"/>
    </row>
    <row r="534">
      <c r="A534" s="18"/>
      <c r="B534" s="18"/>
      <c r="C534" s="18"/>
      <c r="D534" s="33"/>
      <c r="E534" s="33"/>
      <c r="F534" s="34"/>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8"/>
    </row>
    <row r="535">
      <c r="A535" s="18"/>
      <c r="B535" s="18"/>
      <c r="C535" s="18"/>
      <c r="D535" s="33"/>
      <c r="E535" s="33"/>
      <c r="F535" s="34"/>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8"/>
    </row>
    <row r="536">
      <c r="A536" s="18"/>
      <c r="B536" s="18"/>
      <c r="C536" s="18"/>
      <c r="D536" s="33"/>
      <c r="E536" s="33"/>
      <c r="F536" s="34"/>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c r="AN536" s="18"/>
      <c r="AO536" s="18"/>
      <c r="AP536" s="18"/>
      <c r="AQ536" s="18"/>
      <c r="AR536" s="18"/>
      <c r="AS536" s="18"/>
      <c r="AT536" s="18"/>
      <c r="AU536" s="18"/>
      <c r="AV536" s="18"/>
      <c r="AW536" s="18"/>
      <c r="AX536" s="18"/>
      <c r="AY536" s="18"/>
      <c r="AZ536" s="18"/>
      <c r="BA536" s="18"/>
    </row>
    <row r="537">
      <c r="A537" s="18"/>
      <c r="B537" s="18"/>
      <c r="C537" s="18"/>
      <c r="D537" s="33"/>
      <c r="E537" s="33"/>
      <c r="F537" s="34"/>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row>
    <row r="538">
      <c r="A538" s="18"/>
      <c r="B538" s="18"/>
      <c r="C538" s="18"/>
      <c r="D538" s="33"/>
      <c r="E538" s="33"/>
      <c r="F538" s="34"/>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8"/>
    </row>
    <row r="539">
      <c r="A539" s="18"/>
      <c r="B539" s="18"/>
      <c r="C539" s="18"/>
      <c r="D539" s="33"/>
      <c r="E539" s="33"/>
      <c r="F539" s="34"/>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row>
    <row r="540">
      <c r="A540" s="18"/>
      <c r="B540" s="18"/>
      <c r="C540" s="18"/>
      <c r="D540" s="33"/>
      <c r="E540" s="33"/>
      <c r="F540" s="34"/>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8"/>
    </row>
    <row r="541">
      <c r="A541" s="18"/>
      <c r="B541" s="18"/>
      <c r="C541" s="18"/>
      <c r="D541" s="33"/>
      <c r="E541" s="33"/>
      <c r="F541" s="34"/>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c r="AP541" s="18"/>
      <c r="AQ541" s="18"/>
      <c r="AR541" s="18"/>
      <c r="AS541" s="18"/>
      <c r="AT541" s="18"/>
      <c r="AU541" s="18"/>
      <c r="AV541" s="18"/>
      <c r="AW541" s="18"/>
      <c r="AX541" s="18"/>
      <c r="AY541" s="18"/>
      <c r="AZ541" s="18"/>
      <c r="BA541" s="18"/>
    </row>
    <row r="542">
      <c r="A542" s="18"/>
      <c r="B542" s="18"/>
      <c r="C542" s="18"/>
      <c r="D542" s="33"/>
      <c r="E542" s="33"/>
      <c r="F542" s="34"/>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8"/>
    </row>
    <row r="543">
      <c r="A543" s="18"/>
      <c r="B543" s="18"/>
      <c r="C543" s="18"/>
      <c r="D543" s="33"/>
      <c r="E543" s="33"/>
      <c r="F543" s="34"/>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8"/>
    </row>
    <row r="544">
      <c r="A544" s="18"/>
      <c r="B544" s="18"/>
      <c r="C544" s="18"/>
      <c r="D544" s="33"/>
      <c r="E544" s="33"/>
      <c r="F544" s="34"/>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8"/>
    </row>
    <row r="545">
      <c r="A545" s="18"/>
      <c r="B545" s="18"/>
      <c r="C545" s="18"/>
      <c r="D545" s="33"/>
      <c r="E545" s="33"/>
      <c r="F545" s="34"/>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8"/>
    </row>
    <row r="546">
      <c r="A546" s="18"/>
      <c r="B546" s="18"/>
      <c r="C546" s="18"/>
      <c r="D546" s="33"/>
      <c r="E546" s="33"/>
      <c r="F546" s="34"/>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8"/>
    </row>
    <row r="547">
      <c r="A547" s="18"/>
      <c r="B547" s="18"/>
      <c r="C547" s="18"/>
      <c r="D547" s="33"/>
      <c r="E547" s="33"/>
      <c r="F547" s="34"/>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row>
    <row r="548">
      <c r="A548" s="18"/>
      <c r="B548" s="18"/>
      <c r="C548" s="18"/>
      <c r="D548" s="33"/>
      <c r="E548" s="33"/>
      <c r="F548" s="34"/>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8"/>
    </row>
    <row r="549">
      <c r="A549" s="18"/>
      <c r="B549" s="18"/>
      <c r="C549" s="18"/>
      <c r="D549" s="33"/>
      <c r="E549" s="33"/>
      <c r="F549" s="34"/>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8"/>
    </row>
    <row r="550">
      <c r="A550" s="18"/>
      <c r="B550" s="18"/>
      <c r="C550" s="18"/>
      <c r="D550" s="33"/>
      <c r="E550" s="33"/>
      <c r="F550" s="34"/>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8"/>
    </row>
    <row r="551">
      <c r="A551" s="18"/>
      <c r="B551" s="18"/>
      <c r="C551" s="18"/>
      <c r="D551" s="33"/>
      <c r="E551" s="33"/>
      <c r="F551" s="34"/>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8"/>
    </row>
    <row r="552">
      <c r="A552" s="18"/>
      <c r="B552" s="18"/>
      <c r="C552" s="18"/>
      <c r="D552" s="33"/>
      <c r="E552" s="33"/>
      <c r="F552" s="34"/>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8"/>
    </row>
    <row r="553">
      <c r="A553" s="18"/>
      <c r="B553" s="18"/>
      <c r="C553" s="18"/>
      <c r="D553" s="33"/>
      <c r="E553" s="33"/>
      <c r="F553" s="34"/>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8"/>
    </row>
    <row r="554">
      <c r="A554" s="18"/>
      <c r="B554" s="18"/>
      <c r="C554" s="18"/>
      <c r="D554" s="33"/>
      <c r="E554" s="33"/>
      <c r="F554" s="34"/>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8"/>
    </row>
    <row r="555">
      <c r="A555" s="18"/>
      <c r="B555" s="18"/>
      <c r="C555" s="18"/>
      <c r="D555" s="33"/>
      <c r="E555" s="33"/>
      <c r="F555" s="34"/>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8"/>
    </row>
    <row r="556">
      <c r="A556" s="18"/>
      <c r="B556" s="18"/>
      <c r="C556" s="18"/>
      <c r="D556" s="33"/>
      <c r="E556" s="33"/>
      <c r="F556" s="34"/>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8"/>
    </row>
    <row r="557">
      <c r="A557" s="18"/>
      <c r="B557" s="18"/>
      <c r="C557" s="18"/>
      <c r="D557" s="33"/>
      <c r="E557" s="33"/>
      <c r="F557" s="34"/>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8"/>
    </row>
    <row r="558">
      <c r="A558" s="18"/>
      <c r="B558" s="18"/>
      <c r="C558" s="18"/>
      <c r="D558" s="33"/>
      <c r="E558" s="33"/>
      <c r="F558" s="34"/>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8"/>
    </row>
    <row r="559">
      <c r="A559" s="18"/>
      <c r="B559" s="18"/>
      <c r="C559" s="18"/>
      <c r="D559" s="33"/>
      <c r="E559" s="33"/>
      <c r="F559" s="34"/>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row>
    <row r="560">
      <c r="A560" s="18"/>
      <c r="B560" s="18"/>
      <c r="C560" s="18"/>
      <c r="D560" s="33"/>
      <c r="E560" s="33"/>
      <c r="F560" s="34"/>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8"/>
    </row>
    <row r="561">
      <c r="A561" s="18"/>
      <c r="B561" s="18"/>
      <c r="C561" s="18"/>
      <c r="D561" s="33"/>
      <c r="E561" s="33"/>
      <c r="F561" s="34"/>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8"/>
    </row>
    <row r="562">
      <c r="A562" s="18"/>
      <c r="B562" s="18"/>
      <c r="C562" s="18"/>
      <c r="D562" s="33"/>
      <c r="E562" s="33"/>
      <c r="F562" s="34"/>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8"/>
    </row>
    <row r="563">
      <c r="A563" s="18"/>
      <c r="B563" s="18"/>
      <c r="C563" s="18"/>
      <c r="D563" s="33"/>
      <c r="E563" s="33"/>
      <c r="F563" s="34"/>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row>
    <row r="564">
      <c r="A564" s="18"/>
      <c r="B564" s="18"/>
      <c r="C564" s="18"/>
      <c r="D564" s="33"/>
      <c r="E564" s="33"/>
      <c r="F564" s="34"/>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8"/>
    </row>
    <row r="565">
      <c r="A565" s="18"/>
      <c r="B565" s="18"/>
      <c r="C565" s="18"/>
      <c r="D565" s="33"/>
      <c r="E565" s="33"/>
      <c r="F565" s="34"/>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8"/>
    </row>
    <row r="566">
      <c r="A566" s="18"/>
      <c r="B566" s="18"/>
      <c r="C566" s="18"/>
      <c r="D566" s="33"/>
      <c r="E566" s="33"/>
      <c r="F566" s="34"/>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8"/>
    </row>
    <row r="567">
      <c r="A567" s="18"/>
      <c r="B567" s="18"/>
      <c r="C567" s="18"/>
      <c r="D567" s="33"/>
      <c r="E567" s="33"/>
      <c r="F567" s="34"/>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8"/>
    </row>
    <row r="568">
      <c r="A568" s="18"/>
      <c r="B568" s="18"/>
      <c r="C568" s="18"/>
      <c r="D568" s="33"/>
      <c r="E568" s="33"/>
      <c r="F568" s="34"/>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8"/>
    </row>
    <row r="569">
      <c r="A569" s="18"/>
      <c r="B569" s="18"/>
      <c r="C569" s="18"/>
      <c r="D569" s="33"/>
      <c r="E569" s="33"/>
      <c r="F569" s="34"/>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8"/>
    </row>
    <row r="570">
      <c r="A570" s="18"/>
      <c r="B570" s="18"/>
      <c r="C570" s="18"/>
      <c r="D570" s="33"/>
      <c r="E570" s="33"/>
      <c r="F570" s="34"/>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8"/>
    </row>
    <row r="571">
      <c r="A571" s="18"/>
      <c r="B571" s="18"/>
      <c r="C571" s="18"/>
      <c r="D571" s="33"/>
      <c r="E571" s="33"/>
      <c r="F571" s="34"/>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8"/>
    </row>
    <row r="572">
      <c r="A572" s="18"/>
      <c r="B572" s="18"/>
      <c r="C572" s="18"/>
      <c r="D572" s="33"/>
      <c r="E572" s="33"/>
      <c r="F572" s="34"/>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8"/>
      <c r="BA572" s="18"/>
    </row>
    <row r="573">
      <c r="A573" s="18"/>
      <c r="B573" s="18"/>
      <c r="C573" s="18"/>
      <c r="D573" s="33"/>
      <c r="E573" s="33"/>
      <c r="F573" s="34"/>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8"/>
    </row>
    <row r="574">
      <c r="A574" s="18"/>
      <c r="B574" s="18"/>
      <c r="C574" s="18"/>
      <c r="D574" s="33"/>
      <c r="E574" s="33"/>
      <c r="F574" s="34"/>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8"/>
    </row>
    <row r="575">
      <c r="A575" s="18"/>
      <c r="B575" s="18"/>
      <c r="C575" s="18"/>
      <c r="D575" s="33"/>
      <c r="E575" s="33"/>
      <c r="F575" s="34"/>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8"/>
    </row>
    <row r="576">
      <c r="A576" s="18"/>
      <c r="B576" s="18"/>
      <c r="C576" s="18"/>
      <c r="D576" s="33"/>
      <c r="E576" s="33"/>
      <c r="F576" s="34"/>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8"/>
    </row>
    <row r="577">
      <c r="A577" s="18"/>
      <c r="B577" s="18"/>
      <c r="C577" s="18"/>
      <c r="D577" s="33"/>
      <c r="E577" s="33"/>
      <c r="F577" s="34"/>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row>
    <row r="578">
      <c r="A578" s="18"/>
      <c r="B578" s="18"/>
      <c r="C578" s="18"/>
      <c r="D578" s="33"/>
      <c r="E578" s="33"/>
      <c r="F578" s="34"/>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8"/>
    </row>
    <row r="579">
      <c r="A579" s="18"/>
      <c r="B579" s="18"/>
      <c r="C579" s="18"/>
      <c r="D579" s="33"/>
      <c r="E579" s="33"/>
      <c r="F579" s="34"/>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row>
    <row r="580">
      <c r="A580" s="18"/>
      <c r="B580" s="18"/>
      <c r="C580" s="18"/>
      <c r="D580" s="33"/>
      <c r="E580" s="33"/>
      <c r="F580" s="34"/>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8"/>
    </row>
    <row r="581">
      <c r="A581" s="18"/>
      <c r="B581" s="18"/>
      <c r="C581" s="18"/>
      <c r="D581" s="33"/>
      <c r="E581" s="33"/>
      <c r="F581" s="34"/>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row>
    <row r="582">
      <c r="A582" s="18"/>
      <c r="B582" s="18"/>
      <c r="C582" s="18"/>
      <c r="D582" s="33"/>
      <c r="E582" s="33"/>
      <c r="F582" s="34"/>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8"/>
    </row>
    <row r="583">
      <c r="A583" s="18"/>
      <c r="B583" s="18"/>
      <c r="C583" s="18"/>
      <c r="D583" s="33"/>
      <c r="E583" s="33"/>
      <c r="F583" s="34"/>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row>
    <row r="584">
      <c r="A584" s="18"/>
      <c r="B584" s="18"/>
      <c r="C584" s="18"/>
      <c r="D584" s="33"/>
      <c r="E584" s="33"/>
      <c r="F584" s="34"/>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8"/>
    </row>
    <row r="585">
      <c r="A585" s="18"/>
      <c r="B585" s="18"/>
      <c r="C585" s="18"/>
      <c r="D585" s="33"/>
      <c r="E585" s="33"/>
      <c r="F585" s="34"/>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row>
    <row r="586">
      <c r="A586" s="18"/>
      <c r="B586" s="18"/>
      <c r="C586" s="18"/>
      <c r="D586" s="33"/>
      <c r="E586" s="33"/>
      <c r="F586" s="34"/>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8"/>
    </row>
    <row r="587">
      <c r="A587" s="18"/>
      <c r="B587" s="18"/>
      <c r="C587" s="18"/>
      <c r="D587" s="33"/>
      <c r="E587" s="33"/>
      <c r="F587" s="34"/>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row>
    <row r="588">
      <c r="A588" s="18"/>
      <c r="B588" s="18"/>
      <c r="C588" s="18"/>
      <c r="D588" s="33"/>
      <c r="E588" s="33"/>
      <c r="F588" s="34"/>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8"/>
    </row>
    <row r="589">
      <c r="A589" s="18"/>
      <c r="B589" s="18"/>
      <c r="C589" s="18"/>
      <c r="D589" s="33"/>
      <c r="E589" s="33"/>
      <c r="F589" s="34"/>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row>
    <row r="590">
      <c r="A590" s="18"/>
      <c r="B590" s="18"/>
      <c r="C590" s="18"/>
      <c r="D590" s="33"/>
      <c r="E590" s="33"/>
      <c r="F590" s="34"/>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8"/>
    </row>
    <row r="591">
      <c r="A591" s="18"/>
      <c r="B591" s="18"/>
      <c r="C591" s="18"/>
      <c r="D591" s="33"/>
      <c r="E591" s="33"/>
      <c r="F591" s="34"/>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row>
    <row r="592">
      <c r="A592" s="18"/>
      <c r="B592" s="18"/>
      <c r="C592" s="18"/>
      <c r="D592" s="33"/>
      <c r="E592" s="33"/>
      <c r="F592" s="34"/>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8"/>
    </row>
    <row r="593">
      <c r="A593" s="18"/>
      <c r="B593" s="18"/>
      <c r="C593" s="18"/>
      <c r="D593" s="33"/>
      <c r="E593" s="33"/>
      <c r="F593" s="34"/>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row>
    <row r="594">
      <c r="A594" s="18"/>
      <c r="B594" s="18"/>
      <c r="C594" s="18"/>
      <c r="D594" s="33"/>
      <c r="E594" s="33"/>
      <c r="F594" s="34"/>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8"/>
    </row>
    <row r="595">
      <c r="A595" s="18"/>
      <c r="B595" s="18"/>
      <c r="C595" s="18"/>
      <c r="D595" s="33"/>
      <c r="E595" s="33"/>
      <c r="F595" s="34"/>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row>
    <row r="596">
      <c r="A596" s="18"/>
      <c r="B596" s="18"/>
      <c r="C596" s="18"/>
      <c r="D596" s="33"/>
      <c r="E596" s="33"/>
      <c r="F596" s="34"/>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8"/>
    </row>
    <row r="597">
      <c r="A597" s="18"/>
      <c r="B597" s="18"/>
      <c r="C597" s="18"/>
      <c r="D597" s="33"/>
      <c r="E597" s="33"/>
      <c r="F597" s="34"/>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row>
    <row r="598">
      <c r="A598" s="18"/>
      <c r="B598" s="18"/>
      <c r="C598" s="18"/>
      <c r="D598" s="33"/>
      <c r="E598" s="33"/>
      <c r="F598" s="34"/>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8"/>
    </row>
    <row r="599">
      <c r="A599" s="18"/>
      <c r="B599" s="18"/>
      <c r="C599" s="18"/>
      <c r="D599" s="33"/>
      <c r="E599" s="33"/>
      <c r="F599" s="34"/>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row>
    <row r="600">
      <c r="A600" s="18"/>
      <c r="B600" s="18"/>
      <c r="C600" s="18"/>
      <c r="D600" s="33"/>
      <c r="E600" s="33"/>
      <c r="F600" s="34"/>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8"/>
    </row>
    <row r="601">
      <c r="A601" s="18"/>
      <c r="B601" s="18"/>
      <c r="C601" s="18"/>
      <c r="D601" s="33"/>
      <c r="E601" s="33"/>
      <c r="F601" s="34"/>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row>
    <row r="602">
      <c r="A602" s="18"/>
      <c r="B602" s="18"/>
      <c r="C602" s="18"/>
      <c r="D602" s="33"/>
      <c r="E602" s="33"/>
      <c r="F602" s="34"/>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8"/>
    </row>
    <row r="603">
      <c r="A603" s="18"/>
      <c r="B603" s="18"/>
      <c r="C603" s="18"/>
      <c r="D603" s="33"/>
      <c r="E603" s="33"/>
      <c r="F603" s="34"/>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row>
    <row r="604">
      <c r="A604" s="18"/>
      <c r="B604" s="18"/>
      <c r="C604" s="18"/>
      <c r="D604" s="33"/>
      <c r="E604" s="33"/>
      <c r="F604" s="34"/>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8"/>
    </row>
    <row r="605">
      <c r="A605" s="18"/>
      <c r="B605" s="18"/>
      <c r="C605" s="18"/>
      <c r="D605" s="33"/>
      <c r="E605" s="33"/>
      <c r="F605" s="34"/>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row>
    <row r="606">
      <c r="A606" s="18"/>
      <c r="B606" s="18"/>
      <c r="C606" s="18"/>
      <c r="D606" s="33"/>
      <c r="E606" s="33"/>
      <c r="F606" s="34"/>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8"/>
    </row>
    <row r="607">
      <c r="A607" s="18"/>
      <c r="B607" s="18"/>
      <c r="C607" s="18"/>
      <c r="D607" s="33"/>
      <c r="E607" s="33"/>
      <c r="F607" s="34"/>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row>
    <row r="608">
      <c r="A608" s="18"/>
      <c r="B608" s="18"/>
      <c r="C608" s="18"/>
      <c r="D608" s="33"/>
      <c r="E608" s="33"/>
      <c r="F608" s="34"/>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8"/>
    </row>
    <row r="609">
      <c r="A609" s="18"/>
      <c r="B609" s="18"/>
      <c r="C609" s="18"/>
      <c r="D609" s="33"/>
      <c r="E609" s="33"/>
      <c r="F609" s="34"/>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row>
    <row r="610">
      <c r="A610" s="18"/>
      <c r="B610" s="18"/>
      <c r="C610" s="18"/>
      <c r="D610" s="33"/>
      <c r="E610" s="33"/>
      <c r="F610" s="34"/>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8"/>
    </row>
    <row r="611">
      <c r="A611" s="18"/>
      <c r="B611" s="18"/>
      <c r="C611" s="18"/>
      <c r="D611" s="33"/>
      <c r="E611" s="33"/>
      <c r="F611" s="34"/>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8"/>
    </row>
    <row r="612">
      <c r="A612" s="18"/>
      <c r="B612" s="18"/>
      <c r="C612" s="18"/>
      <c r="D612" s="33"/>
      <c r="E612" s="33"/>
      <c r="F612" s="34"/>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8"/>
    </row>
    <row r="613">
      <c r="A613" s="18"/>
      <c r="B613" s="18"/>
      <c r="C613" s="18"/>
      <c r="D613" s="33"/>
      <c r="E613" s="33"/>
      <c r="F613" s="34"/>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8"/>
    </row>
    <row r="614">
      <c r="A614" s="18"/>
      <c r="B614" s="18"/>
      <c r="C614" s="18"/>
      <c r="D614" s="33"/>
      <c r="E614" s="33"/>
      <c r="F614" s="34"/>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8"/>
    </row>
    <row r="615">
      <c r="A615" s="18"/>
      <c r="B615" s="18"/>
      <c r="C615" s="18"/>
      <c r="D615" s="33"/>
      <c r="E615" s="33"/>
      <c r="F615" s="34"/>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8"/>
    </row>
    <row r="616">
      <c r="A616" s="18"/>
      <c r="B616" s="18"/>
      <c r="C616" s="18"/>
      <c r="D616" s="33"/>
      <c r="E616" s="33"/>
      <c r="F616" s="34"/>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8"/>
      <c r="BA616" s="18"/>
    </row>
    <row r="617">
      <c r="A617" s="18"/>
      <c r="B617" s="18"/>
      <c r="C617" s="18"/>
      <c r="D617" s="33"/>
      <c r="E617" s="33"/>
      <c r="F617" s="34"/>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8"/>
    </row>
    <row r="618">
      <c r="A618" s="18"/>
      <c r="B618" s="18"/>
      <c r="C618" s="18"/>
      <c r="D618" s="33"/>
      <c r="E618" s="33"/>
      <c r="F618" s="34"/>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8"/>
      <c r="BA618" s="18"/>
    </row>
    <row r="619">
      <c r="A619" s="18"/>
      <c r="B619" s="18"/>
      <c r="C619" s="18"/>
      <c r="D619" s="33"/>
      <c r="E619" s="33"/>
      <c r="F619" s="34"/>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8"/>
    </row>
    <row r="620">
      <c r="A620" s="18"/>
      <c r="B620" s="18"/>
      <c r="C620" s="18"/>
      <c r="D620" s="33"/>
      <c r="E620" s="33"/>
      <c r="F620" s="34"/>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8"/>
    </row>
    <row r="621">
      <c r="A621" s="18"/>
      <c r="B621" s="18"/>
      <c r="C621" s="18"/>
      <c r="D621" s="33"/>
      <c r="E621" s="33"/>
      <c r="F621" s="34"/>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8"/>
    </row>
    <row r="622">
      <c r="A622" s="18"/>
      <c r="B622" s="18"/>
      <c r="C622" s="18"/>
      <c r="D622" s="33"/>
      <c r="E622" s="33"/>
      <c r="F622" s="34"/>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8"/>
    </row>
    <row r="623">
      <c r="A623" s="18"/>
      <c r="B623" s="18"/>
      <c r="C623" s="18"/>
      <c r="D623" s="33"/>
      <c r="E623" s="33"/>
      <c r="F623" s="34"/>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8"/>
    </row>
    <row r="624">
      <c r="A624" s="18"/>
      <c r="B624" s="18"/>
      <c r="C624" s="18"/>
      <c r="D624" s="33"/>
      <c r="E624" s="33"/>
      <c r="F624" s="34"/>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8"/>
      <c r="BA624" s="18"/>
    </row>
    <row r="625">
      <c r="A625" s="18"/>
      <c r="B625" s="18"/>
      <c r="C625" s="18"/>
      <c r="D625" s="33"/>
      <c r="E625" s="33"/>
      <c r="F625" s="34"/>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8"/>
    </row>
    <row r="626">
      <c r="A626" s="18"/>
      <c r="B626" s="18"/>
      <c r="C626" s="18"/>
      <c r="D626" s="33"/>
      <c r="E626" s="33"/>
      <c r="F626" s="34"/>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8"/>
    </row>
    <row r="627">
      <c r="A627" s="18"/>
      <c r="B627" s="18"/>
      <c r="C627" s="18"/>
      <c r="D627" s="33"/>
      <c r="E627" s="33"/>
      <c r="F627" s="34"/>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8"/>
    </row>
    <row r="628">
      <c r="A628" s="18"/>
      <c r="B628" s="18"/>
      <c r="C628" s="18"/>
      <c r="D628" s="33"/>
      <c r="E628" s="33"/>
      <c r="F628" s="34"/>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8"/>
    </row>
    <row r="629">
      <c r="A629" s="18"/>
      <c r="B629" s="18"/>
      <c r="C629" s="18"/>
      <c r="D629" s="33"/>
      <c r="E629" s="33"/>
      <c r="F629" s="34"/>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8"/>
    </row>
    <row r="630">
      <c r="A630" s="18"/>
      <c r="B630" s="18"/>
      <c r="C630" s="18"/>
      <c r="D630" s="33"/>
      <c r="E630" s="33"/>
      <c r="F630" s="34"/>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8"/>
    </row>
    <row r="631">
      <c r="A631" s="18"/>
      <c r="B631" s="18"/>
      <c r="C631" s="18"/>
      <c r="D631" s="33"/>
      <c r="E631" s="33"/>
      <c r="F631" s="34"/>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8"/>
    </row>
    <row r="632">
      <c r="A632" s="18"/>
      <c r="B632" s="18"/>
      <c r="C632" s="18"/>
      <c r="D632" s="33"/>
      <c r="E632" s="33"/>
      <c r="F632" s="34"/>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8"/>
    </row>
    <row r="633">
      <c r="A633" s="18"/>
      <c r="B633" s="18"/>
      <c r="C633" s="18"/>
      <c r="D633" s="33"/>
      <c r="E633" s="33"/>
      <c r="F633" s="34"/>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8"/>
    </row>
    <row r="634">
      <c r="A634" s="18"/>
      <c r="B634" s="18"/>
      <c r="C634" s="18"/>
      <c r="D634" s="33"/>
      <c r="E634" s="33"/>
      <c r="F634" s="34"/>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8"/>
      <c r="BA634" s="18"/>
    </row>
    <row r="635">
      <c r="A635" s="18"/>
      <c r="B635" s="18"/>
      <c r="C635" s="18"/>
      <c r="D635" s="33"/>
      <c r="E635" s="33"/>
      <c r="F635" s="34"/>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8"/>
    </row>
    <row r="636">
      <c r="A636" s="18"/>
      <c r="B636" s="18"/>
      <c r="C636" s="18"/>
      <c r="D636" s="33"/>
      <c r="E636" s="33"/>
      <c r="F636" s="34"/>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c r="AZ636" s="18"/>
      <c r="BA636" s="18"/>
    </row>
    <row r="637">
      <c r="A637" s="18"/>
      <c r="B637" s="18"/>
      <c r="C637" s="18"/>
      <c r="D637" s="33"/>
      <c r="E637" s="33"/>
      <c r="F637" s="34"/>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8"/>
    </row>
    <row r="638">
      <c r="A638" s="18"/>
      <c r="B638" s="18"/>
      <c r="C638" s="18"/>
      <c r="D638" s="33"/>
      <c r="E638" s="33"/>
      <c r="F638" s="34"/>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8"/>
    </row>
    <row r="639">
      <c r="A639" s="18"/>
      <c r="B639" s="18"/>
      <c r="C639" s="18"/>
      <c r="D639" s="33"/>
      <c r="E639" s="33"/>
      <c r="F639" s="34"/>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8"/>
    </row>
    <row r="640">
      <c r="A640" s="18"/>
      <c r="B640" s="18"/>
      <c r="C640" s="18"/>
      <c r="D640" s="33"/>
      <c r="E640" s="33"/>
      <c r="F640" s="34"/>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8"/>
    </row>
    <row r="641">
      <c r="A641" s="18"/>
      <c r="B641" s="18"/>
      <c r="C641" s="18"/>
      <c r="D641" s="33"/>
      <c r="E641" s="33"/>
      <c r="F641" s="34"/>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8"/>
    </row>
    <row r="642">
      <c r="A642" s="18"/>
      <c r="B642" s="18"/>
      <c r="C642" s="18"/>
      <c r="D642" s="33"/>
      <c r="E642" s="33"/>
      <c r="F642" s="34"/>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8"/>
    </row>
    <row r="643">
      <c r="A643" s="18"/>
      <c r="B643" s="18"/>
      <c r="C643" s="18"/>
      <c r="D643" s="33"/>
      <c r="E643" s="33"/>
      <c r="F643" s="34"/>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8"/>
    </row>
    <row r="644">
      <c r="A644" s="18"/>
      <c r="B644" s="18"/>
      <c r="C644" s="18"/>
      <c r="D644" s="33"/>
      <c r="E644" s="33"/>
      <c r="F644" s="34"/>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8"/>
    </row>
    <row r="645">
      <c r="A645" s="18"/>
      <c r="B645" s="18"/>
      <c r="C645" s="18"/>
      <c r="D645" s="33"/>
      <c r="E645" s="33"/>
      <c r="F645" s="34"/>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8"/>
    </row>
    <row r="646">
      <c r="A646" s="18"/>
      <c r="B646" s="18"/>
      <c r="C646" s="18"/>
      <c r="D646" s="33"/>
      <c r="E646" s="33"/>
      <c r="F646" s="34"/>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8"/>
    </row>
    <row r="647">
      <c r="A647" s="18"/>
      <c r="B647" s="18"/>
      <c r="C647" s="18"/>
      <c r="D647" s="33"/>
      <c r="E647" s="33"/>
      <c r="F647" s="34"/>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8"/>
    </row>
    <row r="648">
      <c r="A648" s="18"/>
      <c r="B648" s="18"/>
      <c r="C648" s="18"/>
      <c r="D648" s="33"/>
      <c r="E648" s="33"/>
      <c r="F648" s="34"/>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8"/>
    </row>
    <row r="649">
      <c r="A649" s="18"/>
      <c r="B649" s="18"/>
      <c r="C649" s="18"/>
      <c r="D649" s="33"/>
      <c r="E649" s="33"/>
      <c r="F649" s="34"/>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8"/>
    </row>
    <row r="650">
      <c r="A650" s="18"/>
      <c r="B650" s="18"/>
      <c r="C650" s="18"/>
      <c r="D650" s="33"/>
      <c r="E650" s="33"/>
      <c r="F650" s="34"/>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8"/>
    </row>
    <row r="651">
      <c r="A651" s="18"/>
      <c r="B651" s="18"/>
      <c r="C651" s="18"/>
      <c r="D651" s="33"/>
      <c r="E651" s="33"/>
      <c r="F651" s="34"/>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8"/>
    </row>
    <row r="652">
      <c r="A652" s="18"/>
      <c r="B652" s="18"/>
      <c r="C652" s="18"/>
      <c r="D652" s="33"/>
      <c r="E652" s="33"/>
      <c r="F652" s="34"/>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8"/>
    </row>
    <row r="653">
      <c r="A653" s="18"/>
      <c r="B653" s="18"/>
      <c r="C653" s="18"/>
      <c r="D653" s="33"/>
      <c r="E653" s="33"/>
      <c r="F653" s="34"/>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8"/>
    </row>
    <row r="654">
      <c r="A654" s="18"/>
      <c r="B654" s="18"/>
      <c r="C654" s="18"/>
      <c r="D654" s="33"/>
      <c r="E654" s="33"/>
      <c r="F654" s="34"/>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8"/>
    </row>
    <row r="655">
      <c r="A655" s="18"/>
      <c r="B655" s="18"/>
      <c r="C655" s="18"/>
      <c r="D655" s="33"/>
      <c r="E655" s="33"/>
      <c r="F655" s="34"/>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8"/>
    </row>
    <row r="656">
      <c r="A656" s="18"/>
      <c r="B656" s="18"/>
      <c r="C656" s="18"/>
      <c r="D656" s="33"/>
      <c r="E656" s="33"/>
      <c r="F656" s="34"/>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8"/>
    </row>
    <row r="657">
      <c r="A657" s="18"/>
      <c r="B657" s="18"/>
      <c r="C657" s="18"/>
      <c r="D657" s="33"/>
      <c r="E657" s="33"/>
      <c r="F657" s="34"/>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8"/>
    </row>
    <row r="658">
      <c r="A658" s="18"/>
      <c r="B658" s="18"/>
      <c r="C658" s="18"/>
      <c r="D658" s="33"/>
      <c r="E658" s="33"/>
      <c r="F658" s="34"/>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8"/>
      <c r="BA658" s="18"/>
    </row>
    <row r="659">
      <c r="A659" s="18"/>
      <c r="B659" s="18"/>
      <c r="C659" s="18"/>
      <c r="D659" s="33"/>
      <c r="E659" s="33"/>
      <c r="F659" s="34"/>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8"/>
    </row>
    <row r="660">
      <c r="A660" s="18"/>
      <c r="B660" s="18"/>
      <c r="C660" s="18"/>
      <c r="D660" s="33"/>
      <c r="E660" s="33"/>
      <c r="F660" s="34"/>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8"/>
      <c r="BA660" s="18"/>
    </row>
    <row r="661">
      <c r="A661" s="18"/>
      <c r="B661" s="18"/>
      <c r="C661" s="18"/>
      <c r="D661" s="33"/>
      <c r="E661" s="33"/>
      <c r="F661" s="34"/>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8"/>
    </row>
    <row r="662">
      <c r="A662" s="18"/>
      <c r="B662" s="18"/>
      <c r="C662" s="18"/>
      <c r="D662" s="33"/>
      <c r="E662" s="33"/>
      <c r="F662" s="34"/>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8"/>
      <c r="BA662" s="18"/>
    </row>
    <row r="663">
      <c r="A663" s="18"/>
      <c r="B663" s="18"/>
      <c r="C663" s="18"/>
      <c r="D663" s="33"/>
      <c r="E663" s="33"/>
      <c r="F663" s="34"/>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8"/>
    </row>
    <row r="664">
      <c r="A664" s="18"/>
      <c r="B664" s="18"/>
      <c r="C664" s="18"/>
      <c r="D664" s="33"/>
      <c r="E664" s="33"/>
      <c r="F664" s="34"/>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8"/>
      <c r="BA664" s="18"/>
    </row>
    <row r="665">
      <c r="A665" s="18"/>
      <c r="B665" s="18"/>
      <c r="C665" s="18"/>
      <c r="D665" s="33"/>
      <c r="E665" s="33"/>
      <c r="F665" s="34"/>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8"/>
    </row>
    <row r="666">
      <c r="A666" s="18"/>
      <c r="B666" s="18"/>
      <c r="C666" s="18"/>
      <c r="D666" s="33"/>
      <c r="E666" s="33"/>
      <c r="F666" s="34"/>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c r="AX666" s="18"/>
      <c r="AY666" s="18"/>
      <c r="AZ666" s="18"/>
      <c r="BA666" s="18"/>
    </row>
    <row r="667">
      <c r="A667" s="18"/>
      <c r="B667" s="18"/>
      <c r="C667" s="18"/>
      <c r="D667" s="33"/>
      <c r="E667" s="33"/>
      <c r="F667" s="34"/>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8"/>
    </row>
    <row r="668">
      <c r="A668" s="18"/>
      <c r="B668" s="18"/>
      <c r="C668" s="18"/>
      <c r="D668" s="33"/>
      <c r="E668" s="33"/>
      <c r="F668" s="34"/>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c r="AX668" s="18"/>
      <c r="AY668" s="18"/>
      <c r="AZ668" s="18"/>
      <c r="BA668" s="18"/>
    </row>
    <row r="669">
      <c r="A669" s="18"/>
      <c r="B669" s="18"/>
      <c r="C669" s="18"/>
      <c r="D669" s="33"/>
      <c r="E669" s="33"/>
      <c r="F669" s="34"/>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8"/>
    </row>
    <row r="670">
      <c r="A670" s="18"/>
      <c r="B670" s="18"/>
      <c r="C670" s="18"/>
      <c r="D670" s="33"/>
      <c r="E670" s="33"/>
      <c r="F670" s="34"/>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8"/>
      <c r="BA670" s="18"/>
    </row>
    <row r="671">
      <c r="A671" s="18"/>
      <c r="B671" s="18"/>
      <c r="C671" s="18"/>
      <c r="D671" s="33"/>
      <c r="E671" s="33"/>
      <c r="F671" s="34"/>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8"/>
    </row>
    <row r="672">
      <c r="A672" s="18"/>
      <c r="B672" s="18"/>
      <c r="C672" s="18"/>
      <c r="D672" s="33"/>
      <c r="E672" s="33"/>
      <c r="F672" s="34"/>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c r="AX672" s="18"/>
      <c r="AY672" s="18"/>
      <c r="AZ672" s="18"/>
      <c r="BA672" s="18"/>
    </row>
    <row r="673">
      <c r="A673" s="18"/>
      <c r="B673" s="18"/>
      <c r="C673" s="18"/>
      <c r="D673" s="33"/>
      <c r="E673" s="33"/>
      <c r="F673" s="34"/>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8"/>
    </row>
    <row r="674">
      <c r="A674" s="18"/>
      <c r="B674" s="18"/>
      <c r="C674" s="18"/>
      <c r="D674" s="33"/>
      <c r="E674" s="33"/>
      <c r="F674" s="34"/>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c r="AX674" s="18"/>
      <c r="AY674" s="18"/>
      <c r="AZ674" s="18"/>
      <c r="BA674" s="18"/>
    </row>
    <row r="675">
      <c r="A675" s="18"/>
      <c r="B675" s="18"/>
      <c r="C675" s="18"/>
      <c r="D675" s="33"/>
      <c r="E675" s="33"/>
      <c r="F675" s="34"/>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8"/>
    </row>
    <row r="676">
      <c r="A676" s="18"/>
      <c r="B676" s="18"/>
      <c r="C676" s="18"/>
      <c r="D676" s="33"/>
      <c r="E676" s="33"/>
      <c r="F676" s="34"/>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c r="AX676" s="18"/>
      <c r="AY676" s="18"/>
      <c r="AZ676" s="18"/>
      <c r="BA676" s="18"/>
    </row>
    <row r="677">
      <c r="A677" s="18"/>
      <c r="B677" s="18"/>
      <c r="C677" s="18"/>
      <c r="D677" s="33"/>
      <c r="E677" s="33"/>
      <c r="F677" s="34"/>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8"/>
    </row>
    <row r="678">
      <c r="A678" s="18"/>
      <c r="B678" s="18"/>
      <c r="C678" s="18"/>
      <c r="D678" s="33"/>
      <c r="E678" s="33"/>
      <c r="F678" s="34"/>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c r="AX678" s="18"/>
      <c r="AY678" s="18"/>
      <c r="AZ678" s="18"/>
      <c r="BA678" s="18"/>
    </row>
    <row r="679">
      <c r="A679" s="18"/>
      <c r="B679" s="18"/>
      <c r="C679" s="18"/>
      <c r="D679" s="33"/>
      <c r="E679" s="33"/>
      <c r="F679" s="34"/>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8"/>
    </row>
    <row r="680">
      <c r="A680" s="18"/>
      <c r="B680" s="18"/>
      <c r="C680" s="18"/>
      <c r="D680" s="33"/>
      <c r="E680" s="33"/>
      <c r="F680" s="34"/>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c r="AX680" s="18"/>
      <c r="AY680" s="18"/>
      <c r="AZ680" s="18"/>
      <c r="BA680" s="18"/>
    </row>
    <row r="681">
      <c r="A681" s="18"/>
      <c r="B681" s="18"/>
      <c r="C681" s="18"/>
      <c r="D681" s="33"/>
      <c r="E681" s="33"/>
      <c r="F681" s="34"/>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8"/>
    </row>
    <row r="682">
      <c r="A682" s="18"/>
      <c r="B682" s="18"/>
      <c r="C682" s="18"/>
      <c r="D682" s="33"/>
      <c r="E682" s="33"/>
      <c r="F682" s="34"/>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8"/>
      <c r="BA682" s="18"/>
    </row>
    <row r="683">
      <c r="A683" s="18"/>
      <c r="B683" s="18"/>
      <c r="C683" s="18"/>
      <c r="D683" s="33"/>
      <c r="E683" s="33"/>
      <c r="F683" s="34"/>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8"/>
    </row>
    <row r="684">
      <c r="A684" s="18"/>
      <c r="B684" s="18"/>
      <c r="C684" s="18"/>
      <c r="D684" s="33"/>
      <c r="E684" s="33"/>
      <c r="F684" s="34"/>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8"/>
      <c r="BA684" s="18"/>
    </row>
    <row r="685">
      <c r="A685" s="18"/>
      <c r="B685" s="18"/>
      <c r="C685" s="18"/>
      <c r="D685" s="33"/>
      <c r="E685" s="33"/>
      <c r="F685" s="34"/>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8"/>
    </row>
    <row r="686">
      <c r="A686" s="18"/>
      <c r="B686" s="18"/>
      <c r="C686" s="18"/>
      <c r="D686" s="33"/>
      <c r="E686" s="33"/>
      <c r="F686" s="34"/>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8"/>
      <c r="BA686" s="18"/>
    </row>
    <row r="687">
      <c r="A687" s="18"/>
      <c r="B687" s="18"/>
      <c r="C687" s="18"/>
      <c r="D687" s="33"/>
      <c r="E687" s="33"/>
      <c r="F687" s="34"/>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8"/>
    </row>
    <row r="688">
      <c r="A688" s="18"/>
      <c r="B688" s="18"/>
      <c r="C688" s="18"/>
      <c r="D688" s="33"/>
      <c r="E688" s="33"/>
      <c r="F688" s="34"/>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8"/>
    </row>
    <row r="689">
      <c r="A689" s="18"/>
      <c r="B689" s="18"/>
      <c r="C689" s="18"/>
      <c r="D689" s="33"/>
      <c r="E689" s="33"/>
      <c r="F689" s="34"/>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8"/>
    </row>
    <row r="690">
      <c r="A690" s="18"/>
      <c r="B690" s="18"/>
      <c r="C690" s="18"/>
      <c r="D690" s="33"/>
      <c r="E690" s="33"/>
      <c r="F690" s="34"/>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8"/>
      <c r="BA690" s="18"/>
    </row>
    <row r="691">
      <c r="A691" s="18"/>
      <c r="B691" s="18"/>
      <c r="C691" s="18"/>
      <c r="D691" s="33"/>
      <c r="E691" s="33"/>
      <c r="F691" s="34"/>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8"/>
    </row>
    <row r="692">
      <c r="A692" s="18"/>
      <c r="B692" s="18"/>
      <c r="C692" s="18"/>
      <c r="D692" s="33"/>
      <c r="E692" s="33"/>
      <c r="F692" s="34"/>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8"/>
      <c r="BA692" s="18"/>
    </row>
    <row r="693">
      <c r="A693" s="18"/>
      <c r="B693" s="18"/>
      <c r="C693" s="18"/>
      <c r="D693" s="33"/>
      <c r="E693" s="33"/>
      <c r="F693" s="34"/>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8"/>
    </row>
    <row r="694">
      <c r="A694" s="18"/>
      <c r="B694" s="18"/>
      <c r="C694" s="18"/>
      <c r="D694" s="33"/>
      <c r="E694" s="33"/>
      <c r="F694" s="34"/>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8"/>
      <c r="BA694" s="18"/>
    </row>
    <row r="695">
      <c r="A695" s="18"/>
      <c r="B695" s="18"/>
      <c r="C695" s="18"/>
      <c r="D695" s="33"/>
      <c r="E695" s="33"/>
      <c r="F695" s="34"/>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8"/>
    </row>
    <row r="696">
      <c r="A696" s="18"/>
      <c r="B696" s="18"/>
      <c r="C696" s="18"/>
      <c r="D696" s="33"/>
      <c r="E696" s="33"/>
      <c r="F696" s="34"/>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8"/>
      <c r="BA696" s="18"/>
    </row>
    <row r="697">
      <c r="A697" s="18"/>
      <c r="B697" s="18"/>
      <c r="C697" s="18"/>
      <c r="D697" s="33"/>
      <c r="E697" s="33"/>
      <c r="F697" s="34"/>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8"/>
    </row>
    <row r="698">
      <c r="A698" s="18"/>
      <c r="B698" s="18"/>
      <c r="C698" s="18"/>
      <c r="D698" s="33"/>
      <c r="E698" s="33"/>
      <c r="F698" s="34"/>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8"/>
      <c r="BA698" s="18"/>
    </row>
    <row r="699">
      <c r="A699" s="18"/>
      <c r="B699" s="18"/>
      <c r="C699" s="18"/>
      <c r="D699" s="33"/>
      <c r="E699" s="33"/>
      <c r="F699" s="34"/>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8"/>
    </row>
    <row r="700">
      <c r="A700" s="18"/>
      <c r="B700" s="18"/>
      <c r="C700" s="18"/>
      <c r="D700" s="33"/>
      <c r="E700" s="33"/>
      <c r="F700" s="34"/>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8"/>
      <c r="BA700" s="18"/>
    </row>
    <row r="701">
      <c r="A701" s="18"/>
      <c r="B701" s="18"/>
      <c r="C701" s="18"/>
      <c r="D701" s="33"/>
      <c r="E701" s="33"/>
      <c r="F701" s="34"/>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8"/>
    </row>
    <row r="702">
      <c r="A702" s="18"/>
      <c r="B702" s="18"/>
      <c r="C702" s="18"/>
      <c r="D702" s="33"/>
      <c r="E702" s="33"/>
      <c r="F702" s="34"/>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8"/>
      <c r="BA702" s="18"/>
    </row>
    <row r="703">
      <c r="A703" s="18"/>
      <c r="B703" s="18"/>
      <c r="C703" s="18"/>
      <c r="D703" s="33"/>
      <c r="E703" s="33"/>
      <c r="F703" s="34"/>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8"/>
    </row>
    <row r="704">
      <c r="A704" s="18"/>
      <c r="B704" s="18"/>
      <c r="C704" s="18"/>
      <c r="D704" s="33"/>
      <c r="E704" s="33"/>
      <c r="F704" s="34"/>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8"/>
      <c r="BA704" s="18"/>
    </row>
    <row r="705">
      <c r="A705" s="18"/>
      <c r="B705" s="18"/>
      <c r="C705" s="18"/>
      <c r="D705" s="33"/>
      <c r="E705" s="33"/>
      <c r="F705" s="34"/>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8"/>
    </row>
    <row r="706">
      <c r="A706" s="18"/>
      <c r="B706" s="18"/>
      <c r="C706" s="18"/>
      <c r="D706" s="33"/>
      <c r="E706" s="33"/>
      <c r="F706" s="34"/>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8"/>
      <c r="BA706" s="18"/>
    </row>
    <row r="707">
      <c r="A707" s="18"/>
      <c r="B707" s="18"/>
      <c r="C707" s="18"/>
      <c r="D707" s="33"/>
      <c r="E707" s="33"/>
      <c r="F707" s="34"/>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8"/>
    </row>
    <row r="708">
      <c r="A708" s="18"/>
      <c r="B708" s="18"/>
      <c r="C708" s="18"/>
      <c r="D708" s="33"/>
      <c r="E708" s="33"/>
      <c r="F708" s="34"/>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8"/>
      <c r="BA708" s="18"/>
    </row>
    <row r="709">
      <c r="A709" s="18"/>
      <c r="B709" s="18"/>
      <c r="C709" s="18"/>
      <c r="D709" s="33"/>
      <c r="E709" s="33"/>
      <c r="F709" s="34"/>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8"/>
    </row>
    <row r="710">
      <c r="A710" s="18"/>
      <c r="B710" s="18"/>
      <c r="C710" s="18"/>
      <c r="D710" s="33"/>
      <c r="E710" s="33"/>
      <c r="F710" s="34"/>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8"/>
      <c r="BA710" s="18"/>
    </row>
    <row r="711">
      <c r="A711" s="18"/>
      <c r="B711" s="18"/>
      <c r="C711" s="18"/>
      <c r="D711" s="33"/>
      <c r="E711" s="33"/>
      <c r="F711" s="34"/>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8"/>
    </row>
    <row r="712">
      <c r="A712" s="18"/>
      <c r="B712" s="18"/>
      <c r="C712" s="18"/>
      <c r="D712" s="33"/>
      <c r="E712" s="33"/>
      <c r="F712" s="34"/>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c r="AX712" s="18"/>
      <c r="AY712" s="18"/>
      <c r="AZ712" s="18"/>
      <c r="BA712" s="18"/>
    </row>
    <row r="713">
      <c r="A713" s="18"/>
      <c r="B713" s="18"/>
      <c r="C713" s="18"/>
      <c r="D713" s="33"/>
      <c r="E713" s="33"/>
      <c r="F713" s="34"/>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8"/>
    </row>
    <row r="714">
      <c r="A714" s="18"/>
      <c r="B714" s="18"/>
      <c r="C714" s="18"/>
      <c r="D714" s="33"/>
      <c r="E714" s="33"/>
      <c r="F714" s="34"/>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8"/>
      <c r="BA714" s="18"/>
    </row>
    <row r="715">
      <c r="A715" s="18"/>
      <c r="B715" s="18"/>
      <c r="C715" s="18"/>
      <c r="D715" s="33"/>
      <c r="E715" s="33"/>
      <c r="F715" s="34"/>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8"/>
    </row>
    <row r="716">
      <c r="A716" s="18"/>
      <c r="B716" s="18"/>
      <c r="C716" s="18"/>
      <c r="D716" s="33"/>
      <c r="E716" s="33"/>
      <c r="F716" s="34"/>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8"/>
      <c r="BA716" s="18"/>
    </row>
    <row r="717">
      <c r="A717" s="18"/>
      <c r="B717" s="18"/>
      <c r="C717" s="18"/>
      <c r="D717" s="33"/>
      <c r="E717" s="33"/>
      <c r="F717" s="34"/>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8"/>
    </row>
    <row r="718">
      <c r="A718" s="18"/>
      <c r="B718" s="18"/>
      <c r="C718" s="18"/>
      <c r="D718" s="33"/>
      <c r="E718" s="33"/>
      <c r="F718" s="34"/>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c r="AX718" s="18"/>
      <c r="AY718" s="18"/>
      <c r="AZ718" s="18"/>
      <c r="BA718" s="18"/>
    </row>
    <row r="719">
      <c r="A719" s="18"/>
      <c r="B719" s="18"/>
      <c r="C719" s="18"/>
      <c r="D719" s="33"/>
      <c r="E719" s="33"/>
      <c r="F719" s="34"/>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8"/>
    </row>
    <row r="720">
      <c r="A720" s="18"/>
      <c r="B720" s="18"/>
      <c r="C720" s="18"/>
      <c r="D720" s="33"/>
      <c r="E720" s="33"/>
      <c r="F720" s="34"/>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8"/>
      <c r="BA720" s="18"/>
    </row>
    <row r="721">
      <c r="A721" s="18"/>
      <c r="B721" s="18"/>
      <c r="C721" s="18"/>
      <c r="D721" s="33"/>
      <c r="E721" s="33"/>
      <c r="F721" s="34"/>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8"/>
    </row>
    <row r="722">
      <c r="A722" s="18"/>
      <c r="B722" s="18"/>
      <c r="C722" s="18"/>
      <c r="D722" s="33"/>
      <c r="E722" s="33"/>
      <c r="F722" s="34"/>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8"/>
      <c r="BA722" s="18"/>
    </row>
    <row r="723">
      <c r="A723" s="18"/>
      <c r="B723" s="18"/>
      <c r="C723" s="18"/>
      <c r="D723" s="33"/>
      <c r="E723" s="33"/>
      <c r="F723" s="34"/>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8"/>
    </row>
    <row r="724">
      <c r="A724" s="18"/>
      <c r="B724" s="18"/>
      <c r="C724" s="18"/>
      <c r="D724" s="33"/>
      <c r="E724" s="33"/>
      <c r="F724" s="34"/>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c r="AX724" s="18"/>
      <c r="AY724" s="18"/>
      <c r="AZ724" s="18"/>
      <c r="BA724" s="18"/>
    </row>
    <row r="725">
      <c r="A725" s="18"/>
      <c r="B725" s="18"/>
      <c r="C725" s="18"/>
      <c r="D725" s="33"/>
      <c r="E725" s="33"/>
      <c r="F725" s="34"/>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8"/>
    </row>
    <row r="726">
      <c r="A726" s="18"/>
      <c r="B726" s="18"/>
      <c r="C726" s="18"/>
      <c r="D726" s="33"/>
      <c r="E726" s="33"/>
      <c r="F726" s="34"/>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c r="AX726" s="18"/>
      <c r="AY726" s="18"/>
      <c r="AZ726" s="18"/>
      <c r="BA726" s="18"/>
    </row>
    <row r="727">
      <c r="A727" s="18"/>
      <c r="B727" s="18"/>
      <c r="C727" s="18"/>
      <c r="D727" s="33"/>
      <c r="E727" s="33"/>
      <c r="F727" s="34"/>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8"/>
    </row>
    <row r="728">
      <c r="A728" s="18"/>
      <c r="B728" s="18"/>
      <c r="C728" s="18"/>
      <c r="D728" s="33"/>
      <c r="E728" s="33"/>
      <c r="F728" s="34"/>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8"/>
      <c r="BA728" s="18"/>
    </row>
    <row r="729">
      <c r="A729" s="18"/>
      <c r="B729" s="18"/>
      <c r="C729" s="18"/>
      <c r="D729" s="33"/>
      <c r="E729" s="33"/>
      <c r="F729" s="34"/>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8"/>
    </row>
    <row r="730">
      <c r="A730" s="18"/>
      <c r="B730" s="18"/>
      <c r="C730" s="18"/>
      <c r="D730" s="33"/>
      <c r="E730" s="33"/>
      <c r="F730" s="34"/>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c r="AX730" s="18"/>
      <c r="AY730" s="18"/>
      <c r="AZ730" s="18"/>
      <c r="BA730" s="18"/>
    </row>
    <row r="731">
      <c r="A731" s="18"/>
      <c r="B731" s="18"/>
      <c r="C731" s="18"/>
      <c r="D731" s="33"/>
      <c r="E731" s="33"/>
      <c r="F731" s="34"/>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8"/>
    </row>
    <row r="732">
      <c r="A732" s="18"/>
      <c r="B732" s="18"/>
      <c r="C732" s="18"/>
      <c r="D732" s="33"/>
      <c r="E732" s="33"/>
      <c r="F732" s="34"/>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8"/>
      <c r="BA732" s="18"/>
    </row>
    <row r="733">
      <c r="A733" s="18"/>
      <c r="B733" s="18"/>
      <c r="C733" s="18"/>
      <c r="D733" s="33"/>
      <c r="E733" s="33"/>
      <c r="F733" s="34"/>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8"/>
    </row>
    <row r="734">
      <c r="A734" s="18"/>
      <c r="B734" s="18"/>
      <c r="C734" s="18"/>
      <c r="D734" s="33"/>
      <c r="E734" s="33"/>
      <c r="F734" s="34"/>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8"/>
      <c r="BA734" s="18"/>
    </row>
    <row r="735">
      <c r="A735" s="18"/>
      <c r="B735" s="18"/>
      <c r="C735" s="18"/>
      <c r="D735" s="33"/>
      <c r="E735" s="33"/>
      <c r="F735" s="34"/>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8"/>
    </row>
    <row r="736">
      <c r="A736" s="18"/>
      <c r="B736" s="18"/>
      <c r="C736" s="18"/>
      <c r="D736" s="33"/>
      <c r="E736" s="33"/>
      <c r="F736" s="34"/>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c r="AX736" s="18"/>
      <c r="AY736" s="18"/>
      <c r="AZ736" s="18"/>
      <c r="BA736" s="18"/>
    </row>
    <row r="737">
      <c r="A737" s="18"/>
      <c r="B737" s="18"/>
      <c r="C737" s="18"/>
      <c r="D737" s="33"/>
      <c r="E737" s="33"/>
      <c r="F737" s="34"/>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8"/>
    </row>
    <row r="738">
      <c r="A738" s="18"/>
      <c r="B738" s="18"/>
      <c r="C738" s="18"/>
      <c r="D738" s="33"/>
      <c r="E738" s="33"/>
      <c r="F738" s="34"/>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8"/>
      <c r="BA738" s="18"/>
    </row>
    <row r="739">
      <c r="A739" s="18"/>
      <c r="B739" s="18"/>
      <c r="C739" s="18"/>
      <c r="D739" s="33"/>
      <c r="E739" s="33"/>
      <c r="F739" s="34"/>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8"/>
    </row>
    <row r="740">
      <c r="A740" s="18"/>
      <c r="B740" s="18"/>
      <c r="C740" s="18"/>
      <c r="D740" s="33"/>
      <c r="E740" s="33"/>
      <c r="F740" s="34"/>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8"/>
      <c r="BA740" s="18"/>
    </row>
    <row r="741">
      <c r="A741" s="18"/>
      <c r="B741" s="18"/>
      <c r="C741" s="18"/>
      <c r="D741" s="33"/>
      <c r="E741" s="33"/>
      <c r="F741" s="34"/>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8"/>
    </row>
    <row r="742">
      <c r="A742" s="18"/>
      <c r="B742" s="18"/>
      <c r="C742" s="18"/>
      <c r="D742" s="33"/>
      <c r="E742" s="33"/>
      <c r="F742" s="34"/>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8"/>
      <c r="BA742" s="18"/>
    </row>
    <row r="743">
      <c r="A743" s="18"/>
      <c r="B743" s="18"/>
      <c r="C743" s="18"/>
      <c r="D743" s="33"/>
      <c r="E743" s="33"/>
      <c r="F743" s="34"/>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8"/>
    </row>
    <row r="744">
      <c r="A744" s="18"/>
      <c r="B744" s="18"/>
      <c r="C744" s="18"/>
      <c r="D744" s="33"/>
      <c r="E744" s="33"/>
      <c r="F744" s="34"/>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8"/>
      <c r="BA744" s="18"/>
    </row>
    <row r="745">
      <c r="A745" s="18"/>
      <c r="B745" s="18"/>
      <c r="C745" s="18"/>
      <c r="D745" s="33"/>
      <c r="E745" s="33"/>
      <c r="F745" s="34"/>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8"/>
    </row>
    <row r="746">
      <c r="A746" s="18"/>
      <c r="B746" s="18"/>
      <c r="C746" s="18"/>
      <c r="D746" s="33"/>
      <c r="E746" s="33"/>
      <c r="F746" s="34"/>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8"/>
      <c r="BA746" s="18"/>
    </row>
    <row r="747">
      <c r="A747" s="18"/>
      <c r="B747" s="18"/>
      <c r="C747" s="18"/>
      <c r="D747" s="33"/>
      <c r="E747" s="33"/>
      <c r="F747" s="34"/>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8"/>
    </row>
    <row r="748">
      <c r="A748" s="18"/>
      <c r="B748" s="18"/>
      <c r="C748" s="18"/>
      <c r="D748" s="33"/>
      <c r="E748" s="33"/>
      <c r="F748" s="34"/>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8"/>
      <c r="BA748" s="18"/>
    </row>
    <row r="749">
      <c r="A749" s="18"/>
      <c r="B749" s="18"/>
      <c r="C749" s="18"/>
      <c r="D749" s="33"/>
      <c r="E749" s="33"/>
      <c r="F749" s="34"/>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8"/>
    </row>
    <row r="750">
      <c r="A750" s="18"/>
      <c r="B750" s="18"/>
      <c r="C750" s="18"/>
      <c r="D750" s="33"/>
      <c r="E750" s="33"/>
      <c r="F750" s="34"/>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8"/>
      <c r="BA750" s="18"/>
    </row>
    <row r="751">
      <c r="A751" s="18"/>
      <c r="B751" s="18"/>
      <c r="C751" s="18"/>
      <c r="D751" s="33"/>
      <c r="E751" s="33"/>
      <c r="F751" s="34"/>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8"/>
    </row>
    <row r="752">
      <c r="A752" s="18"/>
      <c r="B752" s="18"/>
      <c r="C752" s="18"/>
      <c r="D752" s="33"/>
      <c r="E752" s="33"/>
      <c r="F752" s="34"/>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8"/>
      <c r="BA752" s="18"/>
    </row>
    <row r="753">
      <c r="A753" s="18"/>
      <c r="B753" s="18"/>
      <c r="C753" s="18"/>
      <c r="D753" s="33"/>
      <c r="E753" s="33"/>
      <c r="F753" s="34"/>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8"/>
    </row>
    <row r="754">
      <c r="A754" s="18"/>
      <c r="B754" s="18"/>
      <c r="C754" s="18"/>
      <c r="D754" s="33"/>
      <c r="E754" s="33"/>
      <c r="F754" s="34"/>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8"/>
      <c r="BA754" s="18"/>
    </row>
    <row r="755">
      <c r="A755" s="18"/>
      <c r="B755" s="18"/>
      <c r="C755" s="18"/>
      <c r="D755" s="33"/>
      <c r="E755" s="33"/>
      <c r="F755" s="34"/>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8"/>
    </row>
    <row r="756">
      <c r="A756" s="18"/>
      <c r="B756" s="18"/>
      <c r="C756" s="18"/>
      <c r="D756" s="33"/>
      <c r="E756" s="33"/>
      <c r="F756" s="34"/>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8"/>
    </row>
    <row r="757">
      <c r="A757" s="18"/>
      <c r="B757" s="18"/>
      <c r="C757" s="18"/>
      <c r="D757" s="33"/>
      <c r="E757" s="33"/>
      <c r="F757" s="34"/>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row>
    <row r="758">
      <c r="A758" s="18"/>
      <c r="B758" s="18"/>
      <c r="C758" s="18"/>
      <c r="D758" s="33"/>
      <c r="E758" s="33"/>
      <c r="F758" s="34"/>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8"/>
    </row>
    <row r="759">
      <c r="A759" s="18"/>
      <c r="B759" s="18"/>
      <c r="C759" s="18"/>
      <c r="D759" s="33"/>
      <c r="E759" s="33"/>
      <c r="F759" s="34"/>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row>
    <row r="760">
      <c r="A760" s="18"/>
      <c r="B760" s="18"/>
      <c r="C760" s="18"/>
      <c r="D760" s="33"/>
      <c r="E760" s="33"/>
      <c r="F760" s="34"/>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8"/>
    </row>
    <row r="761">
      <c r="A761" s="18"/>
      <c r="B761" s="18"/>
      <c r="C761" s="18"/>
      <c r="D761" s="33"/>
      <c r="E761" s="33"/>
      <c r="F761" s="34"/>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row>
    <row r="762">
      <c r="A762" s="18"/>
      <c r="B762" s="18"/>
      <c r="C762" s="18"/>
      <c r="D762" s="33"/>
      <c r="E762" s="33"/>
      <c r="F762" s="34"/>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8"/>
      <c r="BA762" s="18"/>
    </row>
    <row r="763">
      <c r="A763" s="18"/>
      <c r="B763" s="18"/>
      <c r="C763" s="18"/>
      <c r="D763" s="33"/>
      <c r="E763" s="33"/>
      <c r="F763" s="34"/>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8"/>
    </row>
    <row r="764">
      <c r="A764" s="18"/>
      <c r="B764" s="18"/>
      <c r="C764" s="18"/>
      <c r="D764" s="33"/>
      <c r="E764" s="33"/>
      <c r="F764" s="34"/>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8"/>
      <c r="BA764" s="18"/>
    </row>
    <row r="765">
      <c r="A765" s="18"/>
      <c r="B765" s="18"/>
      <c r="C765" s="18"/>
      <c r="D765" s="33"/>
      <c r="E765" s="33"/>
      <c r="F765" s="34"/>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8"/>
    </row>
    <row r="766">
      <c r="A766" s="18"/>
      <c r="B766" s="18"/>
      <c r="C766" s="18"/>
      <c r="D766" s="33"/>
      <c r="E766" s="33"/>
      <c r="F766" s="34"/>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8"/>
      <c r="BA766" s="18"/>
    </row>
    <row r="767">
      <c r="A767" s="18"/>
      <c r="B767" s="18"/>
      <c r="C767" s="18"/>
      <c r="D767" s="33"/>
      <c r="E767" s="33"/>
      <c r="F767" s="34"/>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8"/>
    </row>
    <row r="768">
      <c r="A768" s="18"/>
      <c r="B768" s="18"/>
      <c r="C768" s="18"/>
      <c r="D768" s="33"/>
      <c r="E768" s="33"/>
      <c r="F768" s="34"/>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8"/>
      <c r="BA768" s="18"/>
    </row>
    <row r="769">
      <c r="A769" s="18"/>
      <c r="B769" s="18"/>
      <c r="C769" s="18"/>
      <c r="D769" s="33"/>
      <c r="E769" s="33"/>
      <c r="F769" s="34"/>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8"/>
    </row>
    <row r="770">
      <c r="A770" s="18"/>
      <c r="B770" s="18"/>
      <c r="C770" s="18"/>
      <c r="D770" s="33"/>
      <c r="E770" s="33"/>
      <c r="F770" s="34"/>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8"/>
      <c r="BA770" s="18"/>
    </row>
    <row r="771">
      <c r="A771" s="18"/>
      <c r="B771" s="18"/>
      <c r="C771" s="18"/>
      <c r="D771" s="33"/>
      <c r="E771" s="33"/>
      <c r="F771" s="34"/>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8"/>
    </row>
    <row r="772">
      <c r="A772" s="18"/>
      <c r="B772" s="18"/>
      <c r="C772" s="18"/>
      <c r="D772" s="33"/>
      <c r="E772" s="33"/>
      <c r="F772" s="34"/>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8"/>
      <c r="BA772" s="18"/>
    </row>
    <row r="773">
      <c r="A773" s="18"/>
      <c r="B773" s="18"/>
      <c r="C773" s="18"/>
      <c r="D773" s="33"/>
      <c r="E773" s="33"/>
      <c r="F773" s="34"/>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8"/>
    </row>
    <row r="774">
      <c r="A774" s="18"/>
      <c r="B774" s="18"/>
      <c r="C774" s="18"/>
      <c r="D774" s="33"/>
      <c r="E774" s="33"/>
      <c r="F774" s="34"/>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8"/>
      <c r="BA774" s="18"/>
    </row>
    <row r="775">
      <c r="A775" s="18"/>
      <c r="B775" s="18"/>
      <c r="C775" s="18"/>
      <c r="D775" s="33"/>
      <c r="E775" s="33"/>
      <c r="F775" s="34"/>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8"/>
    </row>
    <row r="776">
      <c r="A776" s="18"/>
      <c r="B776" s="18"/>
      <c r="C776" s="18"/>
      <c r="D776" s="33"/>
      <c r="E776" s="33"/>
      <c r="F776" s="34"/>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8"/>
      <c r="BA776" s="18"/>
    </row>
    <row r="777">
      <c r="A777" s="18"/>
      <c r="B777" s="18"/>
      <c r="C777" s="18"/>
      <c r="D777" s="33"/>
      <c r="E777" s="33"/>
      <c r="F777" s="34"/>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8"/>
    </row>
    <row r="778">
      <c r="A778" s="18"/>
      <c r="B778" s="18"/>
      <c r="C778" s="18"/>
      <c r="D778" s="33"/>
      <c r="E778" s="33"/>
      <c r="F778" s="34"/>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8"/>
      <c r="BA778" s="18"/>
    </row>
    <row r="779">
      <c r="A779" s="18"/>
      <c r="B779" s="18"/>
      <c r="C779" s="18"/>
      <c r="D779" s="33"/>
      <c r="E779" s="33"/>
      <c r="F779" s="34"/>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8"/>
    </row>
    <row r="780">
      <c r="A780" s="18"/>
      <c r="B780" s="18"/>
      <c r="C780" s="18"/>
      <c r="D780" s="33"/>
      <c r="E780" s="33"/>
      <c r="F780" s="34"/>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8"/>
      <c r="BA780" s="18"/>
    </row>
    <row r="781">
      <c r="A781" s="18"/>
      <c r="B781" s="18"/>
      <c r="C781" s="18"/>
      <c r="D781" s="33"/>
      <c r="E781" s="33"/>
      <c r="F781" s="34"/>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8"/>
    </row>
    <row r="782">
      <c r="A782" s="18"/>
      <c r="B782" s="18"/>
      <c r="C782" s="18"/>
      <c r="D782" s="33"/>
      <c r="E782" s="33"/>
      <c r="F782" s="34"/>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8"/>
      <c r="BA782" s="18"/>
    </row>
    <row r="783">
      <c r="A783" s="18"/>
      <c r="B783" s="18"/>
      <c r="C783" s="18"/>
      <c r="D783" s="33"/>
      <c r="E783" s="33"/>
      <c r="F783" s="34"/>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8"/>
    </row>
    <row r="784">
      <c r="A784" s="18"/>
      <c r="B784" s="18"/>
      <c r="C784" s="18"/>
      <c r="D784" s="33"/>
      <c r="E784" s="33"/>
      <c r="F784" s="34"/>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8"/>
      <c r="BA784" s="18"/>
    </row>
    <row r="785">
      <c r="A785" s="18"/>
      <c r="B785" s="18"/>
      <c r="C785" s="18"/>
      <c r="D785" s="33"/>
      <c r="E785" s="33"/>
      <c r="F785" s="34"/>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8"/>
    </row>
    <row r="786">
      <c r="A786" s="18"/>
      <c r="B786" s="18"/>
      <c r="C786" s="18"/>
      <c r="D786" s="33"/>
      <c r="E786" s="33"/>
      <c r="F786" s="34"/>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8"/>
      <c r="BA786" s="18"/>
    </row>
    <row r="787">
      <c r="A787" s="18"/>
      <c r="B787" s="18"/>
      <c r="C787" s="18"/>
      <c r="D787" s="33"/>
      <c r="E787" s="33"/>
      <c r="F787" s="34"/>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8"/>
    </row>
    <row r="788">
      <c r="A788" s="18"/>
      <c r="B788" s="18"/>
      <c r="C788" s="18"/>
      <c r="D788" s="33"/>
      <c r="E788" s="33"/>
      <c r="F788" s="34"/>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8"/>
      <c r="BA788" s="18"/>
    </row>
    <row r="789">
      <c r="A789" s="18"/>
      <c r="B789" s="18"/>
      <c r="C789" s="18"/>
      <c r="D789" s="33"/>
      <c r="E789" s="33"/>
      <c r="F789" s="34"/>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8"/>
    </row>
    <row r="790">
      <c r="A790" s="18"/>
      <c r="B790" s="18"/>
      <c r="C790" s="18"/>
      <c r="D790" s="33"/>
      <c r="E790" s="33"/>
      <c r="F790" s="34"/>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8"/>
      <c r="BA790" s="18"/>
    </row>
    <row r="791">
      <c r="A791" s="18"/>
      <c r="B791" s="18"/>
      <c r="C791" s="18"/>
      <c r="D791" s="33"/>
      <c r="E791" s="33"/>
      <c r="F791" s="34"/>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8"/>
    </row>
    <row r="792">
      <c r="A792" s="18"/>
      <c r="B792" s="18"/>
      <c r="C792" s="18"/>
      <c r="D792" s="33"/>
      <c r="E792" s="33"/>
      <c r="F792" s="34"/>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8"/>
      <c r="BA792" s="18"/>
    </row>
    <row r="793">
      <c r="A793" s="18"/>
      <c r="B793" s="18"/>
      <c r="C793" s="18"/>
      <c r="D793" s="33"/>
      <c r="E793" s="33"/>
      <c r="F793" s="34"/>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8"/>
    </row>
    <row r="794">
      <c r="A794" s="18"/>
      <c r="B794" s="18"/>
      <c r="C794" s="18"/>
      <c r="D794" s="33"/>
      <c r="E794" s="33"/>
      <c r="F794" s="34"/>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8"/>
      <c r="BA794" s="18"/>
    </row>
    <row r="795">
      <c r="A795" s="18"/>
      <c r="B795" s="18"/>
      <c r="C795" s="18"/>
      <c r="D795" s="33"/>
      <c r="E795" s="33"/>
      <c r="F795" s="34"/>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8"/>
    </row>
    <row r="796">
      <c r="A796" s="18"/>
      <c r="B796" s="18"/>
      <c r="C796" s="18"/>
      <c r="D796" s="33"/>
      <c r="E796" s="33"/>
      <c r="F796" s="34"/>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8"/>
      <c r="BA796" s="18"/>
    </row>
    <row r="797">
      <c r="A797" s="18"/>
      <c r="B797" s="18"/>
      <c r="C797" s="18"/>
      <c r="D797" s="33"/>
      <c r="E797" s="33"/>
      <c r="F797" s="34"/>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8"/>
    </row>
    <row r="798">
      <c r="A798" s="18"/>
      <c r="B798" s="18"/>
      <c r="C798" s="18"/>
      <c r="D798" s="33"/>
      <c r="E798" s="33"/>
      <c r="F798" s="34"/>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8"/>
      <c r="BA798" s="18"/>
    </row>
    <row r="799">
      <c r="A799" s="18"/>
      <c r="B799" s="18"/>
      <c r="C799" s="18"/>
      <c r="D799" s="33"/>
      <c r="E799" s="33"/>
      <c r="F799" s="34"/>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8"/>
    </row>
    <row r="800">
      <c r="A800" s="18"/>
      <c r="B800" s="18"/>
      <c r="C800" s="18"/>
      <c r="D800" s="33"/>
      <c r="E800" s="33"/>
      <c r="F800" s="34"/>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8"/>
      <c r="BA800" s="18"/>
    </row>
    <row r="801">
      <c r="A801" s="18"/>
      <c r="B801" s="18"/>
      <c r="C801" s="18"/>
      <c r="D801" s="33"/>
      <c r="E801" s="33"/>
      <c r="F801" s="34"/>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8"/>
    </row>
    <row r="802">
      <c r="A802" s="18"/>
      <c r="B802" s="18"/>
      <c r="C802" s="18"/>
      <c r="D802" s="33"/>
      <c r="E802" s="33"/>
      <c r="F802" s="34"/>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8"/>
      <c r="BA802" s="18"/>
    </row>
    <row r="803">
      <c r="A803" s="18"/>
      <c r="B803" s="18"/>
      <c r="C803" s="18"/>
      <c r="D803" s="33"/>
      <c r="E803" s="33"/>
      <c r="F803" s="34"/>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8"/>
    </row>
    <row r="804">
      <c r="A804" s="18"/>
      <c r="B804" s="18"/>
      <c r="C804" s="18"/>
      <c r="D804" s="33"/>
      <c r="E804" s="33"/>
      <c r="F804" s="34"/>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8"/>
      <c r="BA804" s="18"/>
    </row>
    <row r="805">
      <c r="A805" s="18"/>
      <c r="B805" s="18"/>
      <c r="C805" s="18"/>
      <c r="D805" s="33"/>
      <c r="E805" s="33"/>
      <c r="F805" s="34"/>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8"/>
    </row>
    <row r="806">
      <c r="A806" s="18"/>
      <c r="B806" s="18"/>
      <c r="C806" s="18"/>
      <c r="D806" s="33"/>
      <c r="E806" s="33"/>
      <c r="F806" s="34"/>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8"/>
      <c r="BA806" s="18"/>
    </row>
    <row r="807">
      <c r="A807" s="18"/>
      <c r="B807" s="18"/>
      <c r="C807" s="18"/>
      <c r="D807" s="33"/>
      <c r="E807" s="33"/>
      <c r="F807" s="34"/>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8"/>
    </row>
    <row r="808">
      <c r="A808" s="18"/>
      <c r="B808" s="18"/>
      <c r="C808" s="18"/>
      <c r="D808" s="33"/>
      <c r="E808" s="33"/>
      <c r="F808" s="34"/>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8"/>
      <c r="BA808" s="18"/>
    </row>
    <row r="809">
      <c r="A809" s="18"/>
      <c r="B809" s="18"/>
      <c r="C809" s="18"/>
      <c r="D809" s="33"/>
      <c r="E809" s="33"/>
      <c r="F809" s="34"/>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8"/>
    </row>
    <row r="810">
      <c r="A810" s="18"/>
      <c r="B810" s="18"/>
      <c r="C810" s="18"/>
      <c r="D810" s="33"/>
      <c r="E810" s="33"/>
      <c r="F810" s="34"/>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c r="AZ810" s="18"/>
      <c r="BA810" s="18"/>
    </row>
    <row r="811">
      <c r="A811" s="18"/>
      <c r="B811" s="18"/>
      <c r="C811" s="18"/>
      <c r="D811" s="33"/>
      <c r="E811" s="33"/>
      <c r="F811" s="34"/>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8"/>
    </row>
    <row r="812">
      <c r="A812" s="18"/>
      <c r="B812" s="18"/>
      <c r="C812" s="18"/>
      <c r="D812" s="33"/>
      <c r="E812" s="33"/>
      <c r="F812" s="34"/>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8"/>
      <c r="BA812" s="18"/>
    </row>
    <row r="813">
      <c r="A813" s="18"/>
      <c r="B813" s="18"/>
      <c r="C813" s="18"/>
      <c r="D813" s="33"/>
      <c r="E813" s="33"/>
      <c r="F813" s="34"/>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8"/>
    </row>
    <row r="814">
      <c r="A814" s="18"/>
      <c r="B814" s="18"/>
      <c r="C814" s="18"/>
      <c r="D814" s="33"/>
      <c r="E814" s="33"/>
      <c r="F814" s="34"/>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8"/>
      <c r="BA814" s="18"/>
    </row>
    <row r="815">
      <c r="A815" s="18"/>
      <c r="B815" s="18"/>
      <c r="C815" s="18"/>
      <c r="D815" s="33"/>
      <c r="E815" s="33"/>
      <c r="F815" s="34"/>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8"/>
    </row>
    <row r="816">
      <c r="A816" s="18"/>
      <c r="B816" s="18"/>
      <c r="C816" s="18"/>
      <c r="D816" s="33"/>
      <c r="E816" s="33"/>
      <c r="F816" s="34"/>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8"/>
      <c r="BA816" s="18"/>
    </row>
    <row r="817">
      <c r="A817" s="18"/>
      <c r="B817" s="18"/>
      <c r="C817" s="18"/>
      <c r="D817" s="33"/>
      <c r="E817" s="33"/>
      <c r="F817" s="34"/>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8"/>
    </row>
    <row r="818">
      <c r="A818" s="18"/>
      <c r="B818" s="18"/>
      <c r="C818" s="18"/>
      <c r="D818" s="33"/>
      <c r="E818" s="33"/>
      <c r="F818" s="34"/>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c r="AX818" s="18"/>
      <c r="AY818" s="18"/>
      <c r="AZ818" s="18"/>
      <c r="BA818" s="18"/>
    </row>
    <row r="819">
      <c r="A819" s="18"/>
      <c r="B819" s="18"/>
      <c r="C819" s="18"/>
      <c r="D819" s="33"/>
      <c r="E819" s="33"/>
      <c r="F819" s="34"/>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8"/>
    </row>
    <row r="820">
      <c r="A820" s="18"/>
      <c r="B820" s="18"/>
      <c r="C820" s="18"/>
      <c r="D820" s="33"/>
      <c r="E820" s="33"/>
      <c r="F820" s="34"/>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c r="AX820" s="18"/>
      <c r="AY820" s="18"/>
      <c r="AZ820" s="18"/>
      <c r="BA820" s="18"/>
    </row>
    <row r="821">
      <c r="A821" s="18"/>
      <c r="B821" s="18"/>
      <c r="C821" s="18"/>
      <c r="D821" s="33"/>
      <c r="E821" s="33"/>
      <c r="F821" s="34"/>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8"/>
    </row>
    <row r="822">
      <c r="A822" s="18"/>
      <c r="B822" s="18"/>
      <c r="C822" s="18"/>
      <c r="D822" s="33"/>
      <c r="E822" s="33"/>
      <c r="F822" s="34"/>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8"/>
      <c r="BA822" s="18"/>
    </row>
    <row r="823">
      <c r="A823" s="18"/>
      <c r="B823" s="18"/>
      <c r="C823" s="18"/>
      <c r="D823" s="33"/>
      <c r="E823" s="33"/>
      <c r="F823" s="34"/>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8"/>
    </row>
    <row r="824">
      <c r="A824" s="18"/>
      <c r="B824" s="18"/>
      <c r="C824" s="18"/>
      <c r="D824" s="33"/>
      <c r="E824" s="33"/>
      <c r="F824" s="34"/>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8"/>
      <c r="BA824" s="18"/>
    </row>
    <row r="825">
      <c r="A825" s="18"/>
      <c r="B825" s="18"/>
      <c r="C825" s="18"/>
      <c r="D825" s="33"/>
      <c r="E825" s="33"/>
      <c r="F825" s="34"/>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8"/>
    </row>
    <row r="826">
      <c r="A826" s="18"/>
      <c r="B826" s="18"/>
      <c r="C826" s="18"/>
      <c r="D826" s="33"/>
      <c r="E826" s="33"/>
      <c r="F826" s="34"/>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c r="AZ826" s="18"/>
      <c r="BA826" s="18"/>
    </row>
    <row r="827">
      <c r="A827" s="18"/>
      <c r="B827" s="18"/>
      <c r="C827" s="18"/>
      <c r="D827" s="33"/>
      <c r="E827" s="33"/>
      <c r="F827" s="34"/>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8"/>
    </row>
    <row r="828">
      <c r="A828" s="18"/>
      <c r="B828" s="18"/>
      <c r="C828" s="18"/>
      <c r="D828" s="33"/>
      <c r="E828" s="33"/>
      <c r="F828" s="34"/>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8"/>
      <c r="BA828" s="18"/>
    </row>
    <row r="829">
      <c r="A829" s="18"/>
      <c r="B829" s="18"/>
      <c r="C829" s="18"/>
      <c r="D829" s="33"/>
      <c r="E829" s="33"/>
      <c r="F829" s="34"/>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8"/>
    </row>
    <row r="830">
      <c r="A830" s="18"/>
      <c r="B830" s="18"/>
      <c r="C830" s="18"/>
      <c r="D830" s="33"/>
      <c r="E830" s="33"/>
      <c r="F830" s="34"/>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8"/>
      <c r="BA830" s="18"/>
    </row>
    <row r="831">
      <c r="A831" s="18"/>
      <c r="B831" s="18"/>
      <c r="C831" s="18"/>
      <c r="D831" s="33"/>
      <c r="E831" s="33"/>
      <c r="F831" s="34"/>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8"/>
    </row>
    <row r="832">
      <c r="A832" s="18"/>
      <c r="B832" s="18"/>
      <c r="C832" s="18"/>
      <c r="D832" s="33"/>
      <c r="E832" s="33"/>
      <c r="F832" s="34"/>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8"/>
      <c r="BA832" s="18"/>
    </row>
    <row r="833">
      <c r="A833" s="18"/>
      <c r="B833" s="18"/>
      <c r="C833" s="18"/>
      <c r="D833" s="33"/>
      <c r="E833" s="33"/>
      <c r="F833" s="34"/>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8"/>
    </row>
    <row r="834">
      <c r="A834" s="18"/>
      <c r="B834" s="18"/>
      <c r="C834" s="18"/>
      <c r="D834" s="33"/>
      <c r="E834" s="33"/>
      <c r="F834" s="34"/>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8"/>
      <c r="BA834" s="18"/>
    </row>
    <row r="835">
      <c r="A835" s="18"/>
      <c r="B835" s="18"/>
      <c r="C835" s="18"/>
      <c r="D835" s="33"/>
      <c r="E835" s="33"/>
      <c r="F835" s="34"/>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8"/>
    </row>
    <row r="836">
      <c r="A836" s="18"/>
      <c r="B836" s="18"/>
      <c r="C836" s="18"/>
      <c r="D836" s="33"/>
      <c r="E836" s="33"/>
      <c r="F836" s="34"/>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8"/>
      <c r="BA836" s="18"/>
    </row>
    <row r="837">
      <c r="A837" s="18"/>
      <c r="B837" s="18"/>
      <c r="C837" s="18"/>
      <c r="D837" s="33"/>
      <c r="E837" s="33"/>
      <c r="F837" s="34"/>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8"/>
    </row>
    <row r="838">
      <c r="A838" s="18"/>
      <c r="B838" s="18"/>
      <c r="C838" s="18"/>
      <c r="D838" s="33"/>
      <c r="E838" s="33"/>
      <c r="F838" s="34"/>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c r="AX838" s="18"/>
      <c r="AY838" s="18"/>
      <c r="AZ838" s="18"/>
      <c r="BA838" s="18"/>
    </row>
    <row r="839">
      <c r="A839" s="18"/>
      <c r="B839" s="18"/>
      <c r="C839" s="18"/>
      <c r="D839" s="33"/>
      <c r="E839" s="33"/>
      <c r="F839" s="34"/>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8"/>
    </row>
    <row r="840">
      <c r="A840" s="18"/>
      <c r="B840" s="18"/>
      <c r="C840" s="18"/>
      <c r="D840" s="33"/>
      <c r="E840" s="33"/>
      <c r="F840" s="34"/>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8"/>
      <c r="BA840" s="18"/>
    </row>
    <row r="841">
      <c r="A841" s="18"/>
      <c r="B841" s="18"/>
      <c r="C841" s="18"/>
      <c r="D841" s="33"/>
      <c r="E841" s="33"/>
      <c r="F841" s="34"/>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8"/>
    </row>
    <row r="842">
      <c r="A842" s="18"/>
      <c r="B842" s="18"/>
      <c r="C842" s="18"/>
      <c r="D842" s="33"/>
      <c r="E842" s="33"/>
      <c r="F842" s="34"/>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8"/>
      <c r="BA842" s="18"/>
    </row>
    <row r="843">
      <c r="A843" s="18"/>
      <c r="B843" s="18"/>
      <c r="C843" s="18"/>
      <c r="D843" s="33"/>
      <c r="E843" s="33"/>
      <c r="F843" s="34"/>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8"/>
    </row>
    <row r="844">
      <c r="A844" s="18"/>
      <c r="B844" s="18"/>
      <c r="C844" s="18"/>
      <c r="D844" s="33"/>
      <c r="E844" s="33"/>
      <c r="F844" s="34"/>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c r="AX844" s="18"/>
      <c r="AY844" s="18"/>
      <c r="AZ844" s="18"/>
      <c r="BA844" s="18"/>
    </row>
    <row r="845">
      <c r="A845" s="18"/>
      <c r="B845" s="18"/>
      <c r="C845" s="18"/>
      <c r="D845" s="33"/>
      <c r="E845" s="33"/>
      <c r="F845" s="34"/>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8"/>
    </row>
    <row r="846">
      <c r="A846" s="18"/>
      <c r="B846" s="18"/>
      <c r="C846" s="18"/>
      <c r="D846" s="33"/>
      <c r="E846" s="33"/>
      <c r="F846" s="34"/>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8"/>
      <c r="BA846" s="18"/>
    </row>
    <row r="847">
      <c r="A847" s="18"/>
      <c r="B847" s="18"/>
      <c r="C847" s="18"/>
      <c r="D847" s="33"/>
      <c r="E847" s="33"/>
      <c r="F847" s="34"/>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8"/>
    </row>
    <row r="848">
      <c r="A848" s="18"/>
      <c r="B848" s="18"/>
      <c r="C848" s="18"/>
      <c r="D848" s="33"/>
      <c r="E848" s="33"/>
      <c r="F848" s="34"/>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c r="AX848" s="18"/>
      <c r="AY848" s="18"/>
      <c r="AZ848" s="18"/>
      <c r="BA848" s="18"/>
    </row>
    <row r="849">
      <c r="A849" s="18"/>
      <c r="B849" s="18"/>
      <c r="C849" s="18"/>
      <c r="D849" s="33"/>
      <c r="E849" s="33"/>
      <c r="F849" s="34"/>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8"/>
    </row>
    <row r="850">
      <c r="A850" s="18"/>
      <c r="B850" s="18"/>
      <c r="C850" s="18"/>
      <c r="D850" s="33"/>
      <c r="E850" s="33"/>
      <c r="F850" s="34"/>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8"/>
      <c r="BA850" s="18"/>
    </row>
    <row r="851">
      <c r="A851" s="18"/>
      <c r="B851" s="18"/>
      <c r="C851" s="18"/>
      <c r="D851" s="33"/>
      <c r="E851" s="33"/>
      <c r="F851" s="34"/>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8"/>
    </row>
    <row r="852">
      <c r="A852" s="18"/>
      <c r="B852" s="18"/>
      <c r="C852" s="18"/>
      <c r="D852" s="33"/>
      <c r="E852" s="33"/>
      <c r="F852" s="34"/>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8"/>
      <c r="BA852" s="18"/>
    </row>
    <row r="853">
      <c r="A853" s="18"/>
      <c r="B853" s="18"/>
      <c r="C853" s="18"/>
      <c r="D853" s="33"/>
      <c r="E853" s="33"/>
      <c r="F853" s="34"/>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8"/>
    </row>
    <row r="854">
      <c r="A854" s="18"/>
      <c r="B854" s="18"/>
      <c r="C854" s="18"/>
      <c r="D854" s="33"/>
      <c r="E854" s="33"/>
      <c r="F854" s="34"/>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8"/>
      <c r="BA854" s="18"/>
    </row>
    <row r="855">
      <c r="A855" s="18"/>
      <c r="B855" s="18"/>
      <c r="C855" s="18"/>
      <c r="D855" s="33"/>
      <c r="E855" s="33"/>
      <c r="F855" s="34"/>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8"/>
    </row>
    <row r="856">
      <c r="A856" s="18"/>
      <c r="B856" s="18"/>
      <c r="C856" s="18"/>
      <c r="D856" s="33"/>
      <c r="E856" s="33"/>
      <c r="F856" s="34"/>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8"/>
      <c r="BA856" s="18"/>
    </row>
    <row r="857">
      <c r="A857" s="18"/>
      <c r="B857" s="18"/>
      <c r="C857" s="18"/>
      <c r="D857" s="33"/>
      <c r="E857" s="33"/>
      <c r="F857" s="34"/>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8"/>
    </row>
    <row r="858">
      <c r="A858" s="18"/>
      <c r="B858" s="18"/>
      <c r="C858" s="18"/>
      <c r="D858" s="33"/>
      <c r="E858" s="33"/>
      <c r="F858" s="34"/>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8"/>
      <c r="BA858" s="18"/>
    </row>
    <row r="859">
      <c r="A859" s="18"/>
      <c r="B859" s="18"/>
      <c r="C859" s="18"/>
      <c r="D859" s="33"/>
      <c r="E859" s="33"/>
      <c r="F859" s="34"/>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8"/>
    </row>
    <row r="860">
      <c r="A860" s="18"/>
      <c r="B860" s="18"/>
      <c r="C860" s="18"/>
      <c r="D860" s="33"/>
      <c r="E860" s="33"/>
      <c r="F860" s="34"/>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8"/>
      <c r="BA860" s="18"/>
    </row>
    <row r="861">
      <c r="A861" s="18"/>
      <c r="B861" s="18"/>
      <c r="C861" s="18"/>
      <c r="D861" s="33"/>
      <c r="E861" s="33"/>
      <c r="F861" s="34"/>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8"/>
    </row>
    <row r="862">
      <c r="A862" s="18"/>
      <c r="B862" s="18"/>
      <c r="C862" s="18"/>
      <c r="D862" s="33"/>
      <c r="E862" s="33"/>
      <c r="F862" s="34"/>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c r="AX862" s="18"/>
      <c r="AY862" s="18"/>
      <c r="AZ862" s="18"/>
      <c r="BA862" s="18"/>
    </row>
    <row r="863">
      <c r="A863" s="18"/>
      <c r="B863" s="18"/>
      <c r="C863" s="18"/>
      <c r="D863" s="33"/>
      <c r="E863" s="33"/>
      <c r="F863" s="34"/>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8"/>
    </row>
    <row r="864">
      <c r="A864" s="18"/>
      <c r="B864" s="18"/>
      <c r="C864" s="18"/>
      <c r="D864" s="33"/>
      <c r="E864" s="33"/>
      <c r="F864" s="34"/>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8"/>
      <c r="BA864" s="18"/>
    </row>
    <row r="865">
      <c r="A865" s="18"/>
      <c r="B865" s="18"/>
      <c r="C865" s="18"/>
      <c r="D865" s="33"/>
      <c r="E865" s="33"/>
      <c r="F865" s="34"/>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8"/>
    </row>
    <row r="866">
      <c r="A866" s="18"/>
      <c r="B866" s="18"/>
      <c r="C866" s="18"/>
      <c r="D866" s="33"/>
      <c r="E866" s="33"/>
      <c r="F866" s="34"/>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8"/>
      <c r="BA866" s="18"/>
    </row>
    <row r="867">
      <c r="A867" s="18"/>
      <c r="B867" s="18"/>
      <c r="C867" s="18"/>
      <c r="D867" s="33"/>
      <c r="E867" s="33"/>
      <c r="F867" s="34"/>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8"/>
    </row>
    <row r="868">
      <c r="A868" s="18"/>
      <c r="B868" s="18"/>
      <c r="C868" s="18"/>
      <c r="D868" s="33"/>
      <c r="E868" s="33"/>
      <c r="F868" s="34"/>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8"/>
      <c r="BA868" s="18"/>
    </row>
    <row r="869">
      <c r="A869" s="18"/>
      <c r="B869" s="18"/>
      <c r="C869" s="18"/>
      <c r="D869" s="33"/>
      <c r="E869" s="33"/>
      <c r="F869" s="34"/>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8"/>
    </row>
    <row r="870">
      <c r="A870" s="18"/>
      <c r="B870" s="18"/>
      <c r="C870" s="18"/>
      <c r="D870" s="33"/>
      <c r="E870" s="33"/>
      <c r="F870" s="34"/>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8"/>
      <c r="BA870" s="18"/>
    </row>
    <row r="871">
      <c r="A871" s="18"/>
      <c r="B871" s="18"/>
      <c r="C871" s="18"/>
      <c r="D871" s="33"/>
      <c r="E871" s="33"/>
      <c r="F871" s="34"/>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8"/>
    </row>
    <row r="872">
      <c r="A872" s="18"/>
      <c r="B872" s="18"/>
      <c r="C872" s="18"/>
      <c r="D872" s="33"/>
      <c r="E872" s="33"/>
      <c r="F872" s="34"/>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8"/>
      <c r="BA872" s="18"/>
    </row>
    <row r="873">
      <c r="A873" s="18"/>
      <c r="B873" s="18"/>
      <c r="C873" s="18"/>
      <c r="D873" s="33"/>
      <c r="E873" s="33"/>
      <c r="F873" s="34"/>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8"/>
    </row>
    <row r="874">
      <c r="A874" s="18"/>
      <c r="B874" s="18"/>
      <c r="C874" s="18"/>
      <c r="D874" s="33"/>
      <c r="E874" s="33"/>
      <c r="F874" s="34"/>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8"/>
      <c r="BA874" s="18"/>
    </row>
    <row r="875">
      <c r="A875" s="18"/>
      <c r="B875" s="18"/>
      <c r="C875" s="18"/>
      <c r="D875" s="33"/>
      <c r="E875" s="33"/>
      <c r="F875" s="34"/>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8"/>
    </row>
    <row r="876">
      <c r="A876" s="18"/>
      <c r="B876" s="18"/>
      <c r="C876" s="18"/>
      <c r="D876" s="33"/>
      <c r="E876" s="33"/>
      <c r="F876" s="34"/>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8"/>
      <c r="BA876" s="18"/>
    </row>
    <row r="877">
      <c r="A877" s="18"/>
      <c r="B877" s="18"/>
      <c r="C877" s="18"/>
      <c r="D877" s="33"/>
      <c r="E877" s="33"/>
      <c r="F877" s="34"/>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8"/>
    </row>
    <row r="878">
      <c r="A878" s="18"/>
      <c r="B878" s="18"/>
      <c r="C878" s="18"/>
      <c r="D878" s="33"/>
      <c r="E878" s="33"/>
      <c r="F878" s="34"/>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8"/>
      <c r="BA878" s="18"/>
    </row>
    <row r="879">
      <c r="A879" s="18"/>
      <c r="B879" s="18"/>
      <c r="C879" s="18"/>
      <c r="D879" s="33"/>
      <c r="E879" s="33"/>
      <c r="F879" s="34"/>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8"/>
    </row>
    <row r="880">
      <c r="A880" s="18"/>
      <c r="B880" s="18"/>
      <c r="C880" s="18"/>
      <c r="D880" s="33"/>
      <c r="E880" s="33"/>
      <c r="F880" s="34"/>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8"/>
      <c r="BA880" s="18"/>
    </row>
    <row r="881">
      <c r="A881" s="18"/>
      <c r="B881" s="18"/>
      <c r="C881" s="18"/>
      <c r="D881" s="33"/>
      <c r="E881" s="33"/>
      <c r="F881" s="34"/>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8"/>
    </row>
    <row r="882">
      <c r="A882" s="18"/>
      <c r="B882" s="18"/>
      <c r="C882" s="18"/>
      <c r="D882" s="33"/>
      <c r="E882" s="33"/>
      <c r="F882" s="34"/>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8"/>
      <c r="BA882" s="18"/>
    </row>
    <row r="883">
      <c r="A883" s="18"/>
      <c r="B883" s="18"/>
      <c r="C883" s="18"/>
      <c r="D883" s="33"/>
      <c r="E883" s="33"/>
      <c r="F883" s="34"/>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8"/>
    </row>
    <row r="884">
      <c r="A884" s="18"/>
      <c r="B884" s="18"/>
      <c r="C884" s="18"/>
      <c r="D884" s="33"/>
      <c r="E884" s="33"/>
      <c r="F884" s="34"/>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8"/>
      <c r="BA884" s="18"/>
    </row>
    <row r="885">
      <c r="A885" s="18"/>
      <c r="B885" s="18"/>
      <c r="C885" s="18"/>
      <c r="D885" s="33"/>
      <c r="E885" s="33"/>
      <c r="F885" s="34"/>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8"/>
    </row>
    <row r="886">
      <c r="A886" s="18"/>
      <c r="B886" s="18"/>
      <c r="C886" s="18"/>
      <c r="D886" s="33"/>
      <c r="E886" s="33"/>
      <c r="F886" s="34"/>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8"/>
      <c r="BA886" s="18"/>
    </row>
    <row r="887">
      <c r="A887" s="18"/>
      <c r="B887" s="18"/>
      <c r="C887" s="18"/>
      <c r="D887" s="33"/>
      <c r="E887" s="33"/>
      <c r="F887" s="34"/>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8"/>
    </row>
    <row r="888">
      <c r="A888" s="18"/>
      <c r="B888" s="18"/>
      <c r="C888" s="18"/>
      <c r="D888" s="33"/>
      <c r="E888" s="33"/>
      <c r="F888" s="34"/>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8"/>
    </row>
    <row r="889">
      <c r="A889" s="18"/>
      <c r="B889" s="18"/>
      <c r="C889" s="18"/>
      <c r="D889" s="33"/>
      <c r="E889" s="33"/>
      <c r="F889" s="34"/>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8"/>
    </row>
    <row r="890">
      <c r="A890" s="18"/>
      <c r="B890" s="18"/>
      <c r="C890" s="18"/>
      <c r="D890" s="33"/>
      <c r="E890" s="33"/>
      <c r="F890" s="34"/>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c r="AX890" s="18"/>
      <c r="AY890" s="18"/>
      <c r="AZ890" s="18"/>
      <c r="BA890" s="18"/>
    </row>
    <row r="891">
      <c r="A891" s="18"/>
      <c r="B891" s="18"/>
      <c r="C891" s="18"/>
      <c r="D891" s="33"/>
      <c r="E891" s="33"/>
      <c r="F891" s="34"/>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8"/>
    </row>
    <row r="892">
      <c r="A892" s="18"/>
      <c r="B892" s="18"/>
      <c r="C892" s="18"/>
      <c r="D892" s="33"/>
      <c r="E892" s="33"/>
      <c r="F892" s="34"/>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8"/>
      <c r="BA892" s="18"/>
    </row>
    <row r="893">
      <c r="A893" s="18"/>
      <c r="B893" s="18"/>
      <c r="C893" s="18"/>
      <c r="D893" s="33"/>
      <c r="E893" s="33"/>
      <c r="F893" s="34"/>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8"/>
    </row>
    <row r="894">
      <c r="A894" s="18"/>
      <c r="B894" s="18"/>
      <c r="C894" s="18"/>
      <c r="D894" s="33"/>
      <c r="E894" s="33"/>
      <c r="F894" s="34"/>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8"/>
      <c r="BA894" s="18"/>
    </row>
    <row r="895">
      <c r="A895" s="18"/>
      <c r="B895" s="18"/>
      <c r="C895" s="18"/>
      <c r="D895" s="33"/>
      <c r="E895" s="33"/>
      <c r="F895" s="34"/>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8"/>
    </row>
    <row r="896">
      <c r="A896" s="18"/>
      <c r="B896" s="18"/>
      <c r="C896" s="18"/>
      <c r="D896" s="33"/>
      <c r="E896" s="33"/>
      <c r="F896" s="34"/>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8"/>
      <c r="BA896" s="18"/>
    </row>
    <row r="897">
      <c r="A897" s="18"/>
      <c r="B897" s="18"/>
      <c r="C897" s="18"/>
      <c r="D897" s="33"/>
      <c r="E897" s="33"/>
      <c r="F897" s="34"/>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8"/>
    </row>
    <row r="898">
      <c r="A898" s="18"/>
      <c r="B898" s="18"/>
      <c r="C898" s="18"/>
      <c r="D898" s="33"/>
      <c r="E898" s="33"/>
      <c r="F898" s="34"/>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8"/>
      <c r="BA898" s="18"/>
    </row>
    <row r="899">
      <c r="A899" s="18"/>
      <c r="B899" s="18"/>
      <c r="C899" s="18"/>
      <c r="D899" s="33"/>
      <c r="E899" s="33"/>
      <c r="F899" s="34"/>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8"/>
    </row>
    <row r="900">
      <c r="A900" s="18"/>
      <c r="B900" s="18"/>
      <c r="C900" s="18"/>
      <c r="D900" s="33"/>
      <c r="E900" s="33"/>
      <c r="F900" s="34"/>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8"/>
      <c r="BA900" s="18"/>
    </row>
    <row r="901">
      <c r="A901" s="18"/>
      <c r="B901" s="18"/>
      <c r="C901" s="18"/>
      <c r="D901" s="33"/>
      <c r="E901" s="33"/>
      <c r="F901" s="34"/>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8"/>
    </row>
    <row r="902">
      <c r="A902" s="18"/>
      <c r="B902" s="18"/>
      <c r="C902" s="18"/>
      <c r="D902" s="33"/>
      <c r="E902" s="33"/>
      <c r="F902" s="34"/>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8"/>
      <c r="BA902" s="18"/>
    </row>
    <row r="903">
      <c r="A903" s="18"/>
      <c r="B903" s="18"/>
      <c r="C903" s="18"/>
      <c r="D903" s="33"/>
      <c r="E903" s="33"/>
      <c r="F903" s="34"/>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8"/>
    </row>
    <row r="904">
      <c r="A904" s="18"/>
      <c r="B904" s="18"/>
      <c r="C904" s="18"/>
      <c r="D904" s="33"/>
      <c r="E904" s="33"/>
      <c r="F904" s="34"/>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8"/>
      <c r="BA904" s="18"/>
    </row>
    <row r="905">
      <c r="A905" s="18"/>
      <c r="B905" s="18"/>
      <c r="C905" s="18"/>
      <c r="D905" s="33"/>
      <c r="E905" s="33"/>
      <c r="F905" s="34"/>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8"/>
    </row>
    <row r="906">
      <c r="A906" s="18"/>
      <c r="B906" s="18"/>
      <c r="C906" s="18"/>
      <c r="D906" s="33"/>
      <c r="E906" s="33"/>
      <c r="F906" s="34"/>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8"/>
      <c r="BA906" s="18"/>
    </row>
    <row r="907">
      <c r="A907" s="18"/>
      <c r="B907" s="18"/>
      <c r="C907" s="18"/>
      <c r="D907" s="33"/>
      <c r="E907" s="33"/>
      <c r="F907" s="34"/>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8"/>
    </row>
    <row r="908">
      <c r="A908" s="18"/>
      <c r="B908" s="18"/>
      <c r="C908" s="18"/>
      <c r="D908" s="33"/>
      <c r="E908" s="33"/>
      <c r="F908" s="34"/>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8"/>
      <c r="BA908" s="18"/>
    </row>
    <row r="909">
      <c r="A909" s="18"/>
      <c r="B909" s="18"/>
      <c r="C909" s="18"/>
      <c r="D909" s="33"/>
      <c r="E909" s="33"/>
      <c r="F909" s="34"/>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8"/>
    </row>
    <row r="910">
      <c r="A910" s="18"/>
      <c r="B910" s="18"/>
      <c r="C910" s="18"/>
      <c r="D910" s="33"/>
      <c r="E910" s="33"/>
      <c r="F910" s="34"/>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8"/>
      <c r="BA910" s="18"/>
    </row>
    <row r="911">
      <c r="A911" s="18"/>
      <c r="B911" s="18"/>
      <c r="C911" s="18"/>
      <c r="D911" s="33"/>
      <c r="E911" s="33"/>
      <c r="F911" s="34"/>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8"/>
    </row>
    <row r="912">
      <c r="A912" s="18"/>
      <c r="B912" s="18"/>
      <c r="C912" s="18"/>
      <c r="D912" s="33"/>
      <c r="E912" s="33"/>
      <c r="F912" s="34"/>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8"/>
      <c r="BA912" s="18"/>
    </row>
    <row r="913">
      <c r="A913" s="18"/>
      <c r="B913" s="18"/>
      <c r="C913" s="18"/>
      <c r="D913" s="33"/>
      <c r="E913" s="33"/>
      <c r="F913" s="34"/>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8"/>
    </row>
    <row r="914">
      <c r="A914" s="18"/>
      <c r="B914" s="18"/>
      <c r="C914" s="18"/>
      <c r="D914" s="33"/>
      <c r="E914" s="33"/>
      <c r="F914" s="34"/>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8"/>
      <c r="BA914" s="18"/>
    </row>
    <row r="915">
      <c r="A915" s="18"/>
      <c r="B915" s="18"/>
      <c r="C915" s="18"/>
      <c r="D915" s="33"/>
      <c r="E915" s="33"/>
      <c r="F915" s="34"/>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8"/>
    </row>
    <row r="916">
      <c r="A916" s="18"/>
      <c r="B916" s="18"/>
      <c r="C916" s="18"/>
      <c r="D916" s="33"/>
      <c r="E916" s="33"/>
      <c r="F916" s="34"/>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8"/>
      <c r="BA916" s="18"/>
    </row>
    <row r="917">
      <c r="A917" s="18"/>
      <c r="B917" s="18"/>
      <c r="C917" s="18"/>
      <c r="D917" s="33"/>
      <c r="E917" s="33"/>
      <c r="F917" s="34"/>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8"/>
    </row>
    <row r="918">
      <c r="A918" s="18"/>
      <c r="B918" s="18"/>
      <c r="C918" s="18"/>
      <c r="D918" s="33"/>
      <c r="E918" s="33"/>
      <c r="F918" s="34"/>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8"/>
      <c r="BA918" s="18"/>
    </row>
    <row r="919">
      <c r="A919" s="18"/>
      <c r="B919" s="18"/>
      <c r="C919" s="18"/>
      <c r="D919" s="33"/>
      <c r="E919" s="33"/>
      <c r="F919" s="34"/>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8"/>
    </row>
    <row r="920">
      <c r="A920" s="18"/>
      <c r="B920" s="18"/>
      <c r="C920" s="18"/>
      <c r="D920" s="33"/>
      <c r="E920" s="33"/>
      <c r="F920" s="34"/>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8"/>
      <c r="BA920" s="18"/>
    </row>
    <row r="921">
      <c r="A921" s="18"/>
      <c r="B921" s="18"/>
      <c r="C921" s="18"/>
      <c r="D921" s="33"/>
      <c r="E921" s="33"/>
      <c r="F921" s="34"/>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8"/>
    </row>
    <row r="922">
      <c r="A922" s="18"/>
      <c r="B922" s="18"/>
      <c r="C922" s="18"/>
      <c r="D922" s="33"/>
      <c r="E922" s="33"/>
      <c r="F922" s="34"/>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8"/>
      <c r="BA922" s="18"/>
    </row>
    <row r="923">
      <c r="A923" s="18"/>
      <c r="B923" s="18"/>
      <c r="C923" s="18"/>
      <c r="D923" s="33"/>
      <c r="E923" s="33"/>
      <c r="F923" s="34"/>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8"/>
    </row>
    <row r="924">
      <c r="A924" s="18"/>
      <c r="B924" s="18"/>
      <c r="C924" s="18"/>
      <c r="D924" s="33"/>
      <c r="E924" s="33"/>
      <c r="F924" s="34"/>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8"/>
      <c r="BA924" s="18"/>
    </row>
    <row r="925">
      <c r="A925" s="18"/>
      <c r="B925" s="18"/>
      <c r="C925" s="18"/>
      <c r="D925" s="33"/>
      <c r="E925" s="33"/>
      <c r="F925" s="34"/>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8"/>
    </row>
    <row r="926">
      <c r="A926" s="18"/>
      <c r="B926" s="18"/>
      <c r="C926" s="18"/>
      <c r="D926" s="33"/>
      <c r="E926" s="33"/>
      <c r="F926" s="34"/>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8"/>
      <c r="BA926" s="18"/>
    </row>
    <row r="927">
      <c r="A927" s="18"/>
      <c r="B927" s="18"/>
      <c r="C927" s="18"/>
      <c r="D927" s="33"/>
      <c r="E927" s="33"/>
      <c r="F927" s="34"/>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8"/>
    </row>
    <row r="928">
      <c r="A928" s="18"/>
      <c r="B928" s="18"/>
      <c r="C928" s="18"/>
      <c r="D928" s="33"/>
      <c r="E928" s="33"/>
      <c r="F928" s="34"/>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8"/>
      <c r="BA928" s="18"/>
    </row>
    <row r="929">
      <c r="A929" s="18"/>
      <c r="B929" s="18"/>
      <c r="C929" s="18"/>
      <c r="D929" s="33"/>
      <c r="E929" s="33"/>
      <c r="F929" s="34"/>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8"/>
    </row>
    <row r="930">
      <c r="A930" s="18"/>
      <c r="B930" s="18"/>
      <c r="C930" s="18"/>
      <c r="D930" s="33"/>
      <c r="E930" s="33"/>
      <c r="F930" s="34"/>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8"/>
      <c r="BA930" s="18"/>
    </row>
    <row r="931">
      <c r="A931" s="18"/>
      <c r="B931" s="18"/>
      <c r="C931" s="18"/>
      <c r="D931" s="33"/>
      <c r="E931" s="33"/>
      <c r="F931" s="34"/>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8"/>
    </row>
    <row r="932">
      <c r="A932" s="18"/>
      <c r="B932" s="18"/>
      <c r="C932" s="18"/>
      <c r="D932" s="33"/>
      <c r="E932" s="33"/>
      <c r="F932" s="34"/>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8"/>
      <c r="BA932" s="18"/>
    </row>
    <row r="933">
      <c r="A933" s="18"/>
      <c r="B933" s="18"/>
      <c r="C933" s="18"/>
      <c r="D933" s="33"/>
      <c r="E933" s="33"/>
      <c r="F933" s="34"/>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8"/>
    </row>
    <row r="934">
      <c r="A934" s="18"/>
      <c r="B934" s="18"/>
      <c r="C934" s="18"/>
      <c r="D934" s="33"/>
      <c r="E934" s="33"/>
      <c r="F934" s="34"/>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8"/>
      <c r="BA934" s="18"/>
    </row>
    <row r="935">
      <c r="A935" s="18"/>
      <c r="B935" s="18"/>
      <c r="C935" s="18"/>
      <c r="D935" s="33"/>
      <c r="E935" s="33"/>
      <c r="F935" s="34"/>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8"/>
    </row>
    <row r="936">
      <c r="A936" s="18"/>
      <c r="B936" s="18"/>
      <c r="C936" s="18"/>
      <c r="D936" s="33"/>
      <c r="E936" s="33"/>
      <c r="F936" s="34"/>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8"/>
      <c r="BA936" s="18"/>
    </row>
    <row r="937">
      <c r="A937" s="18"/>
      <c r="B937" s="18"/>
      <c r="C937" s="18"/>
      <c r="D937" s="33"/>
      <c r="E937" s="33"/>
      <c r="F937" s="34"/>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8"/>
      <c r="BA937" s="18"/>
    </row>
    <row r="938">
      <c r="A938" s="18"/>
      <c r="B938" s="18"/>
      <c r="C938" s="18"/>
      <c r="D938" s="33"/>
      <c r="E938" s="33"/>
      <c r="F938" s="34"/>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8"/>
      <c r="BA938" s="18"/>
    </row>
    <row r="939">
      <c r="A939" s="18"/>
      <c r="B939" s="18"/>
      <c r="C939" s="18"/>
      <c r="D939" s="33"/>
      <c r="E939" s="33"/>
      <c r="F939" s="34"/>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8"/>
      <c r="BA939" s="18"/>
    </row>
    <row r="940">
      <c r="A940" s="18"/>
      <c r="B940" s="18"/>
      <c r="C940" s="18"/>
      <c r="D940" s="33"/>
      <c r="E940" s="33"/>
      <c r="F940" s="34"/>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8"/>
      <c r="BA940" s="18"/>
    </row>
    <row r="941">
      <c r="A941" s="18"/>
      <c r="B941" s="18"/>
      <c r="C941" s="18"/>
      <c r="D941" s="33"/>
      <c r="E941" s="33"/>
      <c r="F941" s="34"/>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8"/>
      <c r="BA941" s="18"/>
    </row>
    <row r="942">
      <c r="A942" s="18"/>
      <c r="B942" s="18"/>
      <c r="C942" s="18"/>
      <c r="D942" s="33"/>
      <c r="E942" s="33"/>
      <c r="F942" s="34"/>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8"/>
      <c r="BA942" s="18"/>
    </row>
    <row r="943">
      <c r="A943" s="18"/>
      <c r="B943" s="18"/>
      <c r="C943" s="18"/>
      <c r="D943" s="33"/>
      <c r="E943" s="33"/>
      <c r="F943" s="34"/>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8"/>
      <c r="BA943" s="18"/>
    </row>
    <row r="944">
      <c r="A944" s="18"/>
      <c r="B944" s="18"/>
      <c r="C944" s="18"/>
      <c r="D944" s="33"/>
      <c r="E944" s="33"/>
      <c r="F944" s="34"/>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c r="AX944" s="18"/>
      <c r="AY944" s="18"/>
      <c r="AZ944" s="18"/>
      <c r="BA944" s="18"/>
    </row>
    <row r="945">
      <c r="A945" s="18"/>
      <c r="B945" s="18"/>
      <c r="C945" s="18"/>
      <c r="D945" s="33"/>
      <c r="E945" s="33"/>
      <c r="F945" s="34"/>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8"/>
      <c r="BA945" s="18"/>
    </row>
    <row r="946">
      <c r="A946" s="18"/>
      <c r="B946" s="18"/>
      <c r="C946" s="18"/>
      <c r="D946" s="33"/>
      <c r="E946" s="33"/>
      <c r="F946" s="34"/>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c r="AX946" s="18"/>
      <c r="AY946" s="18"/>
      <c r="AZ946" s="18"/>
      <c r="BA946" s="18"/>
    </row>
    <row r="947">
      <c r="A947" s="18"/>
      <c r="B947" s="18"/>
      <c r="C947" s="18"/>
      <c r="D947" s="33"/>
      <c r="E947" s="33"/>
      <c r="F947" s="34"/>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8"/>
      <c r="BA947" s="18"/>
    </row>
    <row r="948">
      <c r="A948" s="18"/>
      <c r="B948" s="18"/>
      <c r="C948" s="18"/>
      <c r="D948" s="33"/>
      <c r="E948" s="33"/>
      <c r="F948" s="34"/>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8"/>
      <c r="BA948" s="18"/>
    </row>
    <row r="949">
      <c r="A949" s="18"/>
      <c r="B949" s="18"/>
      <c r="C949" s="18"/>
      <c r="D949" s="33"/>
      <c r="E949" s="33"/>
      <c r="F949" s="34"/>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8"/>
      <c r="BA949" s="18"/>
    </row>
    <row r="950">
      <c r="A950" s="18"/>
      <c r="B950" s="18"/>
      <c r="C950" s="18"/>
      <c r="D950" s="33"/>
      <c r="E950" s="33"/>
      <c r="F950" s="34"/>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c r="AX950" s="18"/>
      <c r="AY950" s="18"/>
      <c r="AZ950" s="18"/>
      <c r="BA950" s="18"/>
    </row>
    <row r="951">
      <c r="A951" s="18"/>
      <c r="B951" s="18"/>
      <c r="C951" s="18"/>
      <c r="D951" s="33"/>
      <c r="E951" s="33"/>
      <c r="F951" s="34"/>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8"/>
      <c r="BA951" s="18"/>
    </row>
    <row r="952">
      <c r="A952" s="18"/>
      <c r="B952" s="18"/>
      <c r="C952" s="18"/>
      <c r="D952" s="33"/>
      <c r="E952" s="33"/>
      <c r="F952" s="34"/>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c r="AX952" s="18"/>
      <c r="AY952" s="18"/>
      <c r="AZ952" s="18"/>
      <c r="BA952" s="18"/>
    </row>
    <row r="953">
      <c r="A953" s="18"/>
      <c r="B953" s="18"/>
      <c r="C953" s="18"/>
      <c r="D953" s="33"/>
      <c r="E953" s="33"/>
      <c r="F953" s="34"/>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8"/>
      <c r="BA953" s="18"/>
    </row>
    <row r="954">
      <c r="A954" s="18"/>
      <c r="B954" s="18"/>
      <c r="C954" s="18"/>
      <c r="D954" s="33"/>
      <c r="E954" s="33"/>
      <c r="F954" s="34"/>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8"/>
      <c r="BA954" s="18"/>
    </row>
    <row r="955">
      <c r="A955" s="18"/>
      <c r="B955" s="18"/>
      <c r="C955" s="18"/>
      <c r="D955" s="33"/>
      <c r="E955" s="33"/>
      <c r="F955" s="34"/>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8"/>
    </row>
    <row r="956">
      <c r="A956" s="18"/>
      <c r="B956" s="18"/>
      <c r="C956" s="18"/>
      <c r="D956" s="33"/>
      <c r="E956" s="33"/>
      <c r="F956" s="34"/>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c r="AX956" s="18"/>
      <c r="AY956" s="18"/>
      <c r="AZ956" s="18"/>
      <c r="BA956" s="18"/>
    </row>
    <row r="957">
      <c r="A957" s="18"/>
      <c r="B957" s="18"/>
      <c r="C957" s="18"/>
      <c r="D957" s="33"/>
      <c r="E957" s="33"/>
      <c r="F957" s="34"/>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8"/>
      <c r="BA957" s="18"/>
    </row>
    <row r="958">
      <c r="A958" s="18"/>
      <c r="B958" s="18"/>
      <c r="C958" s="18"/>
      <c r="D958" s="33"/>
      <c r="E958" s="33"/>
      <c r="F958" s="34"/>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c r="AX958" s="18"/>
      <c r="AY958" s="18"/>
      <c r="AZ958" s="18"/>
      <c r="BA958" s="18"/>
    </row>
    <row r="959">
      <c r="A959" s="18"/>
      <c r="B959" s="18"/>
      <c r="C959" s="18"/>
      <c r="D959" s="33"/>
      <c r="E959" s="33"/>
      <c r="F959" s="34"/>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8"/>
      <c r="BA959" s="18"/>
    </row>
    <row r="960">
      <c r="A960" s="18"/>
      <c r="B960" s="18"/>
      <c r="C960" s="18"/>
      <c r="D960" s="33"/>
      <c r="E960" s="33"/>
      <c r="F960" s="34"/>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c r="AX960" s="18"/>
      <c r="AY960" s="18"/>
      <c r="AZ960" s="18"/>
      <c r="BA960" s="18"/>
    </row>
    <row r="961">
      <c r="A961" s="18"/>
      <c r="B961" s="18"/>
      <c r="C961" s="18"/>
      <c r="D961" s="33"/>
      <c r="E961" s="33"/>
      <c r="F961" s="34"/>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8"/>
      <c r="BA961" s="18"/>
    </row>
    <row r="962">
      <c r="A962" s="18"/>
      <c r="B962" s="18"/>
      <c r="C962" s="18"/>
      <c r="D962" s="33"/>
      <c r="E962" s="33"/>
      <c r="F962" s="34"/>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c r="AU962" s="18"/>
      <c r="AV962" s="18"/>
      <c r="AW962" s="18"/>
      <c r="AX962" s="18"/>
      <c r="AY962" s="18"/>
      <c r="AZ962" s="18"/>
      <c r="BA962" s="18"/>
    </row>
    <row r="963">
      <c r="A963" s="18"/>
      <c r="B963" s="18"/>
      <c r="C963" s="18"/>
      <c r="D963" s="33"/>
      <c r="E963" s="33"/>
      <c r="F963" s="34"/>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8"/>
      <c r="BA963" s="18"/>
    </row>
    <row r="964">
      <c r="A964" s="18"/>
      <c r="B964" s="18"/>
      <c r="C964" s="18"/>
      <c r="D964" s="33"/>
      <c r="E964" s="33"/>
      <c r="F964" s="34"/>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c r="AU964" s="18"/>
      <c r="AV964" s="18"/>
      <c r="AW964" s="18"/>
      <c r="AX964" s="18"/>
      <c r="AY964" s="18"/>
      <c r="AZ964" s="18"/>
      <c r="BA964" s="18"/>
    </row>
    <row r="965">
      <c r="A965" s="18"/>
      <c r="B965" s="18"/>
      <c r="C965" s="18"/>
      <c r="D965" s="33"/>
      <c r="E965" s="33"/>
      <c r="F965" s="34"/>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8"/>
      <c r="BA965" s="18"/>
    </row>
    <row r="966">
      <c r="A966" s="18"/>
      <c r="B966" s="18"/>
      <c r="C966" s="18"/>
      <c r="D966" s="33"/>
      <c r="E966" s="33"/>
      <c r="F966" s="34"/>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c r="AS966" s="18"/>
      <c r="AT966" s="18"/>
      <c r="AU966" s="18"/>
      <c r="AV966" s="18"/>
      <c r="AW966" s="18"/>
      <c r="AX966" s="18"/>
      <c r="AY966" s="18"/>
      <c r="AZ966" s="18"/>
      <c r="BA966" s="18"/>
    </row>
    <row r="967">
      <c r="A967" s="18"/>
      <c r="B967" s="18"/>
      <c r="C967" s="18"/>
      <c r="D967" s="33"/>
      <c r="E967" s="33"/>
      <c r="F967" s="34"/>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8"/>
      <c r="BA967" s="18"/>
    </row>
    <row r="968">
      <c r="A968" s="18"/>
      <c r="B968" s="18"/>
      <c r="C968" s="18"/>
      <c r="D968" s="33"/>
      <c r="E968" s="33"/>
      <c r="F968" s="34"/>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c r="AU968" s="18"/>
      <c r="AV968" s="18"/>
      <c r="AW968" s="18"/>
      <c r="AX968" s="18"/>
      <c r="AY968" s="18"/>
      <c r="AZ968" s="18"/>
      <c r="BA968" s="18"/>
    </row>
    <row r="969">
      <c r="A969" s="18"/>
      <c r="B969" s="18"/>
      <c r="C969" s="18"/>
      <c r="D969" s="33"/>
      <c r="E969" s="33"/>
      <c r="F969" s="34"/>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8"/>
      <c r="BA969" s="18"/>
    </row>
    <row r="970">
      <c r="A970" s="18"/>
      <c r="B970" s="18"/>
      <c r="C970" s="18"/>
      <c r="D970" s="33"/>
      <c r="E970" s="33"/>
      <c r="F970" s="34"/>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c r="AP970" s="18"/>
      <c r="AQ970" s="18"/>
      <c r="AR970" s="18"/>
      <c r="AS970" s="18"/>
      <c r="AT970" s="18"/>
      <c r="AU970" s="18"/>
      <c r="AV970" s="18"/>
      <c r="AW970" s="18"/>
      <c r="AX970" s="18"/>
      <c r="AY970" s="18"/>
      <c r="AZ970" s="18"/>
      <c r="BA970" s="18"/>
    </row>
    <row r="971">
      <c r="A971" s="18"/>
      <c r="B971" s="18"/>
      <c r="C971" s="18"/>
      <c r="D971" s="33"/>
      <c r="E971" s="33"/>
      <c r="F971" s="34"/>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8"/>
      <c r="BA971" s="18"/>
    </row>
    <row r="972">
      <c r="A972" s="18"/>
      <c r="B972" s="18"/>
      <c r="C972" s="18"/>
      <c r="D972" s="33"/>
      <c r="E972" s="33"/>
      <c r="F972" s="34"/>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c r="AV972" s="18"/>
      <c r="AW972" s="18"/>
      <c r="AX972" s="18"/>
      <c r="AY972" s="18"/>
      <c r="AZ972" s="18"/>
      <c r="BA972" s="18"/>
    </row>
    <row r="973">
      <c r="A973" s="18"/>
      <c r="B973" s="18"/>
      <c r="C973" s="18"/>
      <c r="D973" s="33"/>
      <c r="E973" s="33"/>
      <c r="F973" s="34"/>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8"/>
      <c r="BA973" s="18"/>
    </row>
    <row r="974">
      <c r="A974" s="18"/>
      <c r="B974" s="18"/>
      <c r="C974" s="18"/>
      <c r="D974" s="33"/>
      <c r="E974" s="33"/>
      <c r="F974" s="34"/>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c r="AU974" s="18"/>
      <c r="AV974" s="18"/>
      <c r="AW974" s="18"/>
      <c r="AX974" s="18"/>
      <c r="AY974" s="18"/>
      <c r="AZ974" s="18"/>
      <c r="BA974" s="18"/>
    </row>
    <row r="975">
      <c r="A975" s="18"/>
      <c r="B975" s="18"/>
      <c r="C975" s="18"/>
      <c r="D975" s="33"/>
      <c r="E975" s="33"/>
      <c r="F975" s="34"/>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c r="AX975" s="18"/>
      <c r="AY975" s="18"/>
      <c r="AZ975" s="18"/>
      <c r="BA975" s="18"/>
    </row>
    <row r="976">
      <c r="A976" s="18"/>
      <c r="B976" s="18"/>
      <c r="C976" s="18"/>
      <c r="D976" s="33"/>
      <c r="E976" s="33"/>
      <c r="F976" s="34"/>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c r="AS976" s="18"/>
      <c r="AT976" s="18"/>
      <c r="AU976" s="18"/>
      <c r="AV976" s="18"/>
      <c r="AW976" s="18"/>
      <c r="AX976" s="18"/>
      <c r="AY976" s="18"/>
      <c r="AZ976" s="18"/>
      <c r="BA976" s="18"/>
    </row>
    <row r="977">
      <c r="A977" s="18"/>
      <c r="B977" s="18"/>
      <c r="C977" s="18"/>
      <c r="D977" s="33"/>
      <c r="E977" s="33"/>
      <c r="F977" s="34"/>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c r="AX977" s="18"/>
      <c r="AY977" s="18"/>
      <c r="AZ977" s="18"/>
      <c r="BA977" s="18"/>
    </row>
    <row r="978">
      <c r="A978" s="18"/>
      <c r="B978" s="18"/>
      <c r="C978" s="18"/>
      <c r="D978" s="33"/>
      <c r="E978" s="33"/>
      <c r="F978" s="34"/>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c r="AU978" s="18"/>
      <c r="AV978" s="18"/>
      <c r="AW978" s="18"/>
      <c r="AX978" s="18"/>
      <c r="AY978" s="18"/>
      <c r="AZ978" s="18"/>
      <c r="BA978" s="18"/>
    </row>
    <row r="979">
      <c r="A979" s="18"/>
      <c r="B979" s="18"/>
      <c r="C979" s="18"/>
      <c r="D979" s="33"/>
      <c r="E979" s="33"/>
      <c r="F979" s="34"/>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18"/>
      <c r="AW979" s="18"/>
      <c r="AX979" s="18"/>
      <c r="AY979" s="18"/>
      <c r="AZ979" s="18"/>
      <c r="BA979" s="18"/>
    </row>
    <row r="980">
      <c r="A980" s="18"/>
      <c r="B980" s="18"/>
      <c r="C980" s="18"/>
      <c r="D980" s="33"/>
      <c r="E980" s="33"/>
      <c r="F980" s="34"/>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c r="AU980" s="18"/>
      <c r="AV980" s="18"/>
      <c r="AW980" s="18"/>
      <c r="AX980" s="18"/>
      <c r="AY980" s="18"/>
      <c r="AZ980" s="18"/>
      <c r="BA980" s="18"/>
    </row>
    <row r="981">
      <c r="A981" s="18"/>
      <c r="B981" s="18"/>
      <c r="C981" s="18"/>
      <c r="D981" s="33"/>
      <c r="E981" s="33"/>
      <c r="F981" s="34"/>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18"/>
      <c r="AW981" s="18"/>
      <c r="AX981" s="18"/>
      <c r="AY981" s="18"/>
      <c r="AZ981" s="18"/>
      <c r="BA981" s="18"/>
    </row>
    <row r="982">
      <c r="A982" s="18"/>
      <c r="B982" s="18"/>
      <c r="C982" s="18"/>
      <c r="D982" s="33"/>
      <c r="E982" s="33"/>
      <c r="F982" s="34"/>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c r="AU982" s="18"/>
      <c r="AV982" s="18"/>
      <c r="AW982" s="18"/>
      <c r="AX982" s="18"/>
      <c r="AY982" s="18"/>
      <c r="AZ982" s="18"/>
      <c r="BA982" s="18"/>
    </row>
    <row r="983">
      <c r="A983" s="18"/>
      <c r="B983" s="18"/>
      <c r="C983" s="18"/>
      <c r="D983" s="33"/>
      <c r="E983" s="33"/>
      <c r="F983" s="34"/>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c r="AX983" s="18"/>
      <c r="AY983" s="18"/>
      <c r="AZ983" s="18"/>
      <c r="BA983" s="18"/>
    </row>
    <row r="984">
      <c r="A984" s="18"/>
      <c r="B984" s="18"/>
      <c r="C984" s="18"/>
      <c r="D984" s="33"/>
      <c r="E984" s="33"/>
      <c r="F984" s="34"/>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c r="AU984" s="18"/>
      <c r="AV984" s="18"/>
      <c r="AW984" s="18"/>
      <c r="AX984" s="18"/>
      <c r="AY984" s="18"/>
      <c r="AZ984" s="18"/>
      <c r="BA984" s="18"/>
    </row>
    <row r="985">
      <c r="A985" s="18"/>
      <c r="B985" s="18"/>
      <c r="C985" s="18"/>
      <c r="D985" s="33"/>
      <c r="E985" s="33"/>
      <c r="F985" s="34"/>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8"/>
      <c r="BA985" s="18"/>
    </row>
    <row r="986">
      <c r="A986" s="18"/>
      <c r="B986" s="18"/>
      <c r="C986" s="18"/>
      <c r="D986" s="33"/>
      <c r="E986" s="33"/>
      <c r="F986" s="34"/>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c r="AU986" s="18"/>
      <c r="AV986" s="18"/>
      <c r="AW986" s="18"/>
      <c r="AX986" s="18"/>
      <c r="AY986" s="18"/>
      <c r="AZ986" s="18"/>
      <c r="BA986" s="18"/>
    </row>
    <row r="987">
      <c r="A987" s="18"/>
      <c r="B987" s="18"/>
      <c r="C987" s="18"/>
      <c r="D987" s="33"/>
      <c r="E987" s="33"/>
      <c r="F987" s="34"/>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c r="AX987" s="18"/>
      <c r="AY987" s="18"/>
      <c r="AZ987" s="18"/>
      <c r="BA987" s="18"/>
    </row>
    <row r="988">
      <c r="A988" s="18"/>
      <c r="B988" s="18"/>
      <c r="C988" s="18"/>
      <c r="D988" s="33"/>
      <c r="E988" s="33"/>
      <c r="F988" s="34"/>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c r="AP988" s="18"/>
      <c r="AQ988" s="18"/>
      <c r="AR988" s="18"/>
      <c r="AS988" s="18"/>
      <c r="AT988" s="18"/>
      <c r="AU988" s="18"/>
      <c r="AV988" s="18"/>
      <c r="AW988" s="18"/>
      <c r="AX988" s="18"/>
      <c r="AY988" s="18"/>
      <c r="AZ988" s="18"/>
      <c r="BA988" s="18"/>
    </row>
    <row r="989">
      <c r="A989" s="18"/>
      <c r="B989" s="18"/>
      <c r="C989" s="18"/>
      <c r="D989" s="33"/>
      <c r="E989" s="33"/>
      <c r="F989" s="34"/>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c r="AX989" s="18"/>
      <c r="AY989" s="18"/>
      <c r="AZ989" s="18"/>
      <c r="BA989" s="18"/>
    </row>
    <row r="990">
      <c r="A990" s="18"/>
      <c r="B990" s="18"/>
      <c r="C990" s="18"/>
      <c r="D990" s="33"/>
      <c r="E990" s="33"/>
      <c r="F990" s="34"/>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c r="AU990" s="18"/>
      <c r="AV990" s="18"/>
      <c r="AW990" s="18"/>
      <c r="AX990" s="18"/>
      <c r="AY990" s="18"/>
      <c r="AZ990" s="18"/>
      <c r="BA990" s="18"/>
    </row>
    <row r="991">
      <c r="A991" s="18"/>
      <c r="B991" s="18"/>
      <c r="C991" s="18"/>
      <c r="D991" s="33"/>
      <c r="E991" s="33"/>
      <c r="F991" s="34"/>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c r="AX991" s="18"/>
      <c r="AY991" s="18"/>
      <c r="AZ991" s="18"/>
      <c r="BA991" s="18"/>
    </row>
    <row r="992">
      <c r="A992" s="18"/>
      <c r="B992" s="18"/>
      <c r="C992" s="18"/>
      <c r="D992" s="33"/>
      <c r="E992" s="33"/>
      <c r="F992" s="34"/>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c r="AU992" s="18"/>
      <c r="AV992" s="18"/>
      <c r="AW992" s="18"/>
      <c r="AX992" s="18"/>
      <c r="AY992" s="18"/>
      <c r="AZ992" s="18"/>
      <c r="BA992" s="18"/>
    </row>
    <row r="993">
      <c r="A993" s="18"/>
      <c r="B993" s="18"/>
      <c r="C993" s="18"/>
      <c r="D993" s="33"/>
      <c r="E993" s="33"/>
      <c r="F993" s="34"/>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c r="AX993" s="18"/>
      <c r="AY993" s="18"/>
      <c r="AZ993" s="18"/>
      <c r="BA993" s="18"/>
    </row>
    <row r="994">
      <c r="A994" s="18"/>
      <c r="B994" s="18"/>
      <c r="C994" s="18"/>
      <c r="D994" s="33"/>
      <c r="E994" s="33"/>
      <c r="F994" s="34"/>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c r="AU994" s="18"/>
      <c r="AV994" s="18"/>
      <c r="AW994" s="18"/>
      <c r="AX994" s="18"/>
      <c r="AY994" s="18"/>
      <c r="AZ994" s="18"/>
      <c r="BA994" s="18"/>
    </row>
    <row r="995">
      <c r="A995" s="18"/>
      <c r="B995" s="18"/>
      <c r="C995" s="18"/>
      <c r="D995" s="33"/>
      <c r="E995" s="33"/>
      <c r="F995" s="34"/>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c r="AX995" s="18"/>
      <c r="AY995" s="18"/>
      <c r="AZ995" s="18"/>
      <c r="BA995" s="18"/>
    </row>
    <row r="996">
      <c r="A996" s="18"/>
      <c r="B996" s="18"/>
      <c r="C996" s="18"/>
      <c r="D996" s="33"/>
      <c r="E996" s="33"/>
      <c r="F996" s="34"/>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c r="AP996" s="18"/>
      <c r="AQ996" s="18"/>
      <c r="AR996" s="18"/>
      <c r="AS996" s="18"/>
      <c r="AT996" s="18"/>
      <c r="AU996" s="18"/>
      <c r="AV996" s="18"/>
      <c r="AW996" s="18"/>
      <c r="AX996" s="18"/>
      <c r="AY996" s="18"/>
      <c r="AZ996" s="18"/>
      <c r="BA996" s="18"/>
    </row>
    <row r="997">
      <c r="A997" s="18"/>
      <c r="B997" s="18"/>
      <c r="C997" s="18"/>
      <c r="D997" s="33"/>
      <c r="E997" s="33"/>
      <c r="F997" s="34"/>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8"/>
      <c r="BA997" s="18"/>
    </row>
    <row r="998">
      <c r="A998" s="18"/>
      <c r="B998" s="18"/>
      <c r="C998" s="18"/>
      <c r="D998" s="33"/>
      <c r="E998" s="33"/>
      <c r="F998" s="34"/>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c r="AP998" s="18"/>
      <c r="AQ998" s="18"/>
      <c r="AR998" s="18"/>
      <c r="AS998" s="18"/>
      <c r="AT998" s="18"/>
      <c r="AU998" s="18"/>
      <c r="AV998" s="18"/>
      <c r="AW998" s="18"/>
      <c r="AX998" s="18"/>
      <c r="AY998" s="18"/>
      <c r="AZ998" s="18"/>
      <c r="BA998" s="18"/>
    </row>
    <row r="999">
      <c r="A999" s="18"/>
      <c r="B999" s="18"/>
      <c r="C999" s="18"/>
      <c r="D999" s="33"/>
      <c r="E999" s="33"/>
      <c r="F999" s="34"/>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c r="AX999" s="18"/>
      <c r="AY999" s="18"/>
      <c r="AZ999" s="18"/>
      <c r="BA999" s="18"/>
    </row>
    <row r="1000">
      <c r="A1000" s="18"/>
      <c r="B1000" s="18"/>
      <c r="C1000" s="18"/>
      <c r="D1000" s="33"/>
      <c r="E1000" s="33"/>
      <c r="F1000" s="34"/>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c r="AK1000" s="18"/>
      <c r="AL1000" s="18"/>
      <c r="AM1000" s="18"/>
      <c r="AN1000" s="18"/>
      <c r="AO1000" s="18"/>
      <c r="AP1000" s="18"/>
      <c r="AQ1000" s="18"/>
      <c r="AR1000" s="18"/>
      <c r="AS1000" s="18"/>
      <c r="AT1000" s="18"/>
      <c r="AU1000" s="18"/>
      <c r="AV1000" s="18"/>
      <c r="AW1000" s="18"/>
      <c r="AX1000" s="18"/>
      <c r="AY1000" s="18"/>
      <c r="AZ1000" s="18"/>
      <c r="BA1000" s="18"/>
    </row>
    <row r="1001">
      <c r="A1001" s="18"/>
      <c r="B1001" s="18"/>
      <c r="C1001" s="18"/>
      <c r="D1001" s="33"/>
      <c r="E1001" s="33"/>
      <c r="F1001" s="34"/>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8"/>
      <c r="AK1001" s="18"/>
      <c r="AL1001" s="18"/>
      <c r="AM1001" s="18"/>
      <c r="AN1001" s="18"/>
      <c r="AO1001" s="18"/>
      <c r="AP1001" s="18"/>
      <c r="AQ1001" s="18"/>
      <c r="AR1001" s="18"/>
      <c r="AS1001" s="18"/>
      <c r="AT1001" s="18"/>
      <c r="AU1001" s="18"/>
      <c r="AV1001" s="18"/>
      <c r="AW1001" s="18"/>
      <c r="AX1001" s="18"/>
      <c r="AY1001" s="18"/>
      <c r="AZ1001" s="18"/>
      <c r="BA1001" s="18"/>
    </row>
    <row r="1002">
      <c r="A1002" s="18"/>
      <c r="B1002" s="18"/>
      <c r="C1002" s="18"/>
      <c r="D1002" s="33"/>
      <c r="E1002" s="33"/>
      <c r="F1002" s="34"/>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c r="AI1002" s="18"/>
      <c r="AJ1002" s="18"/>
      <c r="AK1002" s="18"/>
      <c r="AL1002" s="18"/>
      <c r="AM1002" s="18"/>
      <c r="AN1002" s="18"/>
      <c r="AO1002" s="18"/>
      <c r="AP1002" s="18"/>
      <c r="AQ1002" s="18"/>
      <c r="AR1002" s="18"/>
      <c r="AS1002" s="18"/>
      <c r="AT1002" s="18"/>
      <c r="AU1002" s="18"/>
      <c r="AV1002" s="18"/>
      <c r="AW1002" s="18"/>
      <c r="AX1002" s="18"/>
      <c r="AY1002" s="18"/>
      <c r="AZ1002" s="18"/>
      <c r="BA1002" s="18"/>
    </row>
    <row r="1003">
      <c r="A1003" s="18"/>
      <c r="B1003" s="18"/>
      <c r="C1003" s="18"/>
      <c r="D1003" s="33"/>
      <c r="E1003" s="33"/>
      <c r="F1003" s="34"/>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c r="AJ1003" s="18"/>
      <c r="AK1003" s="18"/>
      <c r="AL1003" s="18"/>
      <c r="AM1003" s="18"/>
      <c r="AN1003" s="18"/>
      <c r="AO1003" s="18"/>
      <c r="AP1003" s="18"/>
      <c r="AQ1003" s="18"/>
      <c r="AR1003" s="18"/>
      <c r="AS1003" s="18"/>
      <c r="AT1003" s="18"/>
      <c r="AU1003" s="18"/>
      <c r="AV1003" s="18"/>
      <c r="AW1003" s="18"/>
      <c r="AX1003" s="18"/>
      <c r="AY1003" s="18"/>
      <c r="AZ1003" s="18"/>
      <c r="BA1003" s="18"/>
    </row>
    <row r="1004">
      <c r="A1004" s="18"/>
      <c r="B1004" s="18"/>
      <c r="C1004" s="18"/>
      <c r="D1004" s="33"/>
      <c r="E1004" s="33"/>
      <c r="F1004" s="34"/>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c r="AH1004" s="18"/>
      <c r="AI1004" s="18"/>
      <c r="AJ1004" s="18"/>
      <c r="AK1004" s="18"/>
      <c r="AL1004" s="18"/>
      <c r="AM1004" s="18"/>
      <c r="AN1004" s="18"/>
      <c r="AO1004" s="18"/>
      <c r="AP1004" s="18"/>
      <c r="AQ1004" s="18"/>
      <c r="AR1004" s="18"/>
      <c r="AS1004" s="18"/>
      <c r="AT1004" s="18"/>
      <c r="AU1004" s="18"/>
      <c r="AV1004" s="18"/>
      <c r="AW1004" s="18"/>
      <c r="AX1004" s="18"/>
      <c r="AY1004" s="18"/>
      <c r="AZ1004" s="18"/>
      <c r="BA1004" s="18"/>
    </row>
    <row r="1005">
      <c r="A1005" s="18"/>
      <c r="B1005" s="18"/>
      <c r="C1005" s="18"/>
      <c r="D1005" s="33"/>
      <c r="E1005" s="33"/>
      <c r="F1005" s="34"/>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c r="AI1005" s="18"/>
      <c r="AJ1005" s="18"/>
      <c r="AK1005" s="18"/>
      <c r="AL1005" s="18"/>
      <c r="AM1005" s="18"/>
      <c r="AN1005" s="18"/>
      <c r="AO1005" s="18"/>
      <c r="AP1005" s="18"/>
      <c r="AQ1005" s="18"/>
      <c r="AR1005" s="18"/>
      <c r="AS1005" s="18"/>
      <c r="AT1005" s="18"/>
      <c r="AU1005" s="18"/>
      <c r="AV1005" s="18"/>
      <c r="AW1005" s="18"/>
      <c r="AX1005" s="18"/>
      <c r="AY1005" s="18"/>
      <c r="AZ1005" s="18"/>
      <c r="BA1005" s="18"/>
    </row>
    <row r="1006">
      <c r="A1006" s="18"/>
      <c r="B1006" s="18"/>
      <c r="C1006" s="18"/>
      <c r="D1006" s="33"/>
      <c r="E1006" s="33"/>
      <c r="F1006" s="34"/>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c r="AI1006" s="18"/>
      <c r="AJ1006" s="18"/>
      <c r="AK1006" s="18"/>
      <c r="AL1006" s="18"/>
      <c r="AM1006" s="18"/>
      <c r="AN1006" s="18"/>
      <c r="AO1006" s="18"/>
      <c r="AP1006" s="18"/>
      <c r="AQ1006" s="18"/>
      <c r="AR1006" s="18"/>
      <c r="AS1006" s="18"/>
      <c r="AT1006" s="18"/>
      <c r="AU1006" s="18"/>
      <c r="AV1006" s="18"/>
      <c r="AW1006" s="18"/>
      <c r="AX1006" s="18"/>
      <c r="AY1006" s="18"/>
      <c r="AZ1006" s="18"/>
      <c r="BA1006" s="18"/>
    </row>
    <row r="1007">
      <c r="A1007" s="18"/>
      <c r="B1007" s="18"/>
      <c r="C1007" s="18"/>
      <c r="D1007" s="33"/>
      <c r="E1007" s="33"/>
      <c r="F1007" s="34"/>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c r="AI1007" s="18"/>
      <c r="AJ1007" s="18"/>
      <c r="AK1007" s="18"/>
      <c r="AL1007" s="18"/>
      <c r="AM1007" s="18"/>
      <c r="AN1007" s="18"/>
      <c r="AO1007" s="18"/>
      <c r="AP1007" s="18"/>
      <c r="AQ1007" s="18"/>
      <c r="AR1007" s="18"/>
      <c r="AS1007" s="18"/>
      <c r="AT1007" s="18"/>
      <c r="AU1007" s="18"/>
      <c r="AV1007" s="18"/>
      <c r="AW1007" s="18"/>
      <c r="AX1007" s="18"/>
      <c r="AY1007" s="18"/>
      <c r="AZ1007" s="18"/>
      <c r="BA1007" s="18"/>
    </row>
    <row r="1008">
      <c r="A1008" s="18"/>
      <c r="B1008" s="18"/>
      <c r="C1008" s="18"/>
      <c r="D1008" s="33"/>
      <c r="E1008" s="33"/>
      <c r="F1008" s="34"/>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c r="AI1008" s="18"/>
      <c r="AJ1008" s="18"/>
      <c r="AK1008" s="18"/>
      <c r="AL1008" s="18"/>
      <c r="AM1008" s="18"/>
      <c r="AN1008" s="18"/>
      <c r="AO1008" s="18"/>
      <c r="AP1008" s="18"/>
      <c r="AQ1008" s="18"/>
      <c r="AR1008" s="18"/>
      <c r="AS1008" s="18"/>
      <c r="AT1008" s="18"/>
      <c r="AU1008" s="18"/>
      <c r="AV1008" s="18"/>
      <c r="AW1008" s="18"/>
      <c r="AX1008" s="18"/>
      <c r="AY1008" s="18"/>
      <c r="AZ1008" s="18"/>
      <c r="BA1008" s="18"/>
    </row>
    <row r="1009">
      <c r="A1009" s="18"/>
      <c r="B1009" s="18"/>
      <c r="C1009" s="18"/>
      <c r="D1009" s="33"/>
      <c r="E1009" s="33"/>
      <c r="F1009" s="34"/>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c r="AJ1009" s="18"/>
      <c r="AK1009" s="18"/>
      <c r="AL1009" s="18"/>
      <c r="AM1009" s="18"/>
      <c r="AN1009" s="18"/>
      <c r="AO1009" s="18"/>
      <c r="AP1009" s="18"/>
      <c r="AQ1009" s="18"/>
      <c r="AR1009" s="18"/>
      <c r="AS1009" s="18"/>
      <c r="AT1009" s="18"/>
      <c r="AU1009" s="18"/>
      <c r="AV1009" s="18"/>
      <c r="AW1009" s="18"/>
      <c r="AX1009" s="18"/>
      <c r="AY1009" s="18"/>
      <c r="AZ1009" s="18"/>
      <c r="BA1009" s="18"/>
    </row>
    <row r="1010">
      <c r="A1010" s="18"/>
      <c r="B1010" s="18"/>
      <c r="C1010" s="18"/>
      <c r="D1010" s="33"/>
      <c r="E1010" s="33"/>
      <c r="F1010" s="34"/>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c r="AI1010" s="18"/>
      <c r="AJ1010" s="18"/>
      <c r="AK1010" s="18"/>
      <c r="AL1010" s="18"/>
      <c r="AM1010" s="18"/>
      <c r="AN1010" s="18"/>
      <c r="AO1010" s="18"/>
      <c r="AP1010" s="18"/>
      <c r="AQ1010" s="18"/>
      <c r="AR1010" s="18"/>
      <c r="AS1010" s="18"/>
      <c r="AT1010" s="18"/>
      <c r="AU1010" s="18"/>
      <c r="AV1010" s="18"/>
      <c r="AW1010" s="18"/>
      <c r="AX1010" s="18"/>
      <c r="AY1010" s="18"/>
      <c r="AZ1010" s="18"/>
      <c r="BA1010" s="18"/>
    </row>
    <row r="1011">
      <c r="A1011" s="18"/>
      <c r="B1011" s="18"/>
      <c r="C1011" s="18"/>
      <c r="D1011" s="33"/>
      <c r="E1011" s="33"/>
      <c r="F1011" s="34"/>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c r="AI1011" s="18"/>
      <c r="AJ1011" s="18"/>
      <c r="AK1011" s="18"/>
      <c r="AL1011" s="18"/>
      <c r="AM1011" s="18"/>
      <c r="AN1011" s="18"/>
      <c r="AO1011" s="18"/>
      <c r="AP1011" s="18"/>
      <c r="AQ1011" s="18"/>
      <c r="AR1011" s="18"/>
      <c r="AS1011" s="18"/>
      <c r="AT1011" s="18"/>
      <c r="AU1011" s="18"/>
      <c r="AV1011" s="18"/>
      <c r="AW1011" s="18"/>
      <c r="AX1011" s="18"/>
      <c r="AY1011" s="18"/>
      <c r="AZ1011" s="18"/>
      <c r="BA1011" s="18"/>
    </row>
    <row r="1012">
      <c r="A1012" s="18"/>
      <c r="B1012" s="18"/>
      <c r="C1012" s="18"/>
      <c r="D1012" s="33"/>
      <c r="E1012" s="33"/>
      <c r="F1012" s="34"/>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c r="AI1012" s="18"/>
      <c r="AJ1012" s="18"/>
      <c r="AK1012" s="18"/>
      <c r="AL1012" s="18"/>
      <c r="AM1012" s="18"/>
      <c r="AN1012" s="18"/>
      <c r="AO1012" s="18"/>
      <c r="AP1012" s="18"/>
      <c r="AQ1012" s="18"/>
      <c r="AR1012" s="18"/>
      <c r="AS1012" s="18"/>
      <c r="AT1012" s="18"/>
      <c r="AU1012" s="18"/>
      <c r="AV1012" s="18"/>
      <c r="AW1012" s="18"/>
      <c r="AX1012" s="18"/>
      <c r="AY1012" s="18"/>
      <c r="AZ1012" s="18"/>
      <c r="BA1012" s="18"/>
    </row>
    <row r="1013">
      <c r="A1013" s="18"/>
      <c r="B1013" s="18"/>
      <c r="C1013" s="18"/>
      <c r="D1013" s="33"/>
      <c r="E1013" s="33"/>
      <c r="F1013" s="34"/>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c r="AH1013" s="18"/>
      <c r="AI1013" s="18"/>
      <c r="AJ1013" s="18"/>
      <c r="AK1013" s="18"/>
      <c r="AL1013" s="18"/>
      <c r="AM1013" s="18"/>
      <c r="AN1013" s="18"/>
      <c r="AO1013" s="18"/>
      <c r="AP1013" s="18"/>
      <c r="AQ1013" s="18"/>
      <c r="AR1013" s="18"/>
      <c r="AS1013" s="18"/>
      <c r="AT1013" s="18"/>
      <c r="AU1013" s="18"/>
      <c r="AV1013" s="18"/>
      <c r="AW1013" s="18"/>
      <c r="AX1013" s="18"/>
      <c r="AY1013" s="18"/>
      <c r="AZ1013" s="18"/>
      <c r="BA1013" s="18"/>
    </row>
  </sheetData>
  <hyperlinks>
    <hyperlink r:id="rId1" ref="N10"/>
    <hyperlink r:id="rId2" ref="O10"/>
    <hyperlink r:id="rId3" ref="R10"/>
    <hyperlink r:id="rId4" ref="S10"/>
    <hyperlink r:id="rId5" ref="AL10"/>
    <hyperlink r:id="rId6" ref="AP10"/>
    <hyperlink r:id="rId7" ref="K11"/>
    <hyperlink r:id="rId8" location=".VB2nXOcu9xo" ref="M11"/>
    <hyperlink r:id="rId9" ref="O11"/>
    <hyperlink r:id="rId10" ref="P11"/>
    <hyperlink r:id="rId11" ref="R11"/>
    <hyperlink r:id="rId12" ref="S11"/>
    <hyperlink r:id="rId13" ref="Z11"/>
    <hyperlink r:id="rId14" ref="AB11"/>
    <hyperlink r:id="rId15" ref="AC11"/>
    <hyperlink r:id="rId16" ref="AI11"/>
    <hyperlink r:id="rId17" ref="AK11"/>
    <hyperlink r:id="rId18" ref="K12"/>
    <hyperlink r:id="rId19" ref="N12"/>
    <hyperlink r:id="rId20" ref="O12"/>
    <hyperlink r:id="rId21" ref="P12"/>
    <hyperlink r:id="rId22" ref="Q12"/>
    <hyperlink r:id="rId23" ref="S12"/>
    <hyperlink r:id="rId24" ref="Z12"/>
    <hyperlink r:id="rId25" ref="AC12"/>
    <hyperlink r:id="rId26" ref="Z13"/>
    <hyperlink r:id="rId27" ref="S14"/>
    <hyperlink r:id="rId28" ref="Z14"/>
    <hyperlink r:id="rId29" ref="AD14"/>
    <hyperlink r:id="rId30" ref="Q15"/>
    <hyperlink r:id="rId31" ref="S15"/>
    <hyperlink r:id="rId32" ref="AB15"/>
    <hyperlink r:id="rId33" ref="AC15"/>
    <hyperlink r:id="rId34" ref="AD15"/>
    <hyperlink r:id="rId35" ref="AI15"/>
    <hyperlink r:id="rId36" ref="AL15"/>
    <hyperlink r:id="rId37" ref="AT15"/>
    <hyperlink r:id="rId38" ref="AE16"/>
    <hyperlink r:id="rId39" ref="AB17"/>
    <hyperlink r:id="rId40" location="v=onepage&amp;q=carette%20toy%20jewish&amp;f=false" ref="AC17"/>
    <hyperlink r:id="rId41" ref="G18"/>
    <hyperlink r:id="rId42" ref="K18"/>
    <hyperlink r:id="rId43" ref="L18"/>
    <hyperlink r:id="rId44" location=".VB2nXOcu9xo" ref="M18"/>
    <hyperlink r:id="rId45" ref="N18"/>
    <hyperlink r:id="rId46" ref="R18"/>
    <hyperlink r:id="rId47" location="facrc=_&amp;imgdii=_&amp;imgrc=FGy7DPTpYwc5jM%253A%3B9oWFbtsPURb48M%3Bhttp%253A%252F%252Fmilepost38.com%252Fimages%252Flionellogo.gif%3Bhttp%253A%252F%252Fmilepost38.com%252F%3B300%3B173" ref="S18"/>
    <hyperlink r:id="rId48" ref="Z18"/>
    <hyperlink r:id="rId49" ref="AA18"/>
    <hyperlink r:id="rId50" ref="AB18"/>
    <hyperlink r:id="rId51" ref="AD18"/>
    <hyperlink r:id="rId52" ref="AI18"/>
    <hyperlink r:id="rId53" ref="AP18"/>
    <hyperlink r:id="rId54" ref="AQ18"/>
    <hyperlink r:id="rId55" ref="AR18"/>
    <hyperlink r:id="rId56" ref="AS18"/>
    <hyperlink r:id="rId57" ref="AC19"/>
    <hyperlink r:id="rId58" ref="S20"/>
    <hyperlink r:id="rId59" ref="AC20"/>
    <hyperlink r:id="rId60" ref="AI20"/>
    <hyperlink r:id="rId61" ref="AT20"/>
    <hyperlink r:id="rId62" ref="K21"/>
    <hyperlink r:id="rId63" location="v=onepage&amp;q&amp;f=false" ref="N21"/>
    <hyperlink r:id="rId64" ref="O21"/>
    <hyperlink r:id="rId65" ref="R21"/>
    <hyperlink r:id="rId66" ref="S21"/>
    <hyperlink r:id="rId67" ref="AC21"/>
    <hyperlink r:id="rId68" ref="AI21"/>
    <hyperlink r:id="rId69" ref="AK21"/>
    <hyperlink r:id="rId70" ref="AP21"/>
    <hyperlink r:id="rId71" ref="AQ21"/>
    <hyperlink r:id="rId72" location=".VDsRo-e7nBV" ref="M22"/>
    <hyperlink r:id="rId73" ref="S22"/>
    <hyperlink r:id="rId74" ref="G23"/>
    <hyperlink r:id="rId75" location="facrc=_&amp;imgdii=_&amp;imgrc=FGy7DPTpYwc5jM%253A%3B9oWFbtsPURb48M%3Bhttp%253A%252F%252Fmilepost38.com%252Fimages%252Flionellogo.gif%3Bhttp%253A%252F%252Fmilepost38.com%252F%3B300%3B173" ref="K23"/>
    <hyperlink r:id="rId76" location=".VB2nXOcu9xo" ref="M23"/>
    <hyperlink r:id="rId77" location="v=onepage&amp;q=louis%20marx%20time%20magazine%20article&amp;f=false" ref="N23"/>
    <hyperlink r:id="rId78" ref="O23"/>
    <hyperlink r:id="rId79" location="v=onepage&amp;q=louis%20marx&amp;f=false" ref="Q23"/>
    <hyperlink r:id="rId80" ref="R23"/>
    <hyperlink r:id="rId81" ref="S23"/>
    <hyperlink r:id="rId82" ref="AC23"/>
    <hyperlink r:id="rId83" ref="AD23"/>
    <hyperlink r:id="rId84" ref="AI23"/>
    <hyperlink r:id="rId85" ref="AL23"/>
    <hyperlink r:id="rId86" ref="AP23"/>
    <hyperlink r:id="rId87" ref="AQ23"/>
    <hyperlink r:id="rId88" ref="AR23"/>
    <hyperlink r:id="rId89" ref="AU23"/>
    <hyperlink r:id="rId90" ref="AY23"/>
    <hyperlink r:id="rId91" ref="AZ23"/>
    <hyperlink r:id="rId92" ref="BA23"/>
    <hyperlink r:id="rId93" ref="K24"/>
    <hyperlink r:id="rId94" location=".VB2nXOcu9xo" ref="M24"/>
    <hyperlink r:id="rId95" ref="S24"/>
    <hyperlink r:id="rId96" ref="Z24"/>
    <hyperlink r:id="rId97" ref="AA24"/>
    <hyperlink r:id="rId98" ref="AC24"/>
    <hyperlink r:id="rId99" ref="AD24"/>
    <hyperlink r:id="rId100" ref="AI24"/>
    <hyperlink r:id="rId101" ref="AQ24"/>
    <hyperlink r:id="rId102" ref="G25"/>
    <hyperlink r:id="rId103" ref="K25"/>
    <hyperlink r:id="rId104" ref="O25"/>
    <hyperlink r:id="rId105" ref="R25"/>
    <hyperlink r:id="rId106" ref="S25"/>
    <hyperlink r:id="rId107" ref="AA25"/>
    <hyperlink r:id="rId108" ref="AD25"/>
    <hyperlink r:id="rId109" ref="AI25"/>
    <hyperlink r:id="rId110" ref="G26"/>
    <hyperlink r:id="rId111" ref="S26"/>
    <hyperlink r:id="rId112" ref="AA26"/>
    <hyperlink r:id="rId113" ref="AD26"/>
    <hyperlink r:id="rId114" ref="S27"/>
    <hyperlink r:id="rId115" ref="AA27"/>
    <hyperlink r:id="rId116" ref="AD27"/>
    <hyperlink r:id="rId117" ref="G28"/>
    <hyperlink r:id="rId118" ref="K28"/>
    <hyperlink r:id="rId119" location=".VB2nXOcu9xo" ref="M28"/>
    <hyperlink r:id="rId120" ref="N28"/>
    <hyperlink r:id="rId121" ref="Q28"/>
    <hyperlink r:id="rId122" ref="R28"/>
    <hyperlink r:id="rId123" ref="S28"/>
    <hyperlink r:id="rId124" location=".VB3X9ecu9xo" ref="X28"/>
    <hyperlink r:id="rId125" ref="Y28"/>
    <hyperlink r:id="rId126" ref="Z28"/>
    <hyperlink r:id="rId127" ref="AC28"/>
    <hyperlink r:id="rId128" ref="AD28"/>
    <hyperlink r:id="rId129" ref="AI28"/>
    <hyperlink r:id="rId130" ref="AQ28"/>
    <hyperlink r:id="rId131" ref="AT28"/>
    <hyperlink r:id="rId132" ref="BA28"/>
    <hyperlink r:id="rId133" ref="G29"/>
    <hyperlink r:id="rId134" ref="K29"/>
    <hyperlink r:id="rId135" ref="S29"/>
    <hyperlink r:id="rId136" ref="Z29"/>
    <hyperlink r:id="rId137" ref="AA29"/>
    <hyperlink r:id="rId138" ref="AC29"/>
    <hyperlink r:id="rId139" ref="AD29"/>
    <hyperlink r:id="rId140" ref="AQ29"/>
    <hyperlink r:id="rId141" ref="G30"/>
    <hyperlink r:id="rId142" ref="K30"/>
    <hyperlink r:id="rId143" location=".VB2nXOcu9xo" ref="M30"/>
    <hyperlink r:id="rId144" ref="Q30"/>
    <hyperlink r:id="rId145" ref="S30"/>
    <hyperlink r:id="rId146" ref="Z30"/>
    <hyperlink r:id="rId147" ref="AA30"/>
    <hyperlink r:id="rId148" ref="AB30"/>
    <hyperlink r:id="rId149" ref="AD30"/>
    <hyperlink r:id="rId150" ref="AI30"/>
    <hyperlink r:id="rId151" ref="AK30"/>
    <hyperlink r:id="rId152" location="mediaviewer/File:Mr_Potato_Head_1952.jpg" ref="AL30"/>
    <hyperlink r:id="rId153" ref="AP30"/>
    <hyperlink r:id="rId154" ref="AQ30"/>
    <hyperlink r:id="rId155" ref="AU30"/>
    <hyperlink r:id="rId156" ref="AX30"/>
    <hyperlink r:id="rId157" ref="AY30"/>
    <hyperlink r:id="rId158" ref="BA30"/>
    <hyperlink r:id="rId159" ref="G31"/>
    <hyperlink r:id="rId160" ref="K31"/>
    <hyperlink r:id="rId161" location=".VB2nXOcu9xo" ref="M31"/>
    <hyperlink r:id="rId162" ref="R31"/>
    <hyperlink r:id="rId163" ref="S31"/>
    <hyperlink r:id="rId164" ref="Z31"/>
    <hyperlink r:id="rId165" ref="AA31"/>
    <hyperlink r:id="rId166" ref="AB31"/>
    <hyperlink r:id="rId167" ref="AD31"/>
    <hyperlink r:id="rId168" ref="K32"/>
    <hyperlink r:id="rId169" location=".VB2nXOcu9xo" ref="M32"/>
    <hyperlink r:id="rId170" ref="N32"/>
    <hyperlink r:id="rId171" ref="Q32"/>
    <hyperlink r:id="rId172" ref="R32"/>
    <hyperlink r:id="rId173" ref="S32"/>
    <hyperlink r:id="rId174" ref="Z32"/>
    <hyperlink r:id="rId175" ref="AA32"/>
    <hyperlink r:id="rId176" ref="AB32"/>
    <hyperlink r:id="rId177" ref="AD32"/>
    <hyperlink r:id="rId178" ref="K33"/>
    <hyperlink r:id="rId179" location="v=onepage&amp;q=meyer%20gensberg%20genco&amp;f=false" ref="Q33"/>
    <hyperlink r:id="rId180" ref="Y33"/>
    <hyperlink r:id="rId181" location="gid=0" ref="Z33"/>
    <hyperlink r:id="rId182" ref="AD33"/>
    <hyperlink r:id="rId183" ref="AI33"/>
    <hyperlink r:id="rId184" ref="AL33"/>
    <hyperlink r:id="rId185" ref="AR33"/>
    <hyperlink r:id="rId186" ref="AS33"/>
    <hyperlink r:id="rId187" ref="AT33"/>
    <hyperlink r:id="rId188" ref="G34"/>
    <hyperlink r:id="rId189" ref="K34"/>
    <hyperlink r:id="rId190" ref="N34"/>
    <hyperlink r:id="rId191" ref="O34"/>
    <hyperlink r:id="rId192" ref="P34"/>
    <hyperlink r:id="rId193" ref="Q34"/>
    <hyperlink r:id="rId194" ref="R34"/>
    <hyperlink r:id="rId195" ref="S34"/>
    <hyperlink r:id="rId196" ref="U34"/>
    <hyperlink r:id="rId197" ref="AI34"/>
    <hyperlink r:id="rId198" ref="AK34"/>
    <hyperlink r:id="rId199" location=".VB2nXOcu9xo" ref="M35"/>
    <hyperlink r:id="rId200" ref="N35"/>
    <hyperlink r:id="rId201" ref="AA35"/>
    <hyperlink r:id="rId202" ref="AB35"/>
    <hyperlink r:id="rId203" ref="R36"/>
    <hyperlink r:id="rId204" ref="S36"/>
    <hyperlink r:id="rId205" ref="Z36"/>
    <hyperlink r:id="rId206" ref="AC36"/>
    <hyperlink r:id="rId207" ref="G37"/>
    <hyperlink r:id="rId208" ref="R37"/>
    <hyperlink r:id="rId209" ref="S37"/>
    <hyperlink r:id="rId210" ref="G38"/>
    <hyperlink r:id="rId211" ref="K38"/>
    <hyperlink r:id="rId212" ref="N38"/>
    <hyperlink r:id="rId213" ref="O38"/>
    <hyperlink r:id="rId214" ref="P38"/>
    <hyperlink r:id="rId215" ref="Q38"/>
    <hyperlink r:id="rId216" ref="R38"/>
    <hyperlink r:id="rId217" ref="S38"/>
    <hyperlink r:id="rId218" ref="AF38"/>
    <hyperlink r:id="rId219" ref="AL38"/>
    <hyperlink r:id="rId220" ref="AR38"/>
    <hyperlink r:id="rId221" ref="S39"/>
    <hyperlink r:id="rId222" ref="AC39"/>
    <hyperlink r:id="rId223" ref="AD39"/>
    <hyperlink r:id="rId224" ref="AF39"/>
    <hyperlink r:id="rId225" ref="AI39"/>
    <hyperlink r:id="rId226" ref="S40"/>
    <hyperlink r:id="rId227" ref="AF40"/>
    <hyperlink r:id="rId228" ref="S41"/>
    <hyperlink r:id="rId229" ref="AF41"/>
    <hyperlink r:id="rId230" ref="R42"/>
    <hyperlink r:id="rId231" ref="S42"/>
    <hyperlink r:id="rId232" ref="K43"/>
    <hyperlink r:id="rId233" ref="N43"/>
    <hyperlink r:id="rId234" ref="S43"/>
    <hyperlink r:id="rId235" ref="Z43"/>
    <hyperlink r:id="rId236" ref="AC43"/>
    <hyperlink r:id="rId237" ref="AD43"/>
    <hyperlink r:id="rId238" ref="AI43"/>
    <hyperlink r:id="rId239" ref="K44"/>
    <hyperlink r:id="rId240" ref="N44"/>
    <hyperlink r:id="rId241" ref="S44"/>
    <hyperlink r:id="rId242" ref="Z44"/>
    <hyperlink r:id="rId243" ref="AB44"/>
    <hyperlink r:id="rId244" ref="AC44"/>
    <hyperlink r:id="rId245" ref="AI44"/>
    <hyperlink r:id="rId246" ref="Z45"/>
    <hyperlink r:id="rId247" ref="AB45"/>
    <hyperlink r:id="rId248" ref="G46"/>
    <hyperlink r:id="rId249" ref="K46"/>
    <hyperlink r:id="rId250" location=".VB2nXOcu9xo" ref="M46"/>
    <hyperlink r:id="rId251" ref="N46"/>
    <hyperlink r:id="rId252" ref="AC47"/>
    <hyperlink r:id="rId253" ref="AD47"/>
    <hyperlink r:id="rId254" ref="K48"/>
    <hyperlink r:id="rId255" ref="Q48"/>
    <hyperlink r:id="rId256" ref="R48"/>
    <hyperlink r:id="rId257" ref="S48"/>
    <hyperlink r:id="rId258" ref="Z48"/>
    <hyperlink r:id="rId259" ref="AA48"/>
    <hyperlink r:id="rId260" location="Formation_and_Early_Successes" ref="AB48"/>
    <hyperlink r:id="rId261" ref="AC48"/>
    <hyperlink r:id="rId262" ref="AI48"/>
    <hyperlink r:id="rId263" ref="AK48"/>
    <hyperlink r:id="rId264" ref="K49"/>
    <hyperlink r:id="rId265" location=".VB2nXOcu9xo" ref="M49"/>
    <hyperlink r:id="rId266" ref="N49"/>
    <hyperlink r:id="rId267" ref="O49"/>
    <hyperlink r:id="rId268" ref="Q49"/>
    <hyperlink r:id="rId269" ref="S49"/>
    <hyperlink r:id="rId270" location="v=onepage&amp;q=%22lionel%20weintraub%22%20ideal&amp;f=false" ref="Z49"/>
    <hyperlink r:id="rId271" ref="AC49"/>
    <hyperlink r:id="rId272" ref="AD49"/>
    <hyperlink r:id="rId273" ref="AH49"/>
    <hyperlink r:id="rId274" ref="AL49"/>
    <hyperlink r:id="rId275" ref="AQ49"/>
    <hyperlink r:id="rId276" ref="AR49"/>
    <hyperlink r:id="rId277" ref="AU49"/>
    <hyperlink r:id="rId278" ref="AV49"/>
    <hyperlink r:id="rId279" ref="AY49"/>
    <hyperlink r:id="rId280" ref="AZ49"/>
    <hyperlink r:id="rId281" ref="BA49"/>
    <hyperlink r:id="rId282" ref="G50"/>
    <hyperlink r:id="rId283" ref="K50"/>
    <hyperlink r:id="rId284" ref="O50"/>
    <hyperlink r:id="rId285" ref="R50"/>
    <hyperlink r:id="rId286" ref="S50"/>
    <hyperlink r:id="rId287" ref="Z50"/>
    <hyperlink r:id="rId288" ref="AI50"/>
    <hyperlink r:id="rId289" ref="AL50"/>
    <hyperlink r:id="rId290" ref="G51"/>
    <hyperlink r:id="rId291" location=".VB2nXOcu9xo" ref="M51"/>
    <hyperlink r:id="rId292" ref="N51"/>
    <hyperlink r:id="rId293" ref="O51"/>
    <hyperlink r:id="rId294" ref="Q51"/>
    <hyperlink r:id="rId295" ref="R51"/>
    <hyperlink r:id="rId296" ref="S51"/>
    <hyperlink r:id="rId297" ref="Z51"/>
    <hyperlink r:id="rId298" ref="AA51"/>
    <hyperlink r:id="rId299" ref="AB51"/>
    <hyperlink r:id="rId300" ref="AC51"/>
    <hyperlink r:id="rId301" ref="AI51"/>
    <hyperlink r:id="rId302" ref="G52"/>
    <hyperlink r:id="rId303" ref="K52"/>
    <hyperlink r:id="rId304" location=".VB2nXOcu9xo" ref="M52"/>
    <hyperlink r:id="rId305" ref="N52"/>
    <hyperlink r:id="rId306" ref="Q52"/>
    <hyperlink r:id="rId307" ref="R52"/>
    <hyperlink r:id="rId308" ref="S52"/>
    <hyperlink r:id="rId309" ref="AA52"/>
    <hyperlink r:id="rId310" ref="AB52"/>
    <hyperlink r:id="rId311" ref="AC52"/>
    <hyperlink r:id="rId312" ref="AI52"/>
    <hyperlink r:id="rId313" ref="AP52"/>
    <hyperlink r:id="rId314" ref="AQ52"/>
    <hyperlink r:id="rId315" ref="K53"/>
    <hyperlink r:id="rId316" ref="L53"/>
    <hyperlink r:id="rId317" ref="Q53"/>
    <hyperlink r:id="rId318" ref="AI53"/>
    <hyperlink r:id="rId319" ref="AL53"/>
    <hyperlink r:id="rId320" ref="AQ53"/>
    <hyperlink r:id="rId321" ref="G54"/>
    <hyperlink r:id="rId322" ref="K54"/>
    <hyperlink r:id="rId323" ref="O54"/>
    <hyperlink r:id="rId324" ref="P54"/>
    <hyperlink r:id="rId325" ref="S54"/>
    <hyperlink r:id="rId326" ref="Z54"/>
    <hyperlink r:id="rId327" ref="AI54"/>
    <hyperlink r:id="rId328" ref="K55"/>
    <hyperlink r:id="rId329" location=".VB2nXOcu9xo" ref="M55"/>
    <hyperlink r:id="rId330" ref="P55"/>
    <hyperlink r:id="rId331" ref="S55"/>
    <hyperlink r:id="rId332" ref="AB55"/>
    <hyperlink r:id="rId333" ref="AC55"/>
    <hyperlink r:id="rId334" ref="G56"/>
    <hyperlink r:id="rId335" ref="K56"/>
    <hyperlink r:id="rId336" ref="P56"/>
    <hyperlink r:id="rId337" ref="S56"/>
    <hyperlink r:id="rId338" ref="AB56"/>
    <hyperlink r:id="rId339" ref="AC56"/>
    <hyperlink r:id="rId340" ref="AU56"/>
    <hyperlink r:id="rId341" ref="AX56"/>
    <hyperlink r:id="rId342" ref="C57"/>
    <hyperlink r:id="rId343" ref="G57"/>
    <hyperlink r:id="rId344" ref="K57"/>
    <hyperlink r:id="rId345" ref="P57"/>
    <hyperlink r:id="rId346" ref="Q57"/>
    <hyperlink r:id="rId347" ref="S57"/>
    <hyperlink r:id="rId348" ref="Z57"/>
    <hyperlink r:id="rId349" ref="AB57"/>
    <hyperlink r:id="rId350" ref="AC57"/>
    <hyperlink r:id="rId351" ref="AL57"/>
    <hyperlink r:id="rId352" ref="AQ57"/>
    <hyperlink r:id="rId353" ref="G58"/>
    <hyperlink r:id="rId354" ref="K58"/>
    <hyperlink r:id="rId355" ref="P58"/>
    <hyperlink r:id="rId356" ref="S58"/>
    <hyperlink r:id="rId357" ref="AB58"/>
    <hyperlink r:id="rId358" ref="AC58"/>
    <hyperlink r:id="rId359" location=".VB8Y8-cu9xo" ref="G59"/>
    <hyperlink r:id="rId360" ref="K59"/>
    <hyperlink r:id="rId361" location=".VB2nXOcu9xo" ref="M59"/>
    <hyperlink r:id="rId362" ref="O59"/>
    <hyperlink r:id="rId363" ref="S59"/>
    <hyperlink r:id="rId364" ref="Z59"/>
    <hyperlink r:id="rId365" ref="K60"/>
    <hyperlink r:id="rId366" ref="N60"/>
    <hyperlink r:id="rId367" ref="R60"/>
    <hyperlink r:id="rId368" ref="S60"/>
    <hyperlink r:id="rId369" ref="Z60"/>
    <hyperlink r:id="rId370" location="mediaviewer/File:Mr_Potato_Head_1952.jpg" ref="AI60"/>
    <hyperlink r:id="rId371" ref="AK60"/>
    <hyperlink r:id="rId372" location="mediaviewer/File:Mr_Potato_Head_1952.jpg" ref="AL60"/>
    <hyperlink r:id="rId373" ref="AP60"/>
    <hyperlink r:id="rId374" ref="AQ60"/>
    <hyperlink r:id="rId375" location="v=onepage&amp;q=hassenfeld%20doctor%20kit%201930&amp;f=false" ref="AS60"/>
    <hyperlink r:id="rId376" ref="H61"/>
    <hyperlink r:id="rId377" ref="K61"/>
    <hyperlink r:id="rId378" ref="O61"/>
    <hyperlink r:id="rId379" ref="Q61"/>
    <hyperlink r:id="rId380" ref="R61"/>
    <hyperlink r:id="rId381" ref="S61"/>
    <hyperlink r:id="rId382" ref="AD61"/>
    <hyperlink r:id="rId383" ref="AK61"/>
    <hyperlink r:id="rId384" ref="AL61"/>
    <hyperlink r:id="rId385" ref="AQ61"/>
    <hyperlink r:id="rId386" ref="K62"/>
    <hyperlink r:id="rId387" ref="N62"/>
    <hyperlink r:id="rId388" location="v=onepage&amp;q=kogan%20fugu%20plan&amp;f=false" ref="O62"/>
    <hyperlink r:id="rId389" ref="R62"/>
    <hyperlink r:id="rId390" ref="S62"/>
    <hyperlink r:id="rId391" ref="Z62"/>
    <hyperlink r:id="rId392" ref="AC62"/>
    <hyperlink r:id="rId393" ref="AD62"/>
    <hyperlink r:id="rId394" ref="AK62"/>
    <hyperlink r:id="rId395" ref="AQ62"/>
    <hyperlink r:id="rId396" ref="G63"/>
    <hyperlink r:id="rId397" ref="K63"/>
    <hyperlink r:id="rId398" ref="N63"/>
    <hyperlink r:id="rId399" ref="O63"/>
    <hyperlink r:id="rId400" ref="R63"/>
    <hyperlink r:id="rId401" ref="S63"/>
    <hyperlink r:id="rId402" ref="AA63"/>
    <hyperlink r:id="rId403" ref="AC63"/>
    <hyperlink r:id="rId404" ref="AI63"/>
    <hyperlink r:id="rId405" ref="S64"/>
    <hyperlink r:id="rId406" ref="Z64"/>
    <hyperlink r:id="rId407" ref="G65"/>
    <hyperlink r:id="rId408" ref="K65"/>
    <hyperlink r:id="rId409" ref="O65"/>
    <hyperlink r:id="rId410" location="v=onepage&amp;q=fred%20kroll&amp;f=false" ref="P65"/>
    <hyperlink r:id="rId411" ref="S65"/>
    <hyperlink r:id="rId412" ref="AL65"/>
    <hyperlink r:id="rId413" ref="AU65"/>
    <hyperlink r:id="rId414" ref="K66"/>
    <hyperlink r:id="rId415" ref="P66"/>
    <hyperlink r:id="rId416" ref="Q66"/>
    <hyperlink r:id="rId417" ref="R66"/>
    <hyperlink r:id="rId418" ref="S66"/>
    <hyperlink r:id="rId419" ref="AF66"/>
    <hyperlink r:id="rId420" ref="AK66"/>
    <hyperlink r:id="rId421" ref="AL66"/>
    <hyperlink r:id="rId422" ref="AQ66"/>
    <hyperlink r:id="rId423" ref="K67"/>
    <hyperlink r:id="rId424" location=".VB2nXOcu9xo" ref="M67"/>
    <hyperlink r:id="rId425" ref="N67"/>
    <hyperlink r:id="rId426" ref="P67"/>
    <hyperlink r:id="rId427" location="soilleklamer" ref="Q67"/>
    <hyperlink r:id="rId428" ref="R67"/>
    <hyperlink r:id="rId429" ref="AL67"/>
    <hyperlink r:id="rId430" ref="AP67"/>
    <hyperlink r:id="rId431" ref="AQ67"/>
    <hyperlink r:id="rId432" ref="AU67"/>
    <hyperlink r:id="rId433" ref="G68"/>
    <hyperlink r:id="rId434" ref="K68"/>
    <hyperlink r:id="rId435" location=".VB2nXOcu9xo" ref="M68"/>
    <hyperlink r:id="rId436" ref="S68"/>
    <hyperlink r:id="rId437" ref="AA68"/>
    <hyperlink r:id="rId438" ref="AI68"/>
    <hyperlink r:id="rId439" ref="AK68"/>
    <hyperlink r:id="rId440" ref="AQ68"/>
    <hyperlink r:id="rId441" ref="N69"/>
    <hyperlink r:id="rId442" ref="Q69"/>
    <hyperlink r:id="rId443" ref="Z69"/>
    <hyperlink r:id="rId444" ref="AB69"/>
    <hyperlink r:id="rId445" ref="AI69"/>
    <hyperlink r:id="rId446" ref="AB70"/>
    <hyperlink r:id="rId447" ref="K71"/>
    <hyperlink r:id="rId448" ref="M71"/>
    <hyperlink r:id="rId449" ref="N71"/>
    <hyperlink r:id="rId450" ref="O71"/>
    <hyperlink r:id="rId451" ref="S71"/>
    <hyperlink r:id="rId452" ref="Y71"/>
    <hyperlink r:id="rId453" ref="Z71"/>
    <hyperlink r:id="rId454" ref="AI71"/>
    <hyperlink r:id="rId455" ref="AP71"/>
    <hyperlink r:id="rId456" ref="K72"/>
    <hyperlink r:id="rId457" ref="O72"/>
    <hyperlink r:id="rId458" ref="P72"/>
    <hyperlink r:id="rId459" ref="Q72"/>
    <hyperlink r:id="rId460" ref="S72"/>
    <hyperlink r:id="rId461" ref="Z72"/>
    <hyperlink r:id="rId462" ref="AA72"/>
    <hyperlink r:id="rId463" location="Stern_Electronics.2C_Inc." ref="AC72"/>
    <hyperlink r:id="rId464" ref="AI72"/>
    <hyperlink r:id="rId465" ref="AL72"/>
    <hyperlink r:id="rId466" ref="AR72"/>
    <hyperlink r:id="rId467" ref="AU72"/>
    <hyperlink r:id="rId468" ref="AZ72"/>
    <hyperlink r:id="rId469" ref="BA72"/>
    <hyperlink r:id="rId470" ref="N73"/>
    <hyperlink r:id="rId471" ref="AF73"/>
    <hyperlink r:id="rId472" ref="AL73"/>
    <hyperlink r:id="rId473" ref="K74"/>
    <hyperlink r:id="rId474" ref="N74"/>
    <hyperlink r:id="rId475" ref="S74"/>
    <hyperlink r:id="rId476" ref="AC74"/>
    <hyperlink r:id="rId477" ref="AF74"/>
    <hyperlink r:id="rId478" ref="AI74"/>
    <hyperlink r:id="rId479" ref="AL74"/>
    <hyperlink r:id="rId480" ref="AQ74"/>
    <hyperlink r:id="rId481" ref="K75"/>
    <hyperlink r:id="rId482" ref="N75"/>
    <hyperlink r:id="rId483" ref="R75"/>
    <hyperlink r:id="rId484" ref="S75"/>
    <hyperlink r:id="rId485" ref="Z75"/>
    <hyperlink r:id="rId486" ref="K76"/>
    <hyperlink r:id="rId487" ref="N76"/>
    <hyperlink r:id="rId488" ref="O76"/>
    <hyperlink r:id="rId489" ref="P76"/>
    <hyperlink r:id="rId490" ref="R76"/>
    <hyperlink r:id="rId491" ref="S76"/>
    <hyperlink r:id="rId492" ref="Z76"/>
    <hyperlink r:id="rId493" ref="AC76"/>
    <hyperlink r:id="rId494" ref="AI76"/>
    <hyperlink r:id="rId495" ref="Z77"/>
    <hyperlink r:id="rId496" ref="K79"/>
    <hyperlink r:id="rId497" location=".VB2nXOcu9xo" ref="M79"/>
    <hyperlink r:id="rId498" ref="S79"/>
    <hyperlink r:id="rId499" ref="Z79"/>
    <hyperlink r:id="rId500" ref="AP79"/>
    <hyperlink r:id="rId501" ref="AQ79"/>
    <hyperlink r:id="rId502" ref="K81"/>
    <hyperlink r:id="rId503" location=".VB2nXOcu9xo" ref="M81"/>
    <hyperlink r:id="rId504" ref="N81"/>
    <hyperlink r:id="rId505" ref="S81"/>
    <hyperlink r:id="rId506" ref="Z81"/>
    <hyperlink r:id="rId507" ref="AC81"/>
    <hyperlink r:id="rId508" ref="AD81"/>
    <hyperlink r:id="rId509" ref="AI81"/>
    <hyperlink r:id="rId510" ref="AP81"/>
    <hyperlink r:id="rId511" ref="AQ81"/>
    <hyperlink r:id="rId512" ref="K82"/>
    <hyperlink r:id="rId513" location=".VB2nXOcu9xo" ref="M82"/>
    <hyperlink r:id="rId514" ref="N82"/>
    <hyperlink r:id="rId515" ref="AD82"/>
    <hyperlink r:id="rId516" ref="AI82"/>
    <hyperlink r:id="rId517" ref="AL82"/>
    <hyperlink r:id="rId518" ref="AQ82"/>
    <hyperlink r:id="rId519" ref="AU82"/>
    <hyperlink r:id="rId520" ref="AY82"/>
    <hyperlink r:id="rId521" ref="K83"/>
    <hyperlink r:id="rId522" location="3" ref="M83"/>
    <hyperlink r:id="rId523" ref="R83"/>
    <hyperlink r:id="rId524" ref="S83"/>
    <hyperlink r:id="rId525" ref="Z83"/>
    <hyperlink r:id="rId526" ref="AC83"/>
    <hyperlink r:id="rId527" ref="AD83"/>
    <hyperlink r:id="rId528" ref="AI83"/>
    <hyperlink r:id="rId529" ref="AL83"/>
    <hyperlink r:id="rId530" ref="K84"/>
    <hyperlink r:id="rId531" ref="R84"/>
    <hyperlink r:id="rId532" location="mediaviewer/File:Smoking-car-logo.jpeg" ref="S84"/>
    <hyperlink r:id="rId533" ref="AI84"/>
    <hyperlink r:id="rId534" ref="K85"/>
    <hyperlink r:id="rId535" ref="R85"/>
    <hyperlink r:id="rId536" ref="S85"/>
    <hyperlink r:id="rId537" ref="Z85"/>
    <hyperlink r:id="rId538" ref="AA85"/>
    <hyperlink r:id="rId539" ref="AC85"/>
    <hyperlink r:id="rId540" ref="AI85"/>
    <hyperlink r:id="rId541" ref="H86"/>
    <hyperlink r:id="rId542" ref="K86"/>
    <hyperlink r:id="rId543" ref="Q86"/>
    <hyperlink r:id="rId544" ref="R86"/>
    <hyperlink r:id="rId545" ref="S86"/>
    <hyperlink r:id="rId546" ref="Z86"/>
    <hyperlink r:id="rId547" ref="AA86"/>
    <hyperlink r:id="rId548" location="Stern_Pinball.2C_Inc." ref="AC86"/>
    <hyperlink r:id="rId549" ref="AE86"/>
    <hyperlink r:id="rId550" ref="AI86"/>
    <hyperlink r:id="rId551" ref="AL86"/>
    <hyperlink r:id="rId552" ref="AR86"/>
    <hyperlink r:id="rId553" ref="K87"/>
    <hyperlink r:id="rId554" ref="Q87"/>
    <hyperlink r:id="rId555" ref="R87"/>
    <hyperlink r:id="rId556" ref="S87"/>
    <hyperlink r:id="rId557" ref="AC87"/>
    <hyperlink r:id="rId558" ref="AD87"/>
    <hyperlink r:id="rId559" ref="AF87"/>
    <hyperlink r:id="rId560" ref="AI87"/>
    <hyperlink r:id="rId561" ref="AK87"/>
    <hyperlink r:id="rId562" ref="K88"/>
    <hyperlink r:id="rId563" ref="N88"/>
    <hyperlink r:id="rId564" ref="O88"/>
    <hyperlink r:id="rId565" ref="S88"/>
    <hyperlink r:id="rId566" ref="Z88"/>
    <hyperlink r:id="rId567" ref="AB88"/>
    <hyperlink r:id="rId568" ref="AC88"/>
    <hyperlink r:id="rId569" ref="AI88"/>
    <hyperlink r:id="rId570" ref="K89"/>
    <hyperlink r:id="rId571" ref="R89"/>
    <hyperlink r:id="rId572" ref="S89"/>
    <hyperlink r:id="rId573" ref="Z89"/>
    <hyperlink r:id="rId574" ref="AA89"/>
    <hyperlink r:id="rId575" ref="AC89"/>
    <hyperlink r:id="rId576" ref="AF89"/>
    <hyperlink r:id="rId577" ref="AK89"/>
    <hyperlink r:id="rId578" ref="K90"/>
    <hyperlink r:id="rId579" ref="S90"/>
    <hyperlink r:id="rId580" ref="Z90"/>
    <hyperlink r:id="rId581" ref="AC90"/>
    <hyperlink r:id="rId582" ref="K91"/>
    <hyperlink r:id="rId583" ref="N91"/>
    <hyperlink r:id="rId584" ref="R91"/>
    <hyperlink r:id="rId585" ref="S91"/>
    <hyperlink r:id="rId586" ref="Z91"/>
    <hyperlink r:id="rId587" ref="AA91"/>
    <hyperlink r:id="rId588" ref="AC91"/>
    <hyperlink r:id="rId589" ref="K92"/>
    <hyperlink r:id="rId590" ref="S92"/>
    <hyperlink r:id="rId591" ref="Z92"/>
    <hyperlink r:id="rId592" ref="AC92"/>
    <hyperlink r:id="rId593" ref="K93"/>
    <hyperlink r:id="rId594" ref="O93"/>
    <hyperlink r:id="rId595" ref="S93"/>
    <hyperlink r:id="rId596" ref="AC93"/>
    <hyperlink r:id="rId597" ref="AD93"/>
    <hyperlink r:id="rId598" ref="G94"/>
    <hyperlink r:id="rId599" ref="K94"/>
    <hyperlink r:id="rId600" ref="N94"/>
    <hyperlink r:id="rId601" ref="O94"/>
    <hyperlink r:id="rId602" ref="Q94"/>
    <hyperlink r:id="rId603" ref="R94"/>
    <hyperlink r:id="rId604" ref="S94"/>
    <hyperlink r:id="rId605" ref="Z94"/>
    <hyperlink r:id="rId606" ref="AC94"/>
    <hyperlink r:id="rId607" ref="AD94"/>
    <hyperlink r:id="rId608" ref="AL94"/>
    <hyperlink r:id="rId609" ref="K95"/>
    <hyperlink r:id="rId610" location=".VB2nXOcu9xo" ref="M95"/>
    <hyperlink r:id="rId611" ref="O95"/>
    <hyperlink r:id="rId612" ref="S95"/>
    <hyperlink r:id="rId613" ref="Z95"/>
    <hyperlink r:id="rId614" ref="AA95"/>
    <hyperlink r:id="rId615" ref="AB95"/>
    <hyperlink r:id="rId616" ref="AC95"/>
    <hyperlink r:id="rId617" ref="K96"/>
    <hyperlink r:id="rId618" ref="N96"/>
    <hyperlink r:id="rId619" ref="O96"/>
    <hyperlink r:id="rId620" ref="P96"/>
    <hyperlink r:id="rId621" ref="R96"/>
    <hyperlink r:id="rId622" ref="AC96"/>
    <hyperlink r:id="rId623" ref="AL96"/>
    <hyperlink r:id="rId624" ref="AQ96"/>
    <hyperlink r:id="rId625" ref="G97"/>
    <hyperlink r:id="rId626" ref="K97"/>
    <hyperlink r:id="rId627" location=".VB2nXOcu9xo" ref="M97"/>
    <hyperlink r:id="rId628" ref="R97"/>
    <hyperlink r:id="rId629" ref="Z97"/>
    <hyperlink r:id="rId630" ref="AA97"/>
    <hyperlink r:id="rId631" ref="AC97"/>
    <hyperlink r:id="rId632" ref="AF97"/>
    <hyperlink r:id="rId633" ref="N98"/>
    <hyperlink r:id="rId634" ref="O98"/>
    <hyperlink r:id="rId635" location=".VB2nXOcu9xo" ref="M99"/>
    <hyperlink r:id="rId636" ref="S99"/>
    <hyperlink r:id="rId637" ref="AC99"/>
    <hyperlink r:id="rId638" ref="AQ99"/>
    <hyperlink r:id="rId639" ref="G100"/>
    <hyperlink r:id="rId640" ref="AA100"/>
    <hyperlink r:id="rId641" location=".VB2nXOcu9xo" ref="M101"/>
    <hyperlink r:id="rId642" ref="S101"/>
    <hyperlink r:id="rId643" ref="Z101"/>
    <hyperlink r:id="rId644" ref="AA101"/>
    <hyperlink r:id="rId645" ref="AB101"/>
    <hyperlink r:id="rId646" ref="AC101"/>
    <hyperlink r:id="rId647" ref="C102"/>
    <hyperlink r:id="rId648" ref="G103"/>
    <hyperlink r:id="rId649" ref="K103"/>
    <hyperlink r:id="rId650" ref="N103"/>
    <hyperlink r:id="rId651" ref="O103"/>
    <hyperlink r:id="rId652" ref="AA103"/>
    <hyperlink r:id="rId653" ref="AB103"/>
    <hyperlink r:id="rId654" ref="AI103"/>
    <hyperlink r:id="rId655" ref="AQ103"/>
    <hyperlink r:id="rId656" ref="AR103"/>
    <hyperlink r:id="rId657" location=".VB2nXOcu9xo" ref="M104"/>
    <hyperlink r:id="rId658" ref="S104"/>
    <hyperlink r:id="rId659" ref="Z104"/>
    <hyperlink r:id="rId660" ref="AA104"/>
    <hyperlink r:id="rId661" ref="AB104"/>
    <hyperlink r:id="rId662" ref="AC104"/>
    <hyperlink r:id="rId663" ref="S106"/>
    <hyperlink r:id="rId664" ref="N107"/>
    <hyperlink r:id="rId665" ref="Q107"/>
    <hyperlink r:id="rId666" ref="AC107"/>
    <hyperlink r:id="rId667" ref="AQ107"/>
    <hyperlink r:id="rId668" ref="AY107"/>
    <hyperlink r:id="rId669" ref="AZ107"/>
    <hyperlink r:id="rId670" ref="BA107"/>
    <hyperlink r:id="rId671" ref="G108"/>
    <hyperlink r:id="rId672" ref="AC108"/>
    <hyperlink r:id="rId673" ref="J109"/>
    <hyperlink r:id="rId674" ref="AA109"/>
    <hyperlink r:id="rId675" ref="AB109"/>
    <hyperlink r:id="rId676" ref="N110"/>
    <hyperlink r:id="rId677" ref="AE111"/>
    <hyperlink r:id="rId678" ref="AA112"/>
    <hyperlink r:id="rId679" ref="AB112"/>
    <hyperlink r:id="rId680" ref="AC112"/>
    <hyperlink r:id="rId681" ref="O114"/>
    <hyperlink r:id="rId682" ref="N115"/>
    <hyperlink r:id="rId683" ref="S115"/>
    <hyperlink r:id="rId684" ref="S116"/>
    <hyperlink r:id="rId685" location="more-14913" ref="AC116"/>
    <hyperlink r:id="rId686" location="v=onepage&amp;q=Mordecai%20Meirowitz&amp;f=false" ref="AF118"/>
    <hyperlink r:id="rId687" ref="AH118"/>
    <hyperlink r:id="rId688" ref="AD119"/>
    <hyperlink r:id="rId689" ref="AF119"/>
    <hyperlink r:id="rId690" location=".VB2nXOcu9xo" ref="M120"/>
    <hyperlink r:id="rId691" ref="AA120"/>
    <hyperlink r:id="rId692" ref="AC121"/>
    <hyperlink r:id="rId693" ref="O123"/>
    <hyperlink r:id="rId694" ref="O124"/>
    <hyperlink r:id="rId695" ref="G125"/>
    <hyperlink r:id="rId696" ref="N125"/>
    <hyperlink r:id="rId697" ref="O125"/>
    <hyperlink r:id="rId698" location=".VEeLsue7nBU" ref="AB128"/>
    <hyperlink r:id="rId699" location=".VFKoBue7kpN" ref="AB129"/>
    <hyperlink r:id="rId700" location=".VFKoiue7kpN" ref="AB130"/>
    <hyperlink r:id="rId701" ref="G131"/>
    <hyperlink r:id="rId702" ref="AC131"/>
    <hyperlink r:id="rId703" ref="G132"/>
    <hyperlink r:id="rId704" ref="O132"/>
    <hyperlink r:id="rId705" ref="AD132"/>
    <hyperlink r:id="rId706" ref="AF132"/>
    <hyperlink r:id="rId707" ref="G133"/>
    <hyperlink r:id="rId708" ref="Y133"/>
    <hyperlink r:id="rId709" ref="R138"/>
    <hyperlink r:id="rId710" ref="G143"/>
    <hyperlink r:id="rId711" ref="Q143"/>
  </hyperlinks>
  <drawing r:id="rId712"/>
</worksheet>
</file>