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istrator\Alexandros\PlantEnvBio Lab\Projects\High-throughput screening protocol\N.communis\1. N.communis routine cultures growth model\"/>
    </mc:Choice>
  </mc:AlternateContent>
  <xr:revisionPtr revIDLastSave="0" documentId="13_ncr:1_{393C7723-79EC-49EB-960B-02BF3CD023D4}" xr6:coauthVersionLast="47" xr6:coauthVersionMax="47" xr10:uidLastSave="{00000000-0000-0000-0000-000000000000}"/>
  <bookViews>
    <workbookView xWindow="552" yWindow="0" windowWidth="22488" windowHeight="12960" xr2:uid="{00000000-000D-0000-FFFF-FFFF00000000}"/>
  </bookViews>
  <sheets>
    <sheet name="Routine Cultu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8" i="1" l="1"/>
  <c r="E267" i="1"/>
  <c r="E266" i="1"/>
  <c r="E265" i="1"/>
  <c r="E264" i="1"/>
  <c r="E263" i="1"/>
  <c r="E262" i="1"/>
  <c r="E261" i="1"/>
  <c r="E260" i="1"/>
  <c r="F264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G255" i="1"/>
  <c r="F246" i="1"/>
  <c r="G237" i="1"/>
  <c r="H237" i="1" s="1"/>
  <c r="F237" i="1"/>
  <c r="E232" i="1"/>
  <c r="E231" i="1"/>
  <c r="E230" i="1"/>
  <c r="E229" i="1"/>
  <c r="E228" i="1"/>
  <c r="E227" i="1"/>
  <c r="E226" i="1"/>
  <c r="E225" i="1"/>
  <c r="E224" i="1"/>
  <c r="F228" i="1" s="1"/>
  <c r="G228" i="1"/>
  <c r="G219" i="1"/>
  <c r="F219" i="1"/>
  <c r="G210" i="1"/>
  <c r="F210" i="1"/>
  <c r="G201" i="1"/>
  <c r="H201" i="1" s="1"/>
  <c r="F201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69" i="1"/>
  <c r="E168" i="1"/>
  <c r="E167" i="1"/>
  <c r="F174" i="1"/>
  <c r="G138" i="1"/>
  <c r="E154" i="1"/>
  <c r="E153" i="1"/>
  <c r="E152" i="1"/>
  <c r="E136" i="1"/>
  <c r="E135" i="1"/>
  <c r="E134" i="1"/>
  <c r="G264" i="1" l="1"/>
  <c r="H264" i="1" s="1"/>
  <c r="F255" i="1"/>
  <c r="H255" i="1" s="1"/>
  <c r="G246" i="1"/>
  <c r="H246" i="1" s="1"/>
  <c r="H228" i="1"/>
  <c r="H219" i="1"/>
  <c r="H210" i="1"/>
  <c r="F138" i="1"/>
  <c r="H138" i="1" s="1"/>
  <c r="F135" i="1"/>
  <c r="G135" i="1"/>
  <c r="G192" i="1"/>
  <c r="F192" i="1"/>
  <c r="G183" i="1"/>
  <c r="F183" i="1"/>
  <c r="G174" i="1"/>
  <c r="F168" i="1"/>
  <c r="G165" i="1"/>
  <c r="F165" i="1"/>
  <c r="G162" i="1"/>
  <c r="F162" i="1"/>
  <c r="G159" i="1"/>
  <c r="F159" i="1"/>
  <c r="E133" i="1"/>
  <c r="E132" i="1"/>
  <c r="E131" i="1"/>
  <c r="G156" i="1"/>
  <c r="F156" i="1"/>
  <c r="G153" i="1"/>
  <c r="F153" i="1"/>
  <c r="G150" i="1"/>
  <c r="F150" i="1"/>
  <c r="E130" i="1"/>
  <c r="E129" i="1"/>
  <c r="E128" i="1"/>
  <c r="B129" i="1"/>
  <c r="B130" i="1"/>
  <c r="B128" i="1"/>
  <c r="E127" i="1"/>
  <c r="E126" i="1"/>
  <c r="E125" i="1"/>
  <c r="G147" i="1"/>
  <c r="F147" i="1"/>
  <c r="G144" i="1"/>
  <c r="F144" i="1"/>
  <c r="G141" i="1"/>
  <c r="F141" i="1"/>
  <c r="G123" i="1"/>
  <c r="F123" i="1"/>
  <c r="G120" i="1"/>
  <c r="F120" i="1"/>
  <c r="G117" i="1"/>
  <c r="F117" i="1"/>
  <c r="G114" i="1"/>
  <c r="F114" i="1"/>
  <c r="G102" i="1"/>
  <c r="F102" i="1"/>
  <c r="G93" i="1"/>
  <c r="F93" i="1"/>
  <c r="G84" i="1"/>
  <c r="F84" i="1"/>
  <c r="G111" i="1"/>
  <c r="F111" i="1"/>
  <c r="E82" i="1"/>
  <c r="E81" i="1"/>
  <c r="E80" i="1"/>
  <c r="E79" i="1"/>
  <c r="E78" i="1"/>
  <c r="E77" i="1"/>
  <c r="E76" i="1"/>
  <c r="E75" i="1"/>
  <c r="E74" i="1"/>
  <c r="E73" i="1"/>
  <c r="E72" i="1"/>
  <c r="E71" i="1"/>
  <c r="B72" i="1"/>
  <c r="B73" i="1"/>
  <c r="B71" i="1"/>
  <c r="E70" i="1"/>
  <c r="E69" i="1"/>
  <c r="E68" i="1"/>
  <c r="G66" i="1"/>
  <c r="F66" i="1"/>
  <c r="G63" i="1"/>
  <c r="F63" i="1"/>
  <c r="G60" i="1"/>
  <c r="F60" i="1"/>
  <c r="G57" i="1"/>
  <c r="F57" i="1"/>
  <c r="E52" i="1"/>
  <c r="E51" i="1"/>
  <c r="E50" i="1"/>
  <c r="G54" i="1"/>
  <c r="F54" i="1"/>
  <c r="B51" i="1"/>
  <c r="B52" i="1"/>
  <c r="B50" i="1"/>
  <c r="E49" i="1"/>
  <c r="E48" i="1"/>
  <c r="E47" i="1"/>
  <c r="E44" i="1"/>
  <c r="G45" i="1" s="1"/>
  <c r="G42" i="1"/>
  <c r="F42" i="1"/>
  <c r="G39" i="1"/>
  <c r="F39" i="1"/>
  <c r="G36" i="1"/>
  <c r="F36" i="1"/>
  <c r="G33" i="1"/>
  <c r="F33" i="1"/>
  <c r="G30" i="1"/>
  <c r="F30" i="1"/>
  <c r="G27" i="1"/>
  <c r="F27" i="1"/>
  <c r="E22" i="1"/>
  <c r="E21" i="1"/>
  <c r="E20" i="1"/>
  <c r="G24" i="1"/>
  <c r="F24" i="1"/>
  <c r="F18" i="1"/>
  <c r="G18" i="1"/>
  <c r="E16" i="1"/>
  <c r="E15" i="1"/>
  <c r="E14" i="1"/>
  <c r="G12" i="1"/>
  <c r="F12" i="1"/>
  <c r="G9" i="1"/>
  <c r="F9" i="1"/>
  <c r="G6" i="1"/>
  <c r="F6" i="1"/>
  <c r="G3" i="1"/>
  <c r="F3" i="1"/>
  <c r="F132" i="1" l="1"/>
  <c r="H135" i="1"/>
  <c r="H156" i="1"/>
  <c r="G129" i="1"/>
  <c r="H183" i="1"/>
  <c r="H192" i="1"/>
  <c r="H153" i="1"/>
  <c r="H174" i="1"/>
  <c r="H162" i="1"/>
  <c r="H165" i="1"/>
  <c r="H159" i="1"/>
  <c r="G168" i="1"/>
  <c r="H168" i="1" s="1"/>
  <c r="H150" i="1"/>
  <c r="G132" i="1"/>
  <c r="H132" i="1" s="1"/>
  <c r="F126" i="1"/>
  <c r="F69" i="1"/>
  <c r="F129" i="1"/>
  <c r="G126" i="1"/>
  <c r="G15" i="1"/>
  <c r="H120" i="1"/>
  <c r="H84" i="1"/>
  <c r="H93" i="1"/>
  <c r="H141" i="1"/>
  <c r="H24" i="1"/>
  <c r="H102" i="1"/>
  <c r="H147" i="1"/>
  <c r="H144" i="1"/>
  <c r="H123" i="1"/>
  <c r="H117" i="1"/>
  <c r="G69" i="1"/>
  <c r="F45" i="1"/>
  <c r="H45" i="1" s="1"/>
  <c r="G81" i="1"/>
  <c r="H111" i="1"/>
  <c r="H114" i="1"/>
  <c r="F81" i="1"/>
  <c r="G72" i="1"/>
  <c r="H63" i="1"/>
  <c r="G48" i="1"/>
  <c r="G78" i="1"/>
  <c r="H6" i="1"/>
  <c r="H12" i="1"/>
  <c r="F78" i="1"/>
  <c r="G21" i="1"/>
  <c r="G75" i="1"/>
  <c r="G51" i="1"/>
  <c r="F75" i="1"/>
  <c r="F72" i="1"/>
  <c r="H66" i="1"/>
  <c r="H60" i="1"/>
  <c r="H57" i="1"/>
  <c r="H54" i="1"/>
  <c r="F51" i="1"/>
  <c r="F48" i="1"/>
  <c r="H42" i="1"/>
  <c r="H39" i="1"/>
  <c r="H36" i="1"/>
  <c r="H33" i="1"/>
  <c r="H30" i="1"/>
  <c r="H27" i="1"/>
  <c r="F21" i="1"/>
  <c r="F15" i="1"/>
  <c r="H18" i="1"/>
  <c r="H9" i="1"/>
  <c r="H3" i="1"/>
  <c r="H69" i="1" l="1"/>
  <c r="H126" i="1"/>
  <c r="H129" i="1"/>
  <c r="H51" i="1"/>
  <c r="H15" i="1"/>
  <c r="H21" i="1"/>
  <c r="H81" i="1"/>
  <c r="H78" i="1"/>
  <c r="H72" i="1"/>
  <c r="H48" i="1"/>
  <c r="H75" i="1"/>
</calcChain>
</file>

<file path=xl/sharedStrings.xml><?xml version="1.0" encoding="utf-8"?>
<sst xmlns="http://schemas.openxmlformats.org/spreadsheetml/2006/main" count="566" uniqueCount="38">
  <si>
    <t>Replicate</t>
  </si>
  <si>
    <t>[Nitrite] (uM)</t>
  </si>
  <si>
    <t>Mean</t>
  </si>
  <si>
    <t>St. Dev</t>
  </si>
  <si>
    <t>CV%</t>
  </si>
  <si>
    <t>Generation</t>
  </si>
  <si>
    <t>1st</t>
  </si>
  <si>
    <t>Time (hours)</t>
  </si>
  <si>
    <t>ph Adjustement</t>
  </si>
  <si>
    <t>2nd</t>
  </si>
  <si>
    <t xml:space="preserve">1st Generation 31.08.23 </t>
  </si>
  <si>
    <t xml:space="preserve">2nd Generation 07.09.23 </t>
  </si>
  <si>
    <t xml:space="preserve">3rd Generation 15.09.23 </t>
  </si>
  <si>
    <t>3rd</t>
  </si>
  <si>
    <t xml:space="preserve">4th Generation 23.09.23 </t>
  </si>
  <si>
    <t>4th</t>
  </si>
  <si>
    <t>NCOM (1)</t>
  </si>
  <si>
    <t>NCOM (2)</t>
  </si>
  <si>
    <t>NCOM (3)</t>
  </si>
  <si>
    <t>NCOM (4)</t>
  </si>
  <si>
    <t>NCOM (5)</t>
  </si>
  <si>
    <t>NCOM (6)</t>
  </si>
  <si>
    <t>NCOM (7)</t>
  </si>
  <si>
    <t>NCOM (8)</t>
  </si>
  <si>
    <t>NCOM (9)</t>
  </si>
  <si>
    <t xml:space="preserve">6th Generation 10.10.23 </t>
  </si>
  <si>
    <t xml:space="preserve">6.2th Generation 14.10.23 </t>
  </si>
  <si>
    <t>6th_A</t>
  </si>
  <si>
    <t>6th_B</t>
  </si>
  <si>
    <t>Refresh</t>
  </si>
  <si>
    <t xml:space="preserve">7th Generation 19.10.23 </t>
  </si>
  <si>
    <t>7th_A</t>
  </si>
  <si>
    <t>7th_B</t>
  </si>
  <si>
    <t>7.2th Generation 22.10.2023</t>
  </si>
  <si>
    <t xml:space="preserve">8th Generation 27.10.23 </t>
  </si>
  <si>
    <t>8th</t>
  </si>
  <si>
    <t>9th Generation 03.11.2023</t>
  </si>
  <si>
    <t>9th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</si>
</sst>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Segoe UI"/>
      <family val="2"/>
    </font>
    <font>
      <sz val="14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 vertical="center" wrapText="1"/>
    </xf>
    <xf numFmtId="0" fontId="0" fillId="2" borderId="0" xfId="0" applyFill="1"/>
    <xf numFmtId="2" fontId="0" fillId="2" borderId="0" xfId="0" applyNumberFormat="1" applyFill="1"/>
    <xf numFmtId="0" fontId="5" fillId="2" borderId="0" xfId="0" applyFont="1" applyFill="1" applyAlignment="1">
      <alignment horizontal="center" vertical="center"/>
    </xf>
    <xf numFmtId="0" fontId="5" fillId="0" borderId="0" xfId="0" applyFont="1"/>
    <xf numFmtId="1" fontId="0" fillId="0" borderId="0" xfId="0" applyNumberFormat="1"/>
    <xf numFmtId="0" fontId="2" fillId="2" borderId="0" xfId="0" applyFont="1" applyFill="1"/>
    <xf numFmtId="2" fontId="2" fillId="2" borderId="0" xfId="0" applyNumberFormat="1" applyFont="1" applyFill="1"/>
    <xf numFmtId="0" fontId="3" fillId="0" borderId="0" xfId="0" applyFont="1" applyAlignment="1">
      <alignment vertical="center" textRotation="90" wrapText="1"/>
    </xf>
    <xf numFmtId="0" fontId="6" fillId="4" borderId="0" xfId="0" applyFont="1" applyFill="1"/>
    <xf numFmtId="164" fontId="0" fillId="0" borderId="0" xfId="0" applyNumberFormat="1"/>
    <xf numFmtId="0" fontId="3" fillId="3" borderId="0" xfId="0" applyFont="1" applyFill="1" applyAlignment="1">
      <alignment horizontal="center" vertical="center" textRotation="90" wrapText="1"/>
    </xf>
    <xf numFmtId="0" fontId="3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center" vertical="center" textRotation="90" wrapText="1"/>
    </xf>
    <xf numFmtId="0" fontId="5" fillId="2" borderId="0" xfId="0" applyFont="1" applyFill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4"/>
  <sheetViews>
    <sheetView tabSelected="1" topLeftCell="A250" workbookViewId="0">
      <selection activeCell="E269" sqref="E269"/>
    </sheetView>
  </sheetViews>
  <sheetFormatPr defaultRowHeight="18" x14ac:dyDescent="0.35"/>
  <cols>
    <col min="1" max="1" width="8.88671875" style="10"/>
    <col min="2" max="2" width="15.109375" customWidth="1"/>
    <col min="4" max="4" width="12.33203125" customWidth="1"/>
    <col min="5" max="5" width="14.33203125" customWidth="1"/>
    <col min="11" max="11" width="12.88671875" customWidth="1"/>
    <col min="13" max="13" width="15.21875" customWidth="1"/>
    <col min="14" max="14" width="17.6640625" customWidth="1"/>
  </cols>
  <sheetData>
    <row r="1" spans="1:9" s="1" customFormat="1" x14ac:dyDescent="0.3">
      <c r="A1" s="9"/>
      <c r="B1" s="3" t="s">
        <v>7</v>
      </c>
      <c r="C1" s="3" t="s">
        <v>0</v>
      </c>
      <c r="D1" s="3" t="s">
        <v>5</v>
      </c>
      <c r="E1" s="3" t="s">
        <v>1</v>
      </c>
      <c r="F1" s="3" t="s">
        <v>2</v>
      </c>
      <c r="G1" s="3" t="s">
        <v>3</v>
      </c>
      <c r="H1" s="3" t="s">
        <v>4</v>
      </c>
    </row>
    <row r="2" spans="1:9" s="1" customFormat="1" ht="14.4" customHeight="1" x14ac:dyDescent="0.3">
      <c r="A2" s="19" t="s">
        <v>10</v>
      </c>
      <c r="B2">
        <v>20</v>
      </c>
      <c r="C2" t="s">
        <v>16</v>
      </c>
      <c r="D2" t="s">
        <v>6</v>
      </c>
      <c r="E2">
        <v>94.6</v>
      </c>
      <c r="F2"/>
      <c r="G2"/>
      <c r="H2"/>
    </row>
    <row r="3" spans="1:9" ht="14.4" x14ac:dyDescent="0.3">
      <c r="A3" s="19"/>
      <c r="B3">
        <v>20</v>
      </c>
      <c r="C3" t="s">
        <v>17</v>
      </c>
      <c r="D3" t="s">
        <v>6</v>
      </c>
      <c r="E3">
        <v>99.26</v>
      </c>
      <c r="F3" s="2">
        <f>AVERAGE(E2:E4)</f>
        <v>99.986666666666679</v>
      </c>
      <c r="G3" s="2">
        <f>_xlfn.STDEV.P(E2:E4)</f>
        <v>4.7228898874406209</v>
      </c>
      <c r="H3" s="2">
        <f>G3*100/F3</f>
        <v>4.7235196900659622</v>
      </c>
    </row>
    <row r="4" spans="1:9" ht="14.4" x14ac:dyDescent="0.3">
      <c r="A4" s="19"/>
      <c r="B4">
        <v>20</v>
      </c>
      <c r="C4" t="s">
        <v>18</v>
      </c>
      <c r="D4" t="s">
        <v>6</v>
      </c>
      <c r="E4">
        <v>106.1</v>
      </c>
    </row>
    <row r="5" spans="1:9" ht="14.4" x14ac:dyDescent="0.3">
      <c r="A5" s="19"/>
      <c r="B5">
        <v>45</v>
      </c>
      <c r="C5" t="s">
        <v>16</v>
      </c>
      <c r="D5" t="s">
        <v>6</v>
      </c>
      <c r="E5">
        <v>226.8</v>
      </c>
    </row>
    <row r="6" spans="1:9" ht="14.4" x14ac:dyDescent="0.3">
      <c r="A6" s="19"/>
      <c r="B6">
        <v>45</v>
      </c>
      <c r="C6" t="s">
        <v>17</v>
      </c>
      <c r="D6" t="s">
        <v>6</v>
      </c>
      <c r="E6">
        <v>258</v>
      </c>
      <c r="F6" s="2">
        <f>AVERAGE(E5:E7)</f>
        <v>267.53333333333336</v>
      </c>
      <c r="G6" s="2">
        <f>_xlfn.STDEV.P(E5:E7)</f>
        <v>37.75723624537271</v>
      </c>
      <c r="H6" s="2">
        <f>G6*100/F6</f>
        <v>14.113096029917532</v>
      </c>
    </row>
    <row r="7" spans="1:9" ht="14.4" x14ac:dyDescent="0.3">
      <c r="A7" s="19"/>
      <c r="B7">
        <v>45</v>
      </c>
      <c r="C7" t="s">
        <v>18</v>
      </c>
      <c r="D7" t="s">
        <v>6</v>
      </c>
      <c r="E7">
        <v>317.8</v>
      </c>
    </row>
    <row r="8" spans="1:9" ht="14.4" x14ac:dyDescent="0.3">
      <c r="A8" s="19"/>
      <c r="B8">
        <v>89</v>
      </c>
      <c r="C8" t="s">
        <v>16</v>
      </c>
      <c r="D8" t="s">
        <v>6</v>
      </c>
      <c r="E8">
        <v>1083</v>
      </c>
      <c r="I8" s="17" t="s">
        <v>8</v>
      </c>
    </row>
    <row r="9" spans="1:9" ht="14.4" x14ac:dyDescent="0.3">
      <c r="A9" s="19"/>
      <c r="B9">
        <v>89</v>
      </c>
      <c r="C9" t="s">
        <v>17</v>
      </c>
      <c r="D9" t="s">
        <v>6</v>
      </c>
      <c r="E9">
        <v>1259</v>
      </c>
      <c r="F9" s="2">
        <f>AVERAGE(E8:E10)</f>
        <v>1226</v>
      </c>
      <c r="G9" s="2">
        <f>_xlfn.STDEV.P(E8:E10)</f>
        <v>105.88987990675344</v>
      </c>
      <c r="H9" s="2">
        <f>G9*100/F9</f>
        <v>8.6370211995720574</v>
      </c>
      <c r="I9" s="17"/>
    </row>
    <row r="10" spans="1:9" ht="14.4" x14ac:dyDescent="0.3">
      <c r="A10" s="19"/>
      <c r="B10">
        <v>89</v>
      </c>
      <c r="C10" t="s">
        <v>18</v>
      </c>
      <c r="D10" t="s">
        <v>6</v>
      </c>
      <c r="E10">
        <v>1336</v>
      </c>
      <c r="I10" s="17"/>
    </row>
    <row r="11" spans="1:9" ht="14.4" customHeight="1" x14ac:dyDescent="0.3">
      <c r="A11" s="19"/>
      <c r="B11">
        <v>115</v>
      </c>
      <c r="C11" t="s">
        <v>16</v>
      </c>
      <c r="D11" t="s">
        <v>6</v>
      </c>
      <c r="E11">
        <v>1812</v>
      </c>
      <c r="I11" s="17" t="s">
        <v>8</v>
      </c>
    </row>
    <row r="12" spans="1:9" ht="14.4" x14ac:dyDescent="0.3">
      <c r="A12" s="19"/>
      <c r="B12">
        <v>115</v>
      </c>
      <c r="C12" t="s">
        <v>17</v>
      </c>
      <c r="D12" t="s">
        <v>6</v>
      </c>
      <c r="E12">
        <v>1931</v>
      </c>
      <c r="F12" s="2">
        <f>AVERAGE(E11:E13)</f>
        <v>1910</v>
      </c>
      <c r="G12" s="2">
        <f>_xlfn.STDEV.P(E11:E13)</f>
        <v>72.970313598522154</v>
      </c>
      <c r="H12" s="2">
        <f>G12*100/F12</f>
        <v>3.8204352669383326</v>
      </c>
      <c r="I12" s="17"/>
    </row>
    <row r="13" spans="1:9" ht="14.4" x14ac:dyDescent="0.3">
      <c r="A13" s="19"/>
      <c r="B13">
        <v>115</v>
      </c>
      <c r="C13" t="s">
        <v>18</v>
      </c>
      <c r="D13" t="s">
        <v>6</v>
      </c>
      <c r="E13">
        <v>1987</v>
      </c>
      <c r="I13" s="17"/>
    </row>
    <row r="14" spans="1:9" ht="14.4" customHeight="1" x14ac:dyDescent="0.3">
      <c r="A14" s="19"/>
      <c r="B14">
        <v>138</v>
      </c>
      <c r="C14" t="s">
        <v>16</v>
      </c>
      <c r="D14" t="s">
        <v>6</v>
      </c>
      <c r="E14">
        <f>133.4*20</f>
        <v>2668</v>
      </c>
      <c r="I14" s="17" t="s">
        <v>8</v>
      </c>
    </row>
    <row r="15" spans="1:9" ht="14.4" x14ac:dyDescent="0.3">
      <c r="A15" s="19"/>
      <c r="B15">
        <v>138</v>
      </c>
      <c r="C15" t="s">
        <v>17</v>
      </c>
      <c r="D15" t="s">
        <v>6</v>
      </c>
      <c r="E15">
        <f>134*20</f>
        <v>2680</v>
      </c>
      <c r="F15" s="2">
        <f>AVERAGE(E14:E16)</f>
        <v>2722.6666666666665</v>
      </c>
      <c r="G15" s="2">
        <f>_xlfn.STDEV.P(E14:E16)</f>
        <v>68.999194842323263</v>
      </c>
      <c r="H15" s="2">
        <f>G15*100/F15</f>
        <v>2.5342505451391992</v>
      </c>
      <c r="I15" s="17"/>
    </row>
    <row r="16" spans="1:9" ht="14.4" x14ac:dyDescent="0.3">
      <c r="A16" s="19"/>
      <c r="B16">
        <v>138</v>
      </c>
      <c r="C16" t="s">
        <v>18</v>
      </c>
      <c r="D16" t="s">
        <v>6</v>
      </c>
      <c r="E16">
        <f>141*20</f>
        <v>2820</v>
      </c>
      <c r="I16" s="17"/>
    </row>
    <row r="17" spans="1:12" ht="14.4" x14ac:dyDescent="0.3">
      <c r="A17" s="19"/>
      <c r="B17">
        <v>163</v>
      </c>
      <c r="C17" t="s">
        <v>16</v>
      </c>
      <c r="D17" t="s">
        <v>6</v>
      </c>
      <c r="E17">
        <v>3065</v>
      </c>
      <c r="I17" s="18"/>
      <c r="K17" s="5"/>
      <c r="L17" s="5"/>
    </row>
    <row r="18" spans="1:12" ht="14.4" x14ac:dyDescent="0.3">
      <c r="A18" s="19"/>
      <c r="B18">
        <v>163</v>
      </c>
      <c r="C18" t="s">
        <v>17</v>
      </c>
      <c r="D18" t="s">
        <v>6</v>
      </c>
      <c r="E18">
        <v>3104</v>
      </c>
      <c r="F18" s="2">
        <f>AVERAGE(E17:E19)</f>
        <v>3073.3333333333335</v>
      </c>
      <c r="G18" s="2">
        <f>_xlfn.STDEV.P(E17:E19)</f>
        <v>22.425184255405547</v>
      </c>
      <c r="H18" s="2">
        <f>G18*100/F18</f>
        <v>0.72966976969866204</v>
      </c>
      <c r="I18" s="18"/>
      <c r="K18" s="5"/>
      <c r="L18" s="5"/>
    </row>
    <row r="19" spans="1:12" ht="12.6" customHeight="1" x14ac:dyDescent="0.3">
      <c r="A19" s="19"/>
      <c r="B19">
        <v>163</v>
      </c>
      <c r="C19" t="s">
        <v>18</v>
      </c>
      <c r="D19" t="s">
        <v>6</v>
      </c>
      <c r="E19">
        <v>3051</v>
      </c>
      <c r="I19" s="18"/>
      <c r="K19" s="5"/>
      <c r="L19" s="6"/>
    </row>
    <row r="20" spans="1:12" ht="12.6" customHeight="1" x14ac:dyDescent="0.3">
      <c r="A20" s="19"/>
      <c r="B20">
        <v>238</v>
      </c>
      <c r="C20" t="s">
        <v>16</v>
      </c>
      <c r="D20" t="s">
        <v>6</v>
      </c>
      <c r="E20">
        <f>20*146.7</f>
        <v>2934</v>
      </c>
      <c r="I20" s="4"/>
      <c r="K20" s="5"/>
      <c r="L20" s="6"/>
    </row>
    <row r="21" spans="1:12" ht="12.6" customHeight="1" x14ac:dyDescent="0.3">
      <c r="A21" s="19"/>
      <c r="B21">
        <v>238</v>
      </c>
      <c r="C21" t="s">
        <v>17</v>
      </c>
      <c r="D21" t="s">
        <v>6</v>
      </c>
      <c r="E21">
        <f>20*145.2</f>
        <v>2904</v>
      </c>
      <c r="F21" s="2">
        <f>AVERAGE(E20:E22)</f>
        <v>2898</v>
      </c>
      <c r="G21" s="2">
        <f>_xlfn.STDEV.P(E20:E22)</f>
        <v>32.12475680841802</v>
      </c>
      <c r="H21" s="2">
        <f>G21*100/F21</f>
        <v>1.1085147276886824</v>
      </c>
      <c r="I21" s="4"/>
      <c r="K21" s="5"/>
      <c r="L21" s="6"/>
    </row>
    <row r="22" spans="1:12" ht="12.6" customHeight="1" x14ac:dyDescent="0.3">
      <c r="A22" s="19"/>
      <c r="B22">
        <v>238</v>
      </c>
      <c r="C22" t="s">
        <v>18</v>
      </c>
      <c r="D22" t="s">
        <v>6</v>
      </c>
      <c r="E22">
        <f>20*142.8</f>
        <v>2856</v>
      </c>
      <c r="I22" s="4"/>
      <c r="K22" s="5"/>
      <c r="L22" s="6"/>
    </row>
    <row r="23" spans="1:12" ht="14.4" customHeight="1" x14ac:dyDescent="0.3">
      <c r="A23" s="20" t="s">
        <v>11</v>
      </c>
      <c r="B23" s="7">
        <v>0</v>
      </c>
      <c r="C23" s="7" t="s">
        <v>16</v>
      </c>
      <c r="D23" s="7" t="s">
        <v>9</v>
      </c>
      <c r="E23" s="7">
        <v>33.29</v>
      </c>
      <c r="F23" s="7"/>
      <c r="G23" s="7"/>
      <c r="H23" s="7"/>
      <c r="K23" s="5"/>
      <c r="L23" s="5"/>
    </row>
    <row r="24" spans="1:12" ht="14.4" x14ac:dyDescent="0.3">
      <c r="A24" s="20"/>
      <c r="B24" s="7">
        <v>0</v>
      </c>
      <c r="C24" s="7" t="s">
        <v>17</v>
      </c>
      <c r="D24" s="7" t="s">
        <v>9</v>
      </c>
      <c r="E24" s="7">
        <v>33.119999999999997</v>
      </c>
      <c r="F24" s="8">
        <f>AVERAGE(E23:E25)</f>
        <v>33.496666666666663</v>
      </c>
      <c r="G24" s="8">
        <f>_xlfn.STDEV.P(E23:E25)</f>
        <v>0.41827688862230444</v>
      </c>
      <c r="H24" s="8">
        <f>G24*100/F24</f>
        <v>1.2487119771787376</v>
      </c>
    </row>
    <row r="25" spans="1:12" ht="14.4" customHeight="1" x14ac:dyDescent="0.3">
      <c r="A25" s="20"/>
      <c r="B25" s="7">
        <v>0</v>
      </c>
      <c r="C25" s="7" t="s">
        <v>18</v>
      </c>
      <c r="D25" s="7" t="s">
        <v>9</v>
      </c>
      <c r="E25" s="7">
        <v>34.08</v>
      </c>
      <c r="F25" s="7"/>
      <c r="G25" s="7"/>
      <c r="H25" s="7"/>
    </row>
    <row r="26" spans="1:12" ht="14.4" x14ac:dyDescent="0.3">
      <c r="A26" s="20"/>
      <c r="B26" s="7">
        <v>46</v>
      </c>
      <c r="C26" s="7" t="s">
        <v>16</v>
      </c>
      <c r="D26" s="7" t="s">
        <v>9</v>
      </c>
      <c r="E26" s="7">
        <v>92.39</v>
      </c>
      <c r="F26" s="7"/>
      <c r="G26" s="7"/>
      <c r="H26" s="7"/>
    </row>
    <row r="27" spans="1:12" ht="14.4" x14ac:dyDescent="0.3">
      <c r="A27" s="20"/>
      <c r="B27" s="7">
        <v>46</v>
      </c>
      <c r="C27" s="7" t="s">
        <v>17</v>
      </c>
      <c r="D27" s="7" t="s">
        <v>9</v>
      </c>
      <c r="E27" s="7">
        <v>93.38</v>
      </c>
      <c r="F27" s="8">
        <f>AVERAGE(E26:E28)</f>
        <v>95.233333333333334</v>
      </c>
      <c r="G27" s="8">
        <f>_xlfn.STDEV.P(E26:E28)</f>
        <v>3.3455476216740534</v>
      </c>
      <c r="H27" s="8">
        <f>G27*100/F27</f>
        <v>3.5130006527903954</v>
      </c>
    </row>
    <row r="28" spans="1:12" ht="14.4" x14ac:dyDescent="0.3">
      <c r="A28" s="20"/>
      <c r="B28" s="7">
        <v>46</v>
      </c>
      <c r="C28" s="7" t="s">
        <v>18</v>
      </c>
      <c r="D28" s="7" t="s">
        <v>9</v>
      </c>
      <c r="E28" s="7">
        <v>99.93</v>
      </c>
      <c r="F28" s="7"/>
      <c r="G28" s="7"/>
      <c r="H28" s="7"/>
    </row>
    <row r="29" spans="1:12" ht="14.4" customHeight="1" x14ac:dyDescent="0.3">
      <c r="A29" s="20"/>
      <c r="B29" s="7">
        <v>74</v>
      </c>
      <c r="C29" s="7" t="s">
        <v>16</v>
      </c>
      <c r="D29" s="7" t="s">
        <v>9</v>
      </c>
      <c r="E29" s="7">
        <v>210.4</v>
      </c>
      <c r="F29" s="7"/>
      <c r="G29" s="7"/>
      <c r="H29" s="7"/>
    </row>
    <row r="30" spans="1:12" ht="14.4" x14ac:dyDescent="0.3">
      <c r="A30" s="20"/>
      <c r="B30" s="7">
        <v>74</v>
      </c>
      <c r="C30" s="7" t="s">
        <v>17</v>
      </c>
      <c r="D30" s="7" t="s">
        <v>9</v>
      </c>
      <c r="E30" s="7">
        <v>210.9</v>
      </c>
      <c r="F30" s="8">
        <f>AVERAGE(E29:E31)</f>
        <v>222.63333333333333</v>
      </c>
      <c r="G30" s="8">
        <f>_xlfn.STDEV.P(E29:E31)</f>
        <v>16.948221801186754</v>
      </c>
      <c r="H30" s="8">
        <f>G30*100/F30</f>
        <v>7.6126164700644212</v>
      </c>
    </row>
    <row r="31" spans="1:12" ht="14.4" x14ac:dyDescent="0.3">
      <c r="A31" s="20"/>
      <c r="B31" s="7">
        <v>74</v>
      </c>
      <c r="C31" s="7" t="s">
        <v>18</v>
      </c>
      <c r="D31" s="7" t="s">
        <v>9</v>
      </c>
      <c r="E31" s="7">
        <v>246.6</v>
      </c>
      <c r="F31" s="7"/>
      <c r="G31" s="7"/>
      <c r="H31" s="7"/>
    </row>
    <row r="32" spans="1:12" ht="14.4" x14ac:dyDescent="0.3">
      <c r="A32" s="20"/>
      <c r="B32" s="7">
        <v>94</v>
      </c>
      <c r="C32" s="7" t="s">
        <v>16</v>
      </c>
      <c r="D32" s="7" t="s">
        <v>9</v>
      </c>
      <c r="E32" s="7">
        <v>419.9</v>
      </c>
      <c r="F32" s="7"/>
      <c r="G32" s="7"/>
      <c r="H32" s="7"/>
    </row>
    <row r="33" spans="1:8" ht="14.4" x14ac:dyDescent="0.3">
      <c r="A33" s="20"/>
      <c r="B33" s="7">
        <v>94</v>
      </c>
      <c r="C33" s="7" t="s">
        <v>17</v>
      </c>
      <c r="D33" s="7" t="s">
        <v>9</v>
      </c>
      <c r="E33" s="7">
        <v>456.1</v>
      </c>
      <c r="F33" s="8">
        <f>AVERAGE(E32:E34)</f>
        <v>461.5333333333333</v>
      </c>
      <c r="G33" s="8">
        <f>_xlfn.STDEV.P(E32:E34)</f>
        <v>36.414862655545242</v>
      </c>
      <c r="H33" s="8">
        <f>G33*100/F33</f>
        <v>7.8899745750856374</v>
      </c>
    </row>
    <row r="34" spans="1:8" ht="14.4" x14ac:dyDescent="0.3">
      <c r="A34" s="20"/>
      <c r="B34" s="7">
        <v>94</v>
      </c>
      <c r="C34" s="7" t="s">
        <v>18</v>
      </c>
      <c r="D34" s="7" t="s">
        <v>9</v>
      </c>
      <c r="E34" s="7">
        <v>508.6</v>
      </c>
      <c r="F34" s="7"/>
      <c r="G34" s="7"/>
      <c r="H34" s="7"/>
    </row>
    <row r="35" spans="1:8" ht="14.4" customHeight="1" x14ac:dyDescent="0.3">
      <c r="A35" s="20"/>
      <c r="B35" s="7">
        <v>118</v>
      </c>
      <c r="C35" s="7" t="s">
        <v>16</v>
      </c>
      <c r="D35" s="7" t="s">
        <v>9</v>
      </c>
      <c r="E35" s="7">
        <v>866.7</v>
      </c>
      <c r="F35" s="7"/>
      <c r="G35" s="7"/>
      <c r="H35" s="7"/>
    </row>
    <row r="36" spans="1:8" ht="14.4" x14ac:dyDescent="0.3">
      <c r="A36" s="20"/>
      <c r="B36" s="7">
        <v>118</v>
      </c>
      <c r="C36" s="7" t="s">
        <v>17</v>
      </c>
      <c r="D36" s="7" t="s">
        <v>9</v>
      </c>
      <c r="E36" s="7">
        <v>830</v>
      </c>
      <c r="F36" s="8">
        <f>AVERAGE(E35:E37)</f>
        <v>881.30000000000007</v>
      </c>
      <c r="G36" s="8">
        <f>_xlfn.STDEV.P(E35:E37)</f>
        <v>48.947795319775828</v>
      </c>
      <c r="H36" s="8">
        <f>G36*100/F36</f>
        <v>5.5540446294991295</v>
      </c>
    </row>
    <row r="37" spans="1:8" ht="14.4" x14ac:dyDescent="0.3">
      <c r="A37" s="20"/>
      <c r="B37" s="7">
        <v>118</v>
      </c>
      <c r="C37" s="7" t="s">
        <v>18</v>
      </c>
      <c r="D37" s="7" t="s">
        <v>9</v>
      </c>
      <c r="E37" s="7">
        <v>947.2</v>
      </c>
      <c r="F37" s="7"/>
      <c r="G37" s="7"/>
      <c r="H37" s="7"/>
    </row>
    <row r="38" spans="1:8" ht="14.4" x14ac:dyDescent="0.3">
      <c r="A38" s="20"/>
      <c r="B38" s="7">
        <v>141</v>
      </c>
      <c r="C38" s="7" t="s">
        <v>16</v>
      </c>
      <c r="D38" s="7" t="s">
        <v>9</v>
      </c>
      <c r="E38" s="7">
        <v>1445</v>
      </c>
      <c r="F38" s="7"/>
      <c r="G38" s="7"/>
      <c r="H38" s="7"/>
    </row>
    <row r="39" spans="1:8" ht="14.4" x14ac:dyDescent="0.3">
      <c r="A39" s="20"/>
      <c r="B39" s="7">
        <v>141</v>
      </c>
      <c r="C39" s="7" t="s">
        <v>17</v>
      </c>
      <c r="D39" s="7" t="s">
        <v>9</v>
      </c>
      <c r="E39" s="7">
        <v>1453</v>
      </c>
      <c r="F39" s="8">
        <f>AVERAGE(E38:E40)</f>
        <v>1444.6666666666667</v>
      </c>
      <c r="G39" s="8">
        <f>_xlfn.STDEV.P(E38:E40)</f>
        <v>6.9442222186665532</v>
      </c>
      <c r="H39" s="8">
        <f>G39*100/F39</f>
        <v>0.4806798951545837</v>
      </c>
    </row>
    <row r="40" spans="1:8" ht="14.4" x14ac:dyDescent="0.3">
      <c r="A40" s="20"/>
      <c r="B40" s="7">
        <v>141</v>
      </c>
      <c r="C40" s="7" t="s">
        <v>18</v>
      </c>
      <c r="D40" s="7" t="s">
        <v>9</v>
      </c>
      <c r="E40" s="7">
        <v>1436</v>
      </c>
      <c r="F40" s="7"/>
      <c r="G40" s="7"/>
      <c r="H40" s="7"/>
    </row>
    <row r="41" spans="1:8" ht="14.4" x14ac:dyDescent="0.3">
      <c r="A41" s="20"/>
      <c r="B41" s="7">
        <v>151</v>
      </c>
      <c r="C41" s="7" t="s">
        <v>16</v>
      </c>
      <c r="D41" s="7" t="s">
        <v>9</v>
      </c>
      <c r="E41" s="7">
        <v>1634</v>
      </c>
      <c r="F41" s="7"/>
      <c r="G41" s="7"/>
      <c r="H41" s="7"/>
    </row>
    <row r="42" spans="1:8" ht="14.4" x14ac:dyDescent="0.3">
      <c r="A42" s="20"/>
      <c r="B42" s="7">
        <v>151</v>
      </c>
      <c r="C42" s="7" t="s">
        <v>17</v>
      </c>
      <c r="D42" s="7" t="s">
        <v>9</v>
      </c>
      <c r="E42" s="7">
        <v>1611</v>
      </c>
      <c r="F42" s="8">
        <f>AVERAGE(E41:E43)</f>
        <v>1608.3333333333333</v>
      </c>
      <c r="G42" s="8">
        <f>_xlfn.STDEV.P(E41:E43)</f>
        <v>22.125902367034787</v>
      </c>
      <c r="H42" s="8">
        <f>G42*100/F42</f>
        <v>1.3757037741161526</v>
      </c>
    </row>
    <row r="43" spans="1:8" ht="14.4" x14ac:dyDescent="0.3">
      <c r="A43" s="20"/>
      <c r="B43" s="7">
        <v>151</v>
      </c>
      <c r="C43" s="7" t="s">
        <v>18</v>
      </c>
      <c r="D43" s="7" t="s">
        <v>9</v>
      </c>
      <c r="E43" s="7">
        <v>1580</v>
      </c>
      <c r="F43" s="7"/>
      <c r="G43" s="7"/>
      <c r="H43" s="7"/>
    </row>
    <row r="44" spans="1:8" ht="14.4" x14ac:dyDescent="0.3">
      <c r="A44" s="20"/>
      <c r="B44" s="7">
        <v>165</v>
      </c>
      <c r="C44" s="7" t="s">
        <v>16</v>
      </c>
      <c r="D44" s="7" t="s">
        <v>9</v>
      </c>
      <c r="E44" s="7">
        <f>20*106</f>
        <v>2120</v>
      </c>
      <c r="F44" s="7"/>
      <c r="G44" s="7"/>
      <c r="H44" s="7"/>
    </row>
    <row r="45" spans="1:8" ht="14.4" x14ac:dyDescent="0.3">
      <c r="A45" s="20"/>
      <c r="B45" s="7">
        <v>165</v>
      </c>
      <c r="C45" s="7" t="s">
        <v>17</v>
      </c>
      <c r="D45" s="7" t="s">
        <v>9</v>
      </c>
      <c r="E45" s="7">
        <v>1928</v>
      </c>
      <c r="F45" s="8">
        <f>AVERAGE(E44:E46)</f>
        <v>1980.3333333333333</v>
      </c>
      <c r="G45" s="8">
        <f>_xlfn.STDEV.P(E44:E46)</f>
        <v>99.787552107242092</v>
      </c>
      <c r="H45" s="8">
        <f>G45*100/F45</f>
        <v>5.0389270547336524</v>
      </c>
    </row>
    <row r="46" spans="1:8" ht="14.4" x14ac:dyDescent="0.3">
      <c r="A46" s="20"/>
      <c r="B46" s="7">
        <v>165</v>
      </c>
      <c r="C46" s="7" t="s">
        <v>18</v>
      </c>
      <c r="D46" s="7" t="s">
        <v>9</v>
      </c>
      <c r="E46" s="7">
        <v>1893</v>
      </c>
      <c r="F46" s="7"/>
      <c r="G46" s="7"/>
      <c r="H46" s="7"/>
    </row>
    <row r="47" spans="1:8" ht="14.4" customHeight="1" x14ac:dyDescent="0.3">
      <c r="A47" s="20"/>
      <c r="B47" s="7">
        <v>196</v>
      </c>
      <c r="C47" s="7" t="s">
        <v>16</v>
      </c>
      <c r="D47" s="7" t="s">
        <v>9</v>
      </c>
      <c r="E47" s="7">
        <f>20*151.1</f>
        <v>3022</v>
      </c>
      <c r="F47" s="7"/>
      <c r="G47" s="7"/>
      <c r="H47" s="7"/>
    </row>
    <row r="48" spans="1:8" ht="14.4" x14ac:dyDescent="0.3">
      <c r="A48" s="20"/>
      <c r="B48" s="7">
        <v>196</v>
      </c>
      <c r="C48" s="7" t="s">
        <v>17</v>
      </c>
      <c r="D48" s="7" t="s">
        <v>9</v>
      </c>
      <c r="E48" s="7">
        <f>20*141.5</f>
        <v>2830</v>
      </c>
      <c r="F48" s="8">
        <f>AVERAGE(E47:E49)</f>
        <v>2983.3333333333335</v>
      </c>
      <c r="G48" s="8">
        <f>_xlfn.STDEV.P(E47:E49)</f>
        <v>112.77509575354934</v>
      </c>
      <c r="H48" s="8">
        <f>G48*100/F48</f>
        <v>3.7801708073815421</v>
      </c>
    </row>
    <row r="49" spans="1:9" ht="14.4" x14ac:dyDescent="0.3">
      <c r="A49" s="20"/>
      <c r="B49" s="7">
        <v>196</v>
      </c>
      <c r="C49" s="7" t="s">
        <v>18</v>
      </c>
      <c r="D49" s="7" t="s">
        <v>9</v>
      </c>
      <c r="E49" s="7">
        <f>154.9*20</f>
        <v>3098</v>
      </c>
      <c r="F49" s="7"/>
      <c r="G49" s="7"/>
      <c r="H49" s="7"/>
    </row>
    <row r="50" spans="1:9" ht="14.4" customHeight="1" x14ac:dyDescent="0.3">
      <c r="A50" s="20"/>
      <c r="B50" s="7">
        <f>196+47</f>
        <v>243</v>
      </c>
      <c r="C50" s="7" t="s">
        <v>16</v>
      </c>
      <c r="D50" s="7" t="s">
        <v>9</v>
      </c>
      <c r="E50" s="7">
        <f>20*154</f>
        <v>3080</v>
      </c>
      <c r="F50" s="7"/>
      <c r="G50" s="7"/>
      <c r="H50" s="7"/>
    </row>
    <row r="51" spans="1:9" ht="14.4" x14ac:dyDescent="0.3">
      <c r="A51" s="20"/>
      <c r="B51" s="7">
        <f t="shared" ref="B51:B52" si="0">196+47</f>
        <v>243</v>
      </c>
      <c r="C51" s="7" t="s">
        <v>17</v>
      </c>
      <c r="D51" s="7" t="s">
        <v>9</v>
      </c>
      <c r="E51" s="7">
        <f>20*151.7</f>
        <v>3034</v>
      </c>
      <c r="F51" s="8">
        <f>AVERAGE(E50:E52)</f>
        <v>2996</v>
      </c>
      <c r="G51" s="8">
        <f>_xlfn.STDEV.P(E50:E52)</f>
        <v>88.287409445892493</v>
      </c>
      <c r="H51" s="8">
        <f>G51*100/F51</f>
        <v>2.9468427718922729</v>
      </c>
    </row>
    <row r="52" spans="1:9" ht="14.4" x14ac:dyDescent="0.3">
      <c r="A52" s="20"/>
      <c r="B52" s="7">
        <f t="shared" si="0"/>
        <v>243</v>
      </c>
      <c r="C52" s="7" t="s">
        <v>18</v>
      </c>
      <c r="D52" s="7" t="s">
        <v>9</v>
      </c>
      <c r="E52" s="7">
        <f>143.7*20</f>
        <v>2874</v>
      </c>
      <c r="F52" s="7"/>
      <c r="G52" s="7"/>
      <c r="H52" s="7"/>
    </row>
    <row r="53" spans="1:9" ht="15" customHeight="1" x14ac:dyDescent="0.3">
      <c r="A53" s="19" t="s">
        <v>12</v>
      </c>
      <c r="B53">
        <v>47</v>
      </c>
      <c r="C53" t="s">
        <v>16</v>
      </c>
      <c r="D53" t="s">
        <v>13</v>
      </c>
      <c r="E53">
        <v>103</v>
      </c>
    </row>
    <row r="54" spans="1:9" ht="14.4" x14ac:dyDescent="0.3">
      <c r="A54" s="19"/>
      <c r="B54">
        <v>47</v>
      </c>
      <c r="C54" t="s">
        <v>17</v>
      </c>
      <c r="D54" t="s">
        <v>13</v>
      </c>
      <c r="E54">
        <v>110.6</v>
      </c>
      <c r="F54" s="2">
        <f>AVERAGE(E53:E55)</f>
        <v>111.33333333333333</v>
      </c>
      <c r="G54" s="2">
        <f>_xlfn.STDEV.P(E53:E55)</f>
        <v>7.1224215607396424</v>
      </c>
      <c r="H54" s="2">
        <f>G54*100/F54</f>
        <v>6.3973846353948884</v>
      </c>
    </row>
    <row r="55" spans="1:9" ht="14.4" customHeight="1" x14ac:dyDescent="0.3">
      <c r="A55" s="19"/>
      <c r="B55">
        <v>47</v>
      </c>
      <c r="C55" t="s">
        <v>18</v>
      </c>
      <c r="D55" t="s">
        <v>13</v>
      </c>
      <c r="E55">
        <v>120.4</v>
      </c>
    </row>
    <row r="56" spans="1:9" ht="14.4" x14ac:dyDescent="0.3">
      <c r="A56" s="19"/>
      <c r="B56">
        <v>70</v>
      </c>
      <c r="C56" t="s">
        <v>16</v>
      </c>
      <c r="D56" t="s">
        <v>13</v>
      </c>
      <c r="E56">
        <v>219.4</v>
      </c>
    </row>
    <row r="57" spans="1:9" ht="14.4" x14ac:dyDescent="0.3">
      <c r="A57" s="19"/>
      <c r="B57">
        <v>70</v>
      </c>
      <c r="C57" t="s">
        <v>17</v>
      </c>
      <c r="D57" t="s">
        <v>13</v>
      </c>
      <c r="E57">
        <v>257.3</v>
      </c>
      <c r="F57" s="2">
        <f>AVERAGE(E56:E58)</f>
        <v>256.60000000000002</v>
      </c>
      <c r="G57" s="2">
        <f>_xlfn.STDEV.P(E56:E58)</f>
        <v>30.091970136012243</v>
      </c>
      <c r="H57" s="2">
        <f>G57*100/F57</f>
        <v>11.727190232272891</v>
      </c>
    </row>
    <row r="58" spans="1:9" ht="14.4" x14ac:dyDescent="0.3">
      <c r="A58" s="19"/>
      <c r="B58">
        <v>70</v>
      </c>
      <c r="C58" t="s">
        <v>18</v>
      </c>
      <c r="D58" t="s">
        <v>13</v>
      </c>
      <c r="E58">
        <v>293.10000000000002</v>
      </c>
    </row>
    <row r="59" spans="1:9" ht="14.4" customHeight="1" x14ac:dyDescent="0.3">
      <c r="A59" s="19"/>
      <c r="B59">
        <v>91</v>
      </c>
      <c r="C59" t="s">
        <v>16</v>
      </c>
      <c r="D59" t="s">
        <v>13</v>
      </c>
      <c r="E59">
        <v>555.20000000000005</v>
      </c>
      <c r="I59" s="17" t="s">
        <v>8</v>
      </c>
    </row>
    <row r="60" spans="1:9" ht="14.4" x14ac:dyDescent="0.3">
      <c r="A60" s="19"/>
      <c r="B60">
        <v>91</v>
      </c>
      <c r="C60" t="s">
        <v>17</v>
      </c>
      <c r="D60" t="s">
        <v>13</v>
      </c>
      <c r="E60">
        <v>642.70000000000005</v>
      </c>
      <c r="F60" s="2">
        <f>AVERAGE(E59:E61)</f>
        <v>619.13333333333333</v>
      </c>
      <c r="G60" s="2">
        <f>_xlfn.STDEV.P(E59:E61)</f>
        <v>45.724999240629344</v>
      </c>
      <c r="H60" s="2">
        <f>G60*100/F60</f>
        <v>7.3853234479319489</v>
      </c>
      <c r="I60" s="17"/>
    </row>
    <row r="61" spans="1:9" ht="14.4" x14ac:dyDescent="0.3">
      <c r="A61" s="19"/>
      <c r="B61">
        <v>91</v>
      </c>
      <c r="C61" t="s">
        <v>18</v>
      </c>
      <c r="D61" t="s">
        <v>13</v>
      </c>
      <c r="E61">
        <v>659.5</v>
      </c>
      <c r="I61" s="17"/>
    </row>
    <row r="62" spans="1:9" ht="14.4" x14ac:dyDescent="0.3">
      <c r="A62" s="19"/>
      <c r="B62">
        <v>114</v>
      </c>
      <c r="C62" t="s">
        <v>16</v>
      </c>
      <c r="D62" t="s">
        <v>13</v>
      </c>
      <c r="E62">
        <v>1134</v>
      </c>
    </row>
    <row r="63" spans="1:9" ht="14.4" x14ac:dyDescent="0.3">
      <c r="A63" s="19"/>
      <c r="B63">
        <v>114</v>
      </c>
      <c r="C63" t="s">
        <v>17</v>
      </c>
      <c r="D63" t="s">
        <v>13</v>
      </c>
      <c r="E63">
        <v>1221</v>
      </c>
      <c r="F63" s="2">
        <f>AVERAGE(E62:E64)</f>
        <v>1186</v>
      </c>
      <c r="G63" s="2">
        <f>_xlfn.STDEV.P(E62:E64)</f>
        <v>37.49666651850535</v>
      </c>
      <c r="H63" s="2">
        <f>G63*100/F63</f>
        <v>3.1616076322517159</v>
      </c>
    </row>
    <row r="64" spans="1:9" ht="14.4" x14ac:dyDescent="0.3">
      <c r="A64" s="19"/>
      <c r="B64">
        <v>114</v>
      </c>
      <c r="C64" t="s">
        <v>18</v>
      </c>
      <c r="D64" t="s">
        <v>13</v>
      </c>
      <c r="E64">
        <v>1203</v>
      </c>
    </row>
    <row r="65" spans="1:9" ht="14.4" x14ac:dyDescent="0.3">
      <c r="A65" s="19"/>
      <c r="B65">
        <v>122</v>
      </c>
      <c r="C65" t="s">
        <v>16</v>
      </c>
      <c r="D65" t="s">
        <v>13</v>
      </c>
      <c r="E65">
        <v>1390</v>
      </c>
      <c r="I65" s="17" t="s">
        <v>8</v>
      </c>
    </row>
    <row r="66" spans="1:9" ht="14.4" x14ac:dyDescent="0.3">
      <c r="A66" s="19"/>
      <c r="B66">
        <v>122</v>
      </c>
      <c r="C66" t="s">
        <v>17</v>
      </c>
      <c r="D66" t="s">
        <v>13</v>
      </c>
      <c r="E66">
        <v>1424</v>
      </c>
      <c r="F66" s="2">
        <f>AVERAGE(E65:E67)</f>
        <v>1400.6666666666667</v>
      </c>
      <c r="G66" s="2">
        <f>_xlfn.STDEV.P(E65:E67)</f>
        <v>16.519348924485158</v>
      </c>
      <c r="H66" s="2">
        <f>G66*100/F66</f>
        <v>1.1793918794254039</v>
      </c>
      <c r="I66" s="17"/>
    </row>
    <row r="67" spans="1:9" ht="14.4" x14ac:dyDescent="0.3">
      <c r="A67" s="19"/>
      <c r="B67">
        <v>122</v>
      </c>
      <c r="C67" t="s">
        <v>18</v>
      </c>
      <c r="D67" t="s">
        <v>13</v>
      </c>
      <c r="E67">
        <v>1388</v>
      </c>
      <c r="I67" s="17"/>
    </row>
    <row r="68" spans="1:9" ht="14.4" x14ac:dyDescent="0.3">
      <c r="A68" s="19"/>
      <c r="B68">
        <v>142</v>
      </c>
      <c r="C68" t="s">
        <v>16</v>
      </c>
      <c r="D68" t="s">
        <v>13</v>
      </c>
      <c r="E68" s="11">
        <f>20*95.39</f>
        <v>1907.8</v>
      </c>
    </row>
    <row r="69" spans="1:9" ht="14.4" x14ac:dyDescent="0.3">
      <c r="A69" s="19"/>
      <c r="B69">
        <v>142</v>
      </c>
      <c r="C69" t="s">
        <v>17</v>
      </c>
      <c r="D69" t="s">
        <v>13</v>
      </c>
      <c r="E69" s="11">
        <f>20*97.79</f>
        <v>1955.8000000000002</v>
      </c>
      <c r="F69" s="2">
        <f>AVERAGE(E68:E70)</f>
        <v>1932.6666666666667</v>
      </c>
      <c r="G69" s="2">
        <f>_xlfn.STDEV.P(E68:E70)</f>
        <v>19.634210506720812</v>
      </c>
      <c r="H69" s="2">
        <f>G69*100/F69</f>
        <v>1.015912927219083</v>
      </c>
    </row>
    <row r="70" spans="1:9" ht="14.4" x14ac:dyDescent="0.3">
      <c r="A70" s="19"/>
      <c r="B70">
        <v>142</v>
      </c>
      <c r="C70" t="s">
        <v>18</v>
      </c>
      <c r="D70" t="s">
        <v>13</v>
      </c>
      <c r="E70" s="11">
        <f>20*96.72</f>
        <v>1934.4</v>
      </c>
    </row>
    <row r="71" spans="1:9" ht="14.4" x14ac:dyDescent="0.3">
      <c r="A71" s="19"/>
      <c r="B71">
        <f>7*24</f>
        <v>168</v>
      </c>
      <c r="C71" t="s">
        <v>16</v>
      </c>
      <c r="D71" t="s">
        <v>13</v>
      </c>
      <c r="E71" s="11">
        <f>20*129.9</f>
        <v>2598</v>
      </c>
    </row>
    <row r="72" spans="1:9" ht="14.4" x14ac:dyDescent="0.3">
      <c r="A72" s="19"/>
      <c r="B72">
        <f t="shared" ref="B72:B73" si="1">7*24</f>
        <v>168</v>
      </c>
      <c r="C72" t="s">
        <v>17</v>
      </c>
      <c r="D72" t="s">
        <v>13</v>
      </c>
      <c r="E72" s="11">
        <f>20*132.5</f>
        <v>2650</v>
      </c>
      <c r="F72" s="2">
        <f>AVERAGE(E71:E73)</f>
        <v>2615.3333333333335</v>
      </c>
      <c r="G72" s="2">
        <f>_xlfn.STDEV.P(E71:E73)</f>
        <v>24.513035081133651</v>
      </c>
      <c r="H72" s="2">
        <f>G72*100/F72</f>
        <v>0.93728148411166146</v>
      </c>
    </row>
    <row r="73" spans="1:9" ht="14.4" x14ac:dyDescent="0.3">
      <c r="A73" s="19"/>
      <c r="B73">
        <f t="shared" si="1"/>
        <v>168</v>
      </c>
      <c r="C73" t="s">
        <v>18</v>
      </c>
      <c r="D73" t="s">
        <v>13</v>
      </c>
      <c r="E73" s="11">
        <f>20*129.9</f>
        <v>2598</v>
      </c>
    </row>
    <row r="74" spans="1:9" ht="14.4" x14ac:dyDescent="0.3">
      <c r="A74" s="19"/>
      <c r="B74">
        <v>192</v>
      </c>
      <c r="C74" t="s">
        <v>16</v>
      </c>
      <c r="D74" t="s">
        <v>13</v>
      </c>
      <c r="E74" s="11">
        <f>20*156.1</f>
        <v>3122</v>
      </c>
      <c r="I74" s="17" t="s">
        <v>8</v>
      </c>
    </row>
    <row r="75" spans="1:9" ht="14.4" x14ac:dyDescent="0.3">
      <c r="A75" s="19"/>
      <c r="B75">
        <v>192</v>
      </c>
      <c r="C75" t="s">
        <v>17</v>
      </c>
      <c r="D75" t="s">
        <v>13</v>
      </c>
      <c r="E75" s="11">
        <f>20*152.3</f>
        <v>3046</v>
      </c>
      <c r="F75" s="2">
        <f>AVERAGE(E74:E76)</f>
        <v>3120.6666666666665</v>
      </c>
      <c r="G75" s="2">
        <f>_xlfn.STDEV.P(E74:E76)</f>
        <v>60.428102365998193</v>
      </c>
      <c r="H75" s="2">
        <f>G75*100/F75</f>
        <v>1.9363843954069064</v>
      </c>
      <c r="I75" s="17"/>
    </row>
    <row r="76" spans="1:9" ht="14.4" x14ac:dyDescent="0.3">
      <c r="A76" s="19"/>
      <c r="B76">
        <v>192</v>
      </c>
      <c r="C76" t="s">
        <v>18</v>
      </c>
      <c r="D76" t="s">
        <v>13</v>
      </c>
      <c r="E76" s="11">
        <f>20*159.7</f>
        <v>3194</v>
      </c>
      <c r="I76" s="17"/>
    </row>
    <row r="77" spans="1:9" ht="14.4" x14ac:dyDescent="0.3">
      <c r="A77" s="19"/>
      <c r="B77">
        <v>240</v>
      </c>
      <c r="C77" t="s">
        <v>16</v>
      </c>
      <c r="D77" t="s">
        <v>13</v>
      </c>
      <c r="E77" s="11">
        <f>143.2*20</f>
        <v>2864</v>
      </c>
    </row>
    <row r="78" spans="1:9" ht="14.4" x14ac:dyDescent="0.3">
      <c r="A78" s="19"/>
      <c r="B78">
        <v>240</v>
      </c>
      <c r="C78" t="s">
        <v>17</v>
      </c>
      <c r="D78" t="s">
        <v>13</v>
      </c>
      <c r="E78" s="11">
        <f>20*141</f>
        <v>2820</v>
      </c>
      <c r="F78" s="2">
        <f>AVERAGE(E77:E79)</f>
        <v>2823.3333333333335</v>
      </c>
      <c r="G78" s="2">
        <f>_xlfn.STDEV.P(E77:E79)</f>
        <v>31.930480039541461</v>
      </c>
      <c r="H78" s="2">
        <f>G78*100/F78</f>
        <v>1.130949706241138</v>
      </c>
    </row>
    <row r="79" spans="1:9" ht="14.4" x14ac:dyDescent="0.3">
      <c r="A79" s="19"/>
      <c r="B79">
        <v>240</v>
      </c>
      <c r="C79" t="s">
        <v>18</v>
      </c>
      <c r="D79" t="s">
        <v>13</v>
      </c>
      <c r="E79" s="11">
        <f>20*139.3</f>
        <v>2786</v>
      </c>
    </row>
    <row r="80" spans="1:9" ht="14.4" x14ac:dyDescent="0.3">
      <c r="A80" s="19"/>
      <c r="B80">
        <v>263</v>
      </c>
      <c r="C80" t="s">
        <v>16</v>
      </c>
      <c r="D80" t="s">
        <v>13</v>
      </c>
      <c r="E80" s="11">
        <f>20*145.1</f>
        <v>2902</v>
      </c>
    </row>
    <row r="81" spans="1:8" ht="14.4" x14ac:dyDescent="0.3">
      <c r="A81" s="19"/>
      <c r="B81">
        <v>263</v>
      </c>
      <c r="C81" t="s">
        <v>17</v>
      </c>
      <c r="D81" t="s">
        <v>13</v>
      </c>
      <c r="E81" s="11">
        <f>20*145.6</f>
        <v>2912</v>
      </c>
      <c r="F81" s="2">
        <f>AVERAGE(E80:E82)</f>
        <v>2858</v>
      </c>
      <c r="G81" s="2">
        <f>_xlfn.STDEV.P(E80:E82)</f>
        <v>69.416616646640648</v>
      </c>
      <c r="H81" s="2">
        <f>G81*100/F81</f>
        <v>2.4288529267543963</v>
      </c>
    </row>
    <row r="82" spans="1:8" ht="14.4" x14ac:dyDescent="0.3">
      <c r="A82" s="19"/>
      <c r="B82">
        <v>263</v>
      </c>
      <c r="C82" t="s">
        <v>18</v>
      </c>
      <c r="D82" t="s">
        <v>13</v>
      </c>
      <c r="E82" s="11">
        <f>20*138</f>
        <v>2760</v>
      </c>
    </row>
    <row r="83" spans="1:8" ht="14.4" customHeight="1" x14ac:dyDescent="0.3">
      <c r="A83" s="20" t="s">
        <v>14</v>
      </c>
      <c r="B83" s="7">
        <v>48</v>
      </c>
      <c r="C83" s="7" t="s">
        <v>16</v>
      </c>
      <c r="D83" s="7" t="s">
        <v>15</v>
      </c>
      <c r="E83" s="7">
        <v>88.66</v>
      </c>
      <c r="F83" s="7"/>
      <c r="G83" s="7"/>
      <c r="H83" s="7"/>
    </row>
    <row r="84" spans="1:8" ht="14.4" x14ac:dyDescent="0.3">
      <c r="A84" s="20"/>
      <c r="B84" s="7">
        <v>48</v>
      </c>
      <c r="C84" s="7" t="s">
        <v>17</v>
      </c>
      <c r="D84" s="7" t="s">
        <v>15</v>
      </c>
      <c r="E84" s="7">
        <v>98.83</v>
      </c>
      <c r="F84" s="12">
        <f>AVERAGE(E83:E85)</f>
        <v>90.92</v>
      </c>
      <c r="G84" s="13">
        <f>_xlfn.STDEV.P(E83:E85)</f>
        <v>5.7618920503598474</v>
      </c>
      <c r="H84" s="13">
        <f>G84*100/F84</f>
        <v>6.3373207769026036</v>
      </c>
    </row>
    <row r="85" spans="1:8" ht="14.4" customHeight="1" x14ac:dyDescent="0.3">
      <c r="A85" s="20"/>
      <c r="B85" s="7">
        <v>48</v>
      </c>
      <c r="C85" s="7" t="s">
        <v>18</v>
      </c>
      <c r="D85" s="7" t="s">
        <v>15</v>
      </c>
      <c r="E85" s="7">
        <v>85.27</v>
      </c>
      <c r="F85" s="7"/>
      <c r="G85" s="7"/>
      <c r="H85" s="7"/>
    </row>
    <row r="86" spans="1:8" ht="14.4" x14ac:dyDescent="0.3">
      <c r="A86" s="20"/>
      <c r="B86" s="7">
        <v>48</v>
      </c>
      <c r="C86" s="7" t="s">
        <v>19</v>
      </c>
      <c r="D86" s="7" t="s">
        <v>15</v>
      </c>
      <c r="E86" s="7"/>
      <c r="F86" s="7"/>
      <c r="G86" s="7"/>
      <c r="H86" s="7"/>
    </row>
    <row r="87" spans="1:8" ht="14.4" x14ac:dyDescent="0.3">
      <c r="A87" s="20"/>
      <c r="B87" s="7">
        <v>48</v>
      </c>
      <c r="C87" s="7" t="s">
        <v>20</v>
      </c>
      <c r="D87" s="7" t="s">
        <v>15</v>
      </c>
      <c r="E87" s="7"/>
      <c r="F87" s="8"/>
      <c r="G87" s="8"/>
      <c r="H87" s="8"/>
    </row>
    <row r="88" spans="1:8" ht="14.4" x14ac:dyDescent="0.3">
      <c r="A88" s="20"/>
      <c r="B88" s="7">
        <v>48</v>
      </c>
      <c r="C88" s="7" t="s">
        <v>21</v>
      </c>
      <c r="D88" s="7" t="s">
        <v>15</v>
      </c>
      <c r="E88" s="7"/>
      <c r="F88" s="7"/>
      <c r="G88" s="7"/>
      <c r="H88" s="7"/>
    </row>
    <row r="89" spans="1:8" ht="14.4" x14ac:dyDescent="0.3">
      <c r="A89" s="20"/>
      <c r="B89" s="7">
        <v>48</v>
      </c>
      <c r="C89" s="7" t="s">
        <v>22</v>
      </c>
      <c r="D89" s="7" t="s">
        <v>15</v>
      </c>
      <c r="E89" s="7"/>
      <c r="F89" s="7"/>
      <c r="G89" s="7"/>
      <c r="H89" s="7"/>
    </row>
    <row r="90" spans="1:8" ht="14.4" x14ac:dyDescent="0.3">
      <c r="A90" s="20"/>
      <c r="B90" s="7">
        <v>48</v>
      </c>
      <c r="C90" s="7" t="s">
        <v>23</v>
      </c>
      <c r="D90" s="7" t="s">
        <v>15</v>
      </c>
      <c r="E90" s="7"/>
      <c r="F90" s="8"/>
      <c r="G90" s="8"/>
      <c r="H90" s="8"/>
    </row>
    <row r="91" spans="1:8" ht="14.4" x14ac:dyDescent="0.3">
      <c r="A91" s="20"/>
      <c r="B91" s="7">
        <v>48</v>
      </c>
      <c r="C91" s="7" t="s">
        <v>24</v>
      </c>
      <c r="D91" s="7" t="s">
        <v>15</v>
      </c>
      <c r="E91" s="7"/>
      <c r="F91" s="7"/>
      <c r="G91" s="7"/>
      <c r="H91" s="7"/>
    </row>
    <row r="92" spans="1:8" ht="14.4" x14ac:dyDescent="0.3">
      <c r="A92" s="20"/>
      <c r="B92" s="7">
        <v>71</v>
      </c>
      <c r="C92" s="7" t="s">
        <v>16</v>
      </c>
      <c r="D92" s="7" t="s">
        <v>15</v>
      </c>
      <c r="E92" s="7">
        <v>259.7</v>
      </c>
      <c r="F92" s="7"/>
      <c r="G92" s="7"/>
      <c r="H92" s="7"/>
    </row>
    <row r="93" spans="1:8" ht="14.4" x14ac:dyDescent="0.3">
      <c r="A93" s="20"/>
      <c r="B93" s="7">
        <v>71</v>
      </c>
      <c r="C93" s="7" t="s">
        <v>17</v>
      </c>
      <c r="D93" s="7" t="s">
        <v>15</v>
      </c>
      <c r="E93" s="7">
        <v>297.5</v>
      </c>
      <c r="F93" s="12">
        <f>AVERAGE(E92:E94)</f>
        <v>279.60000000000002</v>
      </c>
      <c r="G93" s="13">
        <f>_xlfn.STDEV.P(E92:E94)</f>
        <v>15.496451206647288</v>
      </c>
      <c r="H93" s="13">
        <f>G93*100/F93</f>
        <v>5.5423645231213472</v>
      </c>
    </row>
    <row r="94" spans="1:8" ht="14.4" x14ac:dyDescent="0.3">
      <c r="A94" s="20"/>
      <c r="B94" s="7">
        <v>71</v>
      </c>
      <c r="C94" s="7" t="s">
        <v>18</v>
      </c>
      <c r="D94" s="7" t="s">
        <v>15</v>
      </c>
      <c r="E94" s="7">
        <v>281.60000000000002</v>
      </c>
      <c r="F94" s="7"/>
      <c r="G94" s="7"/>
      <c r="H94" s="7"/>
    </row>
    <row r="95" spans="1:8" ht="14.4" x14ac:dyDescent="0.3">
      <c r="A95" s="20"/>
      <c r="B95" s="7">
        <v>71</v>
      </c>
      <c r="C95" s="7" t="s">
        <v>19</v>
      </c>
      <c r="D95" s="7" t="s">
        <v>15</v>
      </c>
      <c r="E95" s="7"/>
      <c r="F95" s="7"/>
      <c r="G95" s="7"/>
      <c r="H95" s="7"/>
    </row>
    <row r="96" spans="1:8" ht="14.4" x14ac:dyDescent="0.3">
      <c r="A96" s="20"/>
      <c r="B96" s="7">
        <v>71</v>
      </c>
      <c r="C96" s="7" t="s">
        <v>20</v>
      </c>
      <c r="D96" s="7" t="s">
        <v>15</v>
      </c>
      <c r="E96" s="7"/>
      <c r="F96" s="8"/>
      <c r="G96" s="8"/>
      <c r="H96" s="8"/>
    </row>
    <row r="97" spans="1:9" ht="14.4" x14ac:dyDescent="0.3">
      <c r="A97" s="20"/>
      <c r="B97" s="7">
        <v>71</v>
      </c>
      <c r="C97" s="7" t="s">
        <v>21</v>
      </c>
      <c r="D97" s="7" t="s">
        <v>15</v>
      </c>
      <c r="E97" s="7"/>
      <c r="F97" s="7"/>
      <c r="G97" s="7"/>
      <c r="H97" s="7"/>
    </row>
    <row r="98" spans="1:9" ht="14.4" x14ac:dyDescent="0.3">
      <c r="A98" s="20"/>
      <c r="B98" s="7">
        <v>71</v>
      </c>
      <c r="C98" s="7" t="s">
        <v>22</v>
      </c>
      <c r="D98" s="7" t="s">
        <v>15</v>
      </c>
      <c r="E98" s="7"/>
      <c r="F98" s="7"/>
      <c r="G98" s="7"/>
      <c r="H98" s="7"/>
    </row>
    <row r="99" spans="1:9" ht="14.4" x14ac:dyDescent="0.3">
      <c r="A99" s="20"/>
      <c r="B99" s="7">
        <v>71</v>
      </c>
      <c r="C99" s="7" t="s">
        <v>23</v>
      </c>
      <c r="D99" s="7" t="s">
        <v>15</v>
      </c>
      <c r="E99" s="7"/>
      <c r="F99" s="8"/>
      <c r="G99" s="8"/>
      <c r="H99" s="8"/>
    </row>
    <row r="100" spans="1:9" ht="14.4" x14ac:dyDescent="0.3">
      <c r="A100" s="20"/>
      <c r="B100" s="7">
        <v>71</v>
      </c>
      <c r="C100" s="7" t="s">
        <v>24</v>
      </c>
      <c r="D100" s="7" t="s">
        <v>15</v>
      </c>
      <c r="E100" s="7"/>
      <c r="F100" s="7"/>
      <c r="G100" s="7"/>
      <c r="H100" s="7"/>
    </row>
    <row r="101" spans="1:9" ht="14.4" customHeight="1" x14ac:dyDescent="0.3">
      <c r="A101" s="20"/>
      <c r="B101" s="7">
        <v>95</v>
      </c>
      <c r="C101" s="7" t="s">
        <v>16</v>
      </c>
      <c r="D101" s="7" t="s">
        <v>15</v>
      </c>
      <c r="E101" s="7">
        <v>702.6</v>
      </c>
      <c r="F101" s="7"/>
      <c r="G101" s="7"/>
      <c r="H101" s="7"/>
      <c r="I101" s="17" t="s">
        <v>8</v>
      </c>
    </row>
    <row r="102" spans="1:9" ht="14.4" x14ac:dyDescent="0.3">
      <c r="A102" s="20"/>
      <c r="B102" s="7">
        <v>95</v>
      </c>
      <c r="C102" s="7" t="s">
        <v>17</v>
      </c>
      <c r="D102" s="7" t="s">
        <v>15</v>
      </c>
      <c r="E102" s="7">
        <v>847.3</v>
      </c>
      <c r="F102" s="13">
        <f>AVERAGE(E101:E103)</f>
        <v>805.76666666666677</v>
      </c>
      <c r="G102" s="13">
        <f>_xlfn.STDEV.P(E101:E103)</f>
        <v>73.409914558971877</v>
      </c>
      <c r="H102" s="13">
        <f>G102*100/F102</f>
        <v>9.1105673138177146</v>
      </c>
      <c r="I102" s="17"/>
    </row>
    <row r="103" spans="1:9" ht="14.4" x14ac:dyDescent="0.3">
      <c r="A103" s="20"/>
      <c r="B103" s="7">
        <v>95</v>
      </c>
      <c r="C103" s="7" t="s">
        <v>18</v>
      </c>
      <c r="D103" s="7" t="s">
        <v>15</v>
      </c>
      <c r="E103" s="7">
        <v>867.4</v>
      </c>
      <c r="F103" s="7"/>
      <c r="G103" s="7"/>
      <c r="H103" s="7"/>
      <c r="I103" s="17"/>
    </row>
    <row r="104" spans="1:9" ht="14.4" x14ac:dyDescent="0.3">
      <c r="A104" s="20"/>
      <c r="B104" s="7">
        <v>95</v>
      </c>
      <c r="C104" s="7" t="s">
        <v>19</v>
      </c>
      <c r="D104" s="7" t="s">
        <v>15</v>
      </c>
      <c r="E104" s="7"/>
      <c r="F104" s="7"/>
      <c r="G104" s="7"/>
      <c r="H104" s="7"/>
      <c r="I104" s="17"/>
    </row>
    <row r="105" spans="1:9" ht="14.4" x14ac:dyDescent="0.3">
      <c r="A105" s="20"/>
      <c r="B105" s="7">
        <v>95</v>
      </c>
      <c r="C105" s="7" t="s">
        <v>20</v>
      </c>
      <c r="D105" s="7" t="s">
        <v>15</v>
      </c>
      <c r="E105" s="7"/>
      <c r="F105" s="8"/>
      <c r="G105" s="8"/>
      <c r="H105" s="8"/>
      <c r="I105" s="17"/>
    </row>
    <row r="106" spans="1:9" ht="14.4" x14ac:dyDescent="0.3">
      <c r="A106" s="20"/>
      <c r="B106" s="7">
        <v>95</v>
      </c>
      <c r="C106" s="7" t="s">
        <v>21</v>
      </c>
      <c r="D106" s="7" t="s">
        <v>15</v>
      </c>
      <c r="E106" s="7"/>
      <c r="F106" s="7"/>
      <c r="G106" s="7"/>
      <c r="H106" s="7"/>
      <c r="I106" s="17"/>
    </row>
    <row r="107" spans="1:9" ht="14.4" x14ac:dyDescent="0.3">
      <c r="A107" s="20"/>
      <c r="B107" s="7">
        <v>95</v>
      </c>
      <c r="C107" s="7" t="s">
        <v>22</v>
      </c>
      <c r="D107" s="7" t="s">
        <v>15</v>
      </c>
      <c r="E107" s="7"/>
      <c r="F107" s="7"/>
      <c r="G107" s="7"/>
      <c r="H107" s="7"/>
      <c r="I107" s="17"/>
    </row>
    <row r="108" spans="1:9" ht="14.4" x14ac:dyDescent="0.3">
      <c r="A108" s="20"/>
      <c r="B108" s="7">
        <v>95</v>
      </c>
      <c r="C108" s="7" t="s">
        <v>23</v>
      </c>
      <c r="D108" s="7" t="s">
        <v>15</v>
      </c>
      <c r="E108" s="7"/>
      <c r="F108" s="8"/>
      <c r="G108" s="8"/>
      <c r="H108" s="8"/>
      <c r="I108" s="17"/>
    </row>
    <row r="109" spans="1:9" ht="14.4" x14ac:dyDescent="0.3">
      <c r="A109" s="20"/>
      <c r="B109" s="7">
        <v>95</v>
      </c>
      <c r="C109" s="7" t="s">
        <v>24</v>
      </c>
      <c r="D109" s="7" t="s">
        <v>15</v>
      </c>
      <c r="E109" s="7"/>
      <c r="F109" s="7"/>
      <c r="G109" s="7"/>
      <c r="H109" s="7"/>
      <c r="I109" s="17"/>
    </row>
    <row r="110" spans="1:9" ht="14.4" x14ac:dyDescent="0.3">
      <c r="A110" s="20"/>
      <c r="B110" s="7">
        <v>112</v>
      </c>
      <c r="C110" s="7" t="s">
        <v>16</v>
      </c>
      <c r="D110" s="7" t="s">
        <v>15</v>
      </c>
      <c r="E110" s="7">
        <v>1129</v>
      </c>
      <c r="F110" s="7"/>
      <c r="G110" s="7"/>
      <c r="H110" s="7"/>
    </row>
    <row r="111" spans="1:9" ht="14.4" x14ac:dyDescent="0.3">
      <c r="A111" s="20"/>
      <c r="B111" s="7">
        <v>112</v>
      </c>
      <c r="C111" s="7" t="s">
        <v>17</v>
      </c>
      <c r="D111" s="7" t="s">
        <v>15</v>
      </c>
      <c r="E111" s="7">
        <v>1306</v>
      </c>
      <c r="F111" s="8">
        <f>AVERAGE(E110:E112)</f>
        <v>1141.1000000000001</v>
      </c>
      <c r="G111" s="8">
        <f>_xlfn.STDEV.P(E110:E112)</f>
        <v>129.98238342175341</v>
      </c>
      <c r="H111" s="8">
        <f>G111*100/F111</f>
        <v>11.390972169113434</v>
      </c>
    </row>
    <row r="112" spans="1:9" ht="14.4" x14ac:dyDescent="0.3">
      <c r="A112" s="20"/>
      <c r="B112" s="7">
        <v>112</v>
      </c>
      <c r="C112" s="7" t="s">
        <v>18</v>
      </c>
      <c r="D112" s="7" t="s">
        <v>15</v>
      </c>
      <c r="E112" s="7">
        <v>988.3</v>
      </c>
      <c r="F112" s="7"/>
      <c r="G112" s="7"/>
      <c r="H112" s="7"/>
    </row>
    <row r="113" spans="1:18" ht="14.4" customHeight="1" x14ac:dyDescent="0.3">
      <c r="A113" s="20"/>
      <c r="B113" s="7">
        <v>194</v>
      </c>
      <c r="C113" s="7" t="s">
        <v>16</v>
      </c>
      <c r="D113" s="7" t="s">
        <v>15</v>
      </c>
      <c r="E113" s="7">
        <v>2742</v>
      </c>
      <c r="F113" s="7"/>
      <c r="G113" s="7"/>
      <c r="H113" s="7"/>
      <c r="I113" s="17" t="s">
        <v>8</v>
      </c>
    </row>
    <row r="114" spans="1:18" ht="14.4" x14ac:dyDescent="0.3">
      <c r="A114" s="20"/>
      <c r="B114" s="7">
        <v>194</v>
      </c>
      <c r="C114" s="7" t="s">
        <v>17</v>
      </c>
      <c r="D114" s="7" t="s">
        <v>15</v>
      </c>
      <c r="E114" s="7">
        <v>2786</v>
      </c>
      <c r="F114" s="8">
        <f>AVERAGE(E113:E115)</f>
        <v>2802.6666666666665</v>
      </c>
      <c r="G114" s="8">
        <f>_xlfn.STDEV.P(E113:E115)</f>
        <v>57.557700517731675</v>
      </c>
      <c r="H114" s="8">
        <f>G114*100/F114</f>
        <v>2.0536762791769152</v>
      </c>
      <c r="I114" s="17"/>
    </row>
    <row r="115" spans="1:18" ht="14.4" x14ac:dyDescent="0.3">
      <c r="A115" s="20"/>
      <c r="B115" s="7">
        <v>194</v>
      </c>
      <c r="C115" s="7" t="s">
        <v>18</v>
      </c>
      <c r="D115" s="7" t="s">
        <v>15</v>
      </c>
      <c r="E115" s="7">
        <v>2880</v>
      </c>
      <c r="F115" s="7"/>
      <c r="G115" s="7"/>
      <c r="H115" s="7"/>
      <c r="I115" s="17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4.4" customHeight="1" x14ac:dyDescent="0.3">
      <c r="A116" s="19" t="s">
        <v>25</v>
      </c>
      <c r="B116">
        <v>47</v>
      </c>
      <c r="C116" t="s">
        <v>16</v>
      </c>
      <c r="D116" t="s">
        <v>27</v>
      </c>
      <c r="E116">
        <v>40.5</v>
      </c>
    </row>
    <row r="117" spans="1:18" ht="14.4" x14ac:dyDescent="0.3">
      <c r="A117" s="19"/>
      <c r="B117">
        <v>47</v>
      </c>
      <c r="C117" t="s">
        <v>17</v>
      </c>
      <c r="D117" t="s">
        <v>27</v>
      </c>
      <c r="E117">
        <v>40.11</v>
      </c>
      <c r="F117" s="2">
        <f>AVERAGE(E116:E118)</f>
        <v>41.663333333333334</v>
      </c>
      <c r="G117" s="2">
        <f>_xlfn.STDEV.P(E116:E118)</f>
        <v>1.9275603463676292</v>
      </c>
      <c r="H117" s="2">
        <f>G117*100/F117</f>
        <v>4.6265149524785079</v>
      </c>
    </row>
    <row r="118" spans="1:18" ht="14.4" x14ac:dyDescent="0.3">
      <c r="A118" s="19"/>
      <c r="B118">
        <v>47</v>
      </c>
      <c r="C118" t="s">
        <v>18</v>
      </c>
      <c r="D118" t="s">
        <v>27</v>
      </c>
      <c r="E118">
        <v>44.38</v>
      </c>
    </row>
    <row r="119" spans="1:18" ht="14.4" x14ac:dyDescent="0.3">
      <c r="A119" s="19"/>
      <c r="B119">
        <v>96</v>
      </c>
      <c r="C119" t="s">
        <v>16</v>
      </c>
      <c r="D119" t="s">
        <v>27</v>
      </c>
      <c r="E119">
        <v>202.2</v>
      </c>
    </row>
    <row r="120" spans="1:18" ht="14.4" x14ac:dyDescent="0.3">
      <c r="A120" s="19"/>
      <c r="B120">
        <v>96</v>
      </c>
      <c r="C120" t="s">
        <v>17</v>
      </c>
      <c r="D120" t="s">
        <v>27</v>
      </c>
      <c r="E120">
        <v>201.2</v>
      </c>
      <c r="F120" s="2">
        <f>AVERAGE(E119:E121)</f>
        <v>217.29999999999998</v>
      </c>
      <c r="G120" s="2">
        <f>_xlfn.STDEV.P(E119:E121)</f>
        <v>22.065508529527811</v>
      </c>
      <c r="H120" s="2">
        <f>G120*100/F120</f>
        <v>10.154398771066642</v>
      </c>
    </row>
    <row r="121" spans="1:18" ht="14.4" x14ac:dyDescent="0.3">
      <c r="A121" s="19"/>
      <c r="B121">
        <v>96</v>
      </c>
      <c r="C121" t="s">
        <v>18</v>
      </c>
      <c r="D121" t="s">
        <v>27</v>
      </c>
      <c r="E121">
        <v>248.5</v>
      </c>
    </row>
    <row r="122" spans="1:18" ht="14.4" customHeight="1" x14ac:dyDescent="0.3">
      <c r="A122" s="19"/>
      <c r="B122">
        <v>145</v>
      </c>
      <c r="C122" t="s">
        <v>16</v>
      </c>
      <c r="D122" t="s">
        <v>27</v>
      </c>
      <c r="E122">
        <v>1206</v>
      </c>
      <c r="I122" s="17" t="s">
        <v>8</v>
      </c>
    </row>
    <row r="123" spans="1:18" ht="14.4" x14ac:dyDescent="0.3">
      <c r="A123" s="19"/>
      <c r="B123">
        <v>145</v>
      </c>
      <c r="C123" t="s">
        <v>17</v>
      </c>
      <c r="D123" t="s">
        <v>27</v>
      </c>
      <c r="E123">
        <v>1169</v>
      </c>
      <c r="F123" s="2">
        <f>AVERAGE(E122:E124)</f>
        <v>1210.3333333333333</v>
      </c>
      <c r="G123" s="2">
        <f>_xlfn.STDEV.P(E122:E124)</f>
        <v>35.649528592800337</v>
      </c>
      <c r="H123" s="2">
        <f>G123*100/F123</f>
        <v>2.945430619069155</v>
      </c>
      <c r="I123" s="17"/>
    </row>
    <row r="124" spans="1:18" ht="14.4" x14ac:dyDescent="0.3">
      <c r="A124" s="19"/>
      <c r="B124">
        <v>145</v>
      </c>
      <c r="C124" t="s">
        <v>18</v>
      </c>
      <c r="D124" t="s">
        <v>27</v>
      </c>
      <c r="E124">
        <v>1256</v>
      </c>
      <c r="I124" s="17"/>
    </row>
    <row r="125" spans="1:18" ht="14.4" x14ac:dyDescent="0.3">
      <c r="A125" s="19"/>
      <c r="B125">
        <v>170</v>
      </c>
      <c r="C125" t="s">
        <v>16</v>
      </c>
      <c r="D125" t="s">
        <v>27</v>
      </c>
      <c r="E125">
        <f>1041*2</f>
        <v>2082</v>
      </c>
      <c r="I125" s="17" t="s">
        <v>8</v>
      </c>
    </row>
    <row r="126" spans="1:18" ht="14.4" x14ac:dyDescent="0.3">
      <c r="A126" s="19"/>
      <c r="B126">
        <v>170</v>
      </c>
      <c r="C126" t="s">
        <v>17</v>
      </c>
      <c r="D126" t="s">
        <v>27</v>
      </c>
      <c r="E126">
        <f>1039*2</f>
        <v>2078</v>
      </c>
      <c r="F126" s="2">
        <f>AVERAGE(E125:E127)</f>
        <v>2071.3333333333335</v>
      </c>
      <c r="G126" s="2">
        <f>_xlfn.STDEV.P(E125:E127)</f>
        <v>12.364824660660938</v>
      </c>
      <c r="H126" s="2">
        <f>G126*100/F126</f>
        <v>0.59695001580274887</v>
      </c>
      <c r="I126" s="17"/>
    </row>
    <row r="127" spans="1:18" ht="14.4" x14ac:dyDescent="0.3">
      <c r="A127" s="19"/>
      <c r="B127">
        <v>170</v>
      </c>
      <c r="C127" t="s">
        <v>18</v>
      </c>
      <c r="D127" t="s">
        <v>27</v>
      </c>
      <c r="E127">
        <f>1027*2</f>
        <v>2054</v>
      </c>
      <c r="I127" s="17"/>
    </row>
    <row r="128" spans="1:18" ht="14.4" x14ac:dyDescent="0.3">
      <c r="A128" s="19"/>
      <c r="B128">
        <f>B125+24</f>
        <v>194</v>
      </c>
      <c r="C128" t="s">
        <v>16</v>
      </c>
      <c r="D128" t="s">
        <v>27</v>
      </c>
      <c r="E128">
        <f>137.4*20</f>
        <v>2748</v>
      </c>
      <c r="I128" s="4"/>
    </row>
    <row r="129" spans="1:10" ht="14.4" x14ac:dyDescent="0.3">
      <c r="A129" s="19"/>
      <c r="B129">
        <f t="shared" ref="B129:B130" si="2">B126+24</f>
        <v>194</v>
      </c>
      <c r="C129" t="s">
        <v>17</v>
      </c>
      <c r="D129" t="s">
        <v>27</v>
      </c>
      <c r="E129">
        <f>125.5*20</f>
        <v>2510</v>
      </c>
      <c r="F129" s="2">
        <f>AVERAGE(E128:E130)</f>
        <v>2620</v>
      </c>
      <c r="G129" s="2">
        <f>_xlfn.STDEV.P(E128:E130)</f>
        <v>97.993197042787955</v>
      </c>
      <c r="H129" s="2">
        <f>G129*100/F129</f>
        <v>3.7401983604117541</v>
      </c>
      <c r="I129" s="4"/>
    </row>
    <row r="130" spans="1:10" ht="14.4" x14ac:dyDescent="0.3">
      <c r="A130" s="19"/>
      <c r="B130">
        <f t="shared" si="2"/>
        <v>194</v>
      </c>
      <c r="C130" t="s">
        <v>18</v>
      </c>
      <c r="D130" t="s">
        <v>27</v>
      </c>
      <c r="E130">
        <f>130.1*20</f>
        <v>2602</v>
      </c>
      <c r="I130" s="4"/>
    </row>
    <row r="131" spans="1:10" ht="14.4" x14ac:dyDescent="0.3">
      <c r="A131" s="19"/>
      <c r="B131">
        <v>218</v>
      </c>
      <c r="C131" t="s">
        <v>16</v>
      </c>
      <c r="D131" t="s">
        <v>27</v>
      </c>
      <c r="E131">
        <f>143*20</f>
        <v>2860</v>
      </c>
      <c r="I131" s="17" t="s">
        <v>8</v>
      </c>
      <c r="J131" s="15" t="s">
        <v>29</v>
      </c>
    </row>
    <row r="132" spans="1:10" ht="14.4" x14ac:dyDescent="0.3">
      <c r="A132" s="19"/>
      <c r="B132">
        <v>218</v>
      </c>
      <c r="C132" t="s">
        <v>17</v>
      </c>
      <c r="D132" t="s">
        <v>27</v>
      </c>
      <c r="E132">
        <f>143.5*20</f>
        <v>2870</v>
      </c>
      <c r="F132" s="2">
        <f>AVERAGE(E131:E133)</f>
        <v>2864.6666666666665</v>
      </c>
      <c r="G132" s="2">
        <f>_xlfn.STDEV.P(E131:E133)</f>
        <v>4.1096093353126513</v>
      </c>
      <c r="H132" s="2">
        <f>G132*100/F132</f>
        <v>0.14345855254756754</v>
      </c>
      <c r="I132" s="17"/>
    </row>
    <row r="133" spans="1:10" ht="14.4" x14ac:dyDescent="0.3">
      <c r="A133" s="19"/>
      <c r="B133">
        <v>218</v>
      </c>
      <c r="C133" t="s">
        <v>18</v>
      </c>
      <c r="D133" t="s">
        <v>27</v>
      </c>
      <c r="E133">
        <f>143.2*20</f>
        <v>2864</v>
      </c>
      <c r="I133" s="17"/>
    </row>
    <row r="134" spans="1:10" ht="14.4" x14ac:dyDescent="0.3">
      <c r="A134" s="19"/>
      <c r="B134">
        <v>241</v>
      </c>
      <c r="C134" t="s">
        <v>16</v>
      </c>
      <c r="D134" t="s">
        <v>27</v>
      </c>
      <c r="E134">
        <f>139.3*20</f>
        <v>2786</v>
      </c>
      <c r="I134" s="4"/>
    </row>
    <row r="135" spans="1:10" ht="14.4" x14ac:dyDescent="0.3">
      <c r="A135" s="19"/>
      <c r="B135">
        <v>241</v>
      </c>
      <c r="C135" t="s">
        <v>17</v>
      </c>
      <c r="D135" t="s">
        <v>27</v>
      </c>
      <c r="E135">
        <f>141.8*20</f>
        <v>2836</v>
      </c>
      <c r="F135" s="2">
        <f>AVERAGE(E134:E136)</f>
        <v>2803.3333333333335</v>
      </c>
      <c r="G135" s="2">
        <f>_xlfn.STDEV.P(E134:E136)</f>
        <v>23.113247764479624</v>
      </c>
      <c r="H135" s="2">
        <f>G135*100/F135</f>
        <v>0.8244915968304265</v>
      </c>
      <c r="I135" s="4"/>
    </row>
    <row r="136" spans="1:10" ht="14.4" x14ac:dyDescent="0.3">
      <c r="A136" s="19"/>
      <c r="B136">
        <v>241</v>
      </c>
      <c r="C136" t="s">
        <v>18</v>
      </c>
      <c r="D136" t="s">
        <v>27</v>
      </c>
      <c r="E136">
        <f>139.4*20</f>
        <v>2788</v>
      </c>
      <c r="I136" s="4"/>
    </row>
    <row r="137" spans="1:10" ht="14.4" x14ac:dyDescent="0.3">
      <c r="A137" s="19"/>
      <c r="B137">
        <v>265</v>
      </c>
      <c r="C137" t="s">
        <v>16</v>
      </c>
      <c r="D137" t="s">
        <v>27</v>
      </c>
      <c r="E137">
        <v>2908</v>
      </c>
      <c r="I137" s="4"/>
    </row>
    <row r="138" spans="1:10" ht="14.4" x14ac:dyDescent="0.3">
      <c r="A138" s="19"/>
      <c r="B138">
        <v>265</v>
      </c>
      <c r="C138" t="s">
        <v>17</v>
      </c>
      <c r="D138" t="s">
        <v>27</v>
      </c>
      <c r="E138">
        <v>2906</v>
      </c>
      <c r="F138" s="2">
        <f>AVERAGE(E137:E139)</f>
        <v>2871.3333333333335</v>
      </c>
      <c r="G138" s="2">
        <f>_xlfn.STDEV.P(E137:E139)</f>
        <v>50.446891766380304</v>
      </c>
      <c r="H138" s="2">
        <f>G138*100/F138</f>
        <v>1.7569151996649746</v>
      </c>
      <c r="I138" s="4"/>
    </row>
    <row r="139" spans="1:10" ht="14.4" x14ac:dyDescent="0.3">
      <c r="A139" s="19"/>
      <c r="B139">
        <v>265</v>
      </c>
      <c r="C139" t="s">
        <v>18</v>
      </c>
      <c r="D139" t="s">
        <v>27</v>
      </c>
      <c r="E139">
        <v>2800</v>
      </c>
      <c r="I139" s="4"/>
    </row>
    <row r="140" spans="1:10" ht="14.4" customHeight="1" x14ac:dyDescent="0.3">
      <c r="A140" s="20" t="s">
        <v>26</v>
      </c>
      <c r="B140" s="7">
        <v>48</v>
      </c>
      <c r="C140" s="7" t="s">
        <v>16</v>
      </c>
      <c r="D140" s="7" t="s">
        <v>28</v>
      </c>
      <c r="E140" s="7">
        <v>87.76</v>
      </c>
      <c r="F140" s="7"/>
      <c r="G140" s="7"/>
      <c r="H140" s="7"/>
    </row>
    <row r="141" spans="1:10" ht="14.4" x14ac:dyDescent="0.3">
      <c r="A141" s="20"/>
      <c r="B141" s="7">
        <v>48</v>
      </c>
      <c r="C141" s="7" t="s">
        <v>17</v>
      </c>
      <c r="D141" s="7" t="s">
        <v>28</v>
      </c>
      <c r="E141" s="7">
        <v>88.46</v>
      </c>
      <c r="F141" s="8">
        <f>AVERAGE(E140:E142)</f>
        <v>89.240000000000009</v>
      </c>
      <c r="G141" s="8">
        <f>_xlfn.STDEV.P(E140:E142)</f>
        <v>1.6234120446352074</v>
      </c>
      <c r="H141" s="8">
        <f>G141*100/F141</f>
        <v>1.8191528962743246</v>
      </c>
    </row>
    <row r="142" spans="1:10" ht="14.4" x14ac:dyDescent="0.3">
      <c r="A142" s="20"/>
      <c r="B142" s="7">
        <v>48</v>
      </c>
      <c r="C142" s="7" t="s">
        <v>18</v>
      </c>
      <c r="D142" s="7" t="s">
        <v>28</v>
      </c>
      <c r="E142" s="7">
        <v>91.5</v>
      </c>
      <c r="F142" s="7"/>
      <c r="G142" s="7"/>
      <c r="H142" s="7"/>
    </row>
    <row r="143" spans="1:10" ht="14.4" customHeight="1" x14ac:dyDescent="0.3">
      <c r="A143" s="20"/>
      <c r="B143" s="7">
        <v>73</v>
      </c>
      <c r="C143" s="7" t="s">
        <v>16</v>
      </c>
      <c r="D143" s="7" t="s">
        <v>28</v>
      </c>
      <c r="E143" s="7">
        <v>196.4</v>
      </c>
      <c r="F143" s="7"/>
      <c r="G143" s="7"/>
      <c r="H143" s="7"/>
    </row>
    <row r="144" spans="1:10" ht="14.4" x14ac:dyDescent="0.3">
      <c r="A144" s="20"/>
      <c r="B144" s="7">
        <v>73</v>
      </c>
      <c r="C144" s="7" t="s">
        <v>17</v>
      </c>
      <c r="D144" s="7" t="s">
        <v>28</v>
      </c>
      <c r="E144" s="7">
        <v>202.6</v>
      </c>
      <c r="F144" s="8">
        <f>AVERAGE(E143:E145)</f>
        <v>202.96666666666667</v>
      </c>
      <c r="G144" s="8">
        <f>_xlfn.STDEV.P(E143:E145)</f>
        <v>5.517447074709664</v>
      </c>
      <c r="H144" s="8">
        <f>G144*100/F144</f>
        <v>2.7184005951928056</v>
      </c>
    </row>
    <row r="145" spans="1:14" ht="14.4" x14ac:dyDescent="0.3">
      <c r="A145" s="20"/>
      <c r="B145" s="7">
        <v>73</v>
      </c>
      <c r="C145" s="7" t="s">
        <v>18</v>
      </c>
      <c r="D145" s="7" t="s">
        <v>28</v>
      </c>
      <c r="E145" s="7">
        <v>209.9</v>
      </c>
      <c r="F145" s="7"/>
      <c r="G145" s="7"/>
      <c r="H145" s="7"/>
    </row>
    <row r="146" spans="1:14" ht="14.4" customHeight="1" x14ac:dyDescent="0.3">
      <c r="A146" s="20"/>
      <c r="B146" s="7">
        <v>97</v>
      </c>
      <c r="C146" s="7" t="s">
        <v>16</v>
      </c>
      <c r="D146" s="7" t="s">
        <v>28</v>
      </c>
      <c r="E146" s="7">
        <v>574.70000000000005</v>
      </c>
      <c r="F146" s="7"/>
      <c r="G146" s="7"/>
      <c r="H146" s="7"/>
      <c r="I146" s="14" t="s">
        <v>8</v>
      </c>
    </row>
    <row r="147" spans="1:14" ht="14.4" x14ac:dyDescent="0.3">
      <c r="A147" s="20"/>
      <c r="B147" s="7">
        <v>97</v>
      </c>
      <c r="C147" s="7" t="s">
        <v>17</v>
      </c>
      <c r="D147" s="7" t="s">
        <v>28</v>
      </c>
      <c r="E147" s="7">
        <v>572.1</v>
      </c>
      <c r="F147" s="8">
        <f>AVERAGE(E146:E148)</f>
        <v>579.9666666666667</v>
      </c>
      <c r="G147" s="8">
        <f>_xlfn.STDEV.P(E146:E148)</f>
        <v>9.347132656001456</v>
      </c>
      <c r="H147" s="8">
        <f>G147*100/F147</f>
        <v>1.6116672204152174</v>
      </c>
      <c r="I147" s="14"/>
    </row>
    <row r="148" spans="1:14" ht="14.4" x14ac:dyDescent="0.3">
      <c r="A148" s="20"/>
      <c r="B148" s="7">
        <v>97</v>
      </c>
      <c r="C148" s="7" t="s">
        <v>18</v>
      </c>
      <c r="D148" s="7" t="s">
        <v>28</v>
      </c>
      <c r="E148" s="7">
        <v>593.1</v>
      </c>
      <c r="F148" s="7"/>
      <c r="G148" s="7"/>
      <c r="H148" s="7"/>
      <c r="I148" s="14"/>
    </row>
    <row r="149" spans="1:14" ht="14.4" x14ac:dyDescent="0.3">
      <c r="A149" s="20"/>
      <c r="B149" s="7">
        <v>121</v>
      </c>
      <c r="C149" s="7" t="s">
        <v>16</v>
      </c>
      <c r="D149" s="7" t="s">
        <v>28</v>
      </c>
      <c r="E149" s="7">
        <v>1290</v>
      </c>
      <c r="F149" s="7"/>
      <c r="G149" s="7"/>
      <c r="H149" s="7"/>
      <c r="I149" s="17" t="s">
        <v>8</v>
      </c>
    </row>
    <row r="150" spans="1:14" ht="14.4" x14ac:dyDescent="0.3">
      <c r="A150" s="20"/>
      <c r="B150" s="7">
        <v>121</v>
      </c>
      <c r="C150" s="7" t="s">
        <v>17</v>
      </c>
      <c r="D150" s="7" t="s">
        <v>28</v>
      </c>
      <c r="E150" s="7">
        <v>1249</v>
      </c>
      <c r="F150" s="8">
        <f>AVERAGE(E149:E151)</f>
        <v>1277.3333333333333</v>
      </c>
      <c r="G150" s="8">
        <f>_xlfn.STDEV.P(E149:E151)</f>
        <v>20.072092289766129</v>
      </c>
      <c r="H150" s="8">
        <f>G150*100/F150</f>
        <v>1.5714059725808556</v>
      </c>
      <c r="I150" s="17"/>
    </row>
    <row r="151" spans="1:14" ht="14.4" x14ac:dyDescent="0.3">
      <c r="A151" s="20"/>
      <c r="B151" s="7">
        <v>121</v>
      </c>
      <c r="C151" s="7" t="s">
        <v>18</v>
      </c>
      <c r="D151" s="7" t="s">
        <v>28</v>
      </c>
      <c r="E151" s="7">
        <v>1293</v>
      </c>
      <c r="F151" s="7"/>
      <c r="G151" s="7"/>
      <c r="H151" s="7"/>
      <c r="I151" s="17"/>
    </row>
    <row r="152" spans="1:14" ht="14.4" x14ac:dyDescent="0.3">
      <c r="A152" s="20"/>
      <c r="B152" s="7">
        <v>144</v>
      </c>
      <c r="C152" s="7" t="s">
        <v>16</v>
      </c>
      <c r="D152" s="7" t="s">
        <v>28</v>
      </c>
      <c r="E152" s="7">
        <f>105.7*20</f>
        <v>2114</v>
      </c>
      <c r="F152" s="7"/>
      <c r="G152" s="7"/>
      <c r="H152" s="7"/>
      <c r="I152" s="17" t="s">
        <v>8</v>
      </c>
    </row>
    <row r="153" spans="1:14" ht="14.4" x14ac:dyDescent="0.3">
      <c r="A153" s="20"/>
      <c r="B153" s="7">
        <v>144</v>
      </c>
      <c r="C153" s="7" t="s">
        <v>17</v>
      </c>
      <c r="D153" s="7" t="s">
        <v>28</v>
      </c>
      <c r="E153" s="7">
        <f>104.7*20</f>
        <v>2094</v>
      </c>
      <c r="F153" s="8">
        <f>AVERAGE(E152:E154)</f>
        <v>2089.3333333333335</v>
      </c>
      <c r="G153" s="8">
        <f>_xlfn.STDEV.P(E152:E154)</f>
        <v>22.291004663067316</v>
      </c>
      <c r="H153" s="8">
        <f>G153*100/F153</f>
        <v>1.0668955646011797</v>
      </c>
      <c r="I153" s="17"/>
    </row>
    <row r="154" spans="1:14" ht="14.4" x14ac:dyDescent="0.3">
      <c r="A154" s="20"/>
      <c r="B154" s="7">
        <v>144</v>
      </c>
      <c r="C154" s="7" t="s">
        <v>18</v>
      </c>
      <c r="D154" s="7" t="s">
        <v>28</v>
      </c>
      <c r="E154" s="7">
        <f>103*20</f>
        <v>2060</v>
      </c>
      <c r="F154" s="7"/>
      <c r="G154" s="7"/>
      <c r="H154" s="7"/>
      <c r="I154" s="17"/>
      <c r="M154" s="16"/>
      <c r="N154" s="16"/>
    </row>
    <row r="155" spans="1:14" ht="14.4" x14ac:dyDescent="0.3">
      <c r="A155" s="20"/>
      <c r="B155" s="7">
        <v>168</v>
      </c>
      <c r="C155" s="7" t="s">
        <v>16</v>
      </c>
      <c r="D155" s="7" t="s">
        <v>28</v>
      </c>
      <c r="E155" s="7">
        <v>2802</v>
      </c>
      <c r="F155" s="7"/>
      <c r="G155" s="7"/>
      <c r="H155" s="7"/>
    </row>
    <row r="156" spans="1:14" ht="14.4" x14ac:dyDescent="0.3">
      <c r="A156" s="20"/>
      <c r="B156" s="7">
        <v>168</v>
      </c>
      <c r="C156" s="7" t="s">
        <v>17</v>
      </c>
      <c r="D156" s="7" t="s">
        <v>28</v>
      </c>
      <c r="E156" s="7">
        <v>2798</v>
      </c>
      <c r="F156" s="8">
        <f>AVERAGE(E155:E157)</f>
        <v>2790</v>
      </c>
      <c r="G156" s="8">
        <f>_xlfn.STDEV.P(E155:E157)</f>
        <v>14.236104336041748</v>
      </c>
      <c r="H156" s="8">
        <f>G156*100/F156</f>
        <v>0.51025463570042107</v>
      </c>
    </row>
    <row r="157" spans="1:14" ht="14.4" x14ac:dyDescent="0.3">
      <c r="A157" s="20"/>
      <c r="B157" s="7">
        <v>168</v>
      </c>
      <c r="C157" s="7" t="s">
        <v>18</v>
      </c>
      <c r="D157" s="7" t="s">
        <v>28</v>
      </c>
      <c r="E157" s="7">
        <v>2770</v>
      </c>
      <c r="F157" s="7"/>
      <c r="G157" s="7"/>
      <c r="H157" s="7"/>
    </row>
    <row r="158" spans="1:14" ht="14.4" customHeight="1" x14ac:dyDescent="0.3">
      <c r="A158" s="19" t="s">
        <v>30</v>
      </c>
      <c r="B158">
        <v>23</v>
      </c>
      <c r="C158" t="s">
        <v>16</v>
      </c>
      <c r="D158" t="s">
        <v>31</v>
      </c>
      <c r="E158">
        <v>58.09</v>
      </c>
    </row>
    <row r="159" spans="1:14" ht="14.4" x14ac:dyDescent="0.3">
      <c r="A159" s="19"/>
      <c r="B159">
        <v>23</v>
      </c>
      <c r="C159" t="s">
        <v>17</v>
      </c>
      <c r="D159" t="s">
        <v>31</v>
      </c>
      <c r="E159">
        <v>59.25</v>
      </c>
      <c r="F159" s="2">
        <f>AVERAGE(E158:E160)</f>
        <v>58.926666666666669</v>
      </c>
      <c r="G159" s="2">
        <f>_xlfn.STDEV.P(E158:E160)</f>
        <v>0.59667597758098123</v>
      </c>
      <c r="H159" s="2">
        <f>G159*100/F159</f>
        <v>1.0125737825223122</v>
      </c>
    </row>
    <row r="160" spans="1:14" ht="14.4" x14ac:dyDescent="0.3">
      <c r="A160" s="19"/>
      <c r="B160">
        <v>23</v>
      </c>
      <c r="C160" t="s">
        <v>18</v>
      </c>
      <c r="D160" t="s">
        <v>31</v>
      </c>
      <c r="E160">
        <v>59.44</v>
      </c>
    </row>
    <row r="161" spans="1:8" ht="14.4" x14ac:dyDescent="0.3">
      <c r="A161" s="19"/>
      <c r="B161">
        <v>47</v>
      </c>
      <c r="C161" t="s">
        <v>16</v>
      </c>
      <c r="D161" t="s">
        <v>31</v>
      </c>
      <c r="E161">
        <v>131.69999999999999</v>
      </c>
    </row>
    <row r="162" spans="1:8" ht="14.4" x14ac:dyDescent="0.3">
      <c r="A162" s="19"/>
      <c r="B162">
        <v>47</v>
      </c>
      <c r="C162" t="s">
        <v>17</v>
      </c>
      <c r="D162" t="s">
        <v>31</v>
      </c>
      <c r="E162">
        <v>135.1</v>
      </c>
      <c r="F162" s="2">
        <f>AVERAGE(E161:E163)</f>
        <v>132.39999999999998</v>
      </c>
      <c r="G162" s="2">
        <f>_xlfn.STDEV.P(E161:E163)</f>
        <v>1.9815818596935766</v>
      </c>
      <c r="H162" s="2">
        <f>G162*100/F162</f>
        <v>1.496663036022339</v>
      </c>
    </row>
    <row r="163" spans="1:8" ht="14.4" x14ac:dyDescent="0.3">
      <c r="A163" s="19"/>
      <c r="B163">
        <v>47</v>
      </c>
      <c r="C163" t="s">
        <v>18</v>
      </c>
      <c r="D163" t="s">
        <v>31</v>
      </c>
      <c r="E163">
        <v>130.4</v>
      </c>
    </row>
    <row r="164" spans="1:8" ht="14.4" x14ac:dyDescent="0.3">
      <c r="A164" s="19"/>
      <c r="B164">
        <v>144</v>
      </c>
      <c r="C164" t="s">
        <v>16</v>
      </c>
      <c r="D164" t="s">
        <v>31</v>
      </c>
      <c r="E164">
        <v>1757</v>
      </c>
    </row>
    <row r="165" spans="1:8" ht="14.4" x14ac:dyDescent="0.3">
      <c r="A165" s="19"/>
      <c r="B165">
        <v>144</v>
      </c>
      <c r="C165" t="s">
        <v>17</v>
      </c>
      <c r="D165" t="s">
        <v>31</v>
      </c>
      <c r="E165">
        <v>1676</v>
      </c>
      <c r="F165" s="2">
        <f>AVERAGE(E164:E166)</f>
        <v>1738.3333333333333</v>
      </c>
      <c r="G165" s="2">
        <f>_xlfn.STDEV.P(E164:E166)</f>
        <v>45.242556171030934</v>
      </c>
      <c r="H165" s="2">
        <f>G165*100/F165</f>
        <v>2.6026398564351449</v>
      </c>
    </row>
    <row r="166" spans="1:8" ht="14.4" x14ac:dyDescent="0.3">
      <c r="A166" s="19"/>
      <c r="B166">
        <v>144</v>
      </c>
      <c r="C166" t="s">
        <v>18</v>
      </c>
      <c r="D166" t="s">
        <v>31</v>
      </c>
      <c r="E166">
        <v>1782</v>
      </c>
    </row>
    <row r="167" spans="1:8" ht="14.4" x14ac:dyDescent="0.3">
      <c r="A167" s="19"/>
      <c r="B167">
        <v>191</v>
      </c>
      <c r="C167" t="s">
        <v>16</v>
      </c>
      <c r="D167" t="s">
        <v>31</v>
      </c>
      <c r="E167">
        <f>1442*2</f>
        <v>2884</v>
      </c>
    </row>
    <row r="168" spans="1:8" ht="14.4" x14ac:dyDescent="0.3">
      <c r="A168" s="19"/>
      <c r="B168">
        <v>191</v>
      </c>
      <c r="C168" t="s">
        <v>17</v>
      </c>
      <c r="D168" t="s">
        <v>31</v>
      </c>
      <c r="E168">
        <f>1410*2</f>
        <v>2820</v>
      </c>
      <c r="F168" s="2">
        <f>AVERAGE(E167:E169)</f>
        <v>2766</v>
      </c>
      <c r="G168" s="2">
        <f>_xlfn.STDEV.P(E167:E169)</f>
        <v>124.39721325924735</v>
      </c>
      <c r="H168" s="2">
        <f>G168*100/F168</f>
        <v>4.4973685198570985</v>
      </c>
    </row>
    <row r="169" spans="1:8" ht="14.4" x14ac:dyDescent="0.3">
      <c r="A169" s="19"/>
      <c r="B169">
        <v>191</v>
      </c>
      <c r="C169" t="s">
        <v>18</v>
      </c>
      <c r="D169" t="s">
        <v>31</v>
      </c>
      <c r="E169">
        <f>1297*2</f>
        <v>2594</v>
      </c>
    </row>
    <row r="170" spans="1:8" ht="14.4" customHeight="1" x14ac:dyDescent="0.3">
      <c r="A170" s="20" t="s">
        <v>33</v>
      </c>
      <c r="B170" s="7">
        <v>70</v>
      </c>
      <c r="C170" s="7" t="s">
        <v>16</v>
      </c>
      <c r="D170" s="7" t="s">
        <v>32</v>
      </c>
      <c r="E170" s="7">
        <v>302.39999999999998</v>
      </c>
      <c r="F170" s="7"/>
      <c r="G170" s="7"/>
      <c r="H170" s="7"/>
    </row>
    <row r="171" spans="1:8" ht="14.4" x14ac:dyDescent="0.3">
      <c r="A171" s="20"/>
      <c r="B171" s="7">
        <v>70</v>
      </c>
      <c r="C171" s="7" t="s">
        <v>17</v>
      </c>
      <c r="D171" s="7" t="s">
        <v>32</v>
      </c>
      <c r="E171" s="7">
        <v>301.3</v>
      </c>
      <c r="F171" s="7"/>
      <c r="G171" s="7"/>
      <c r="H171" s="7"/>
    </row>
    <row r="172" spans="1:8" ht="14.4" x14ac:dyDescent="0.3">
      <c r="A172" s="20"/>
      <c r="B172" s="7">
        <v>70</v>
      </c>
      <c r="C172" s="7" t="s">
        <v>18</v>
      </c>
      <c r="D172" s="7" t="s">
        <v>32</v>
      </c>
      <c r="E172" s="7">
        <v>285.89999999999998</v>
      </c>
      <c r="F172" s="7"/>
      <c r="G172" s="7"/>
      <c r="H172" s="7"/>
    </row>
    <row r="173" spans="1:8" ht="14.4" x14ac:dyDescent="0.3">
      <c r="A173" s="20"/>
      <c r="B173" s="7">
        <v>70</v>
      </c>
      <c r="C173" s="7" t="s">
        <v>19</v>
      </c>
      <c r="D173" s="7" t="s">
        <v>32</v>
      </c>
      <c r="E173" s="7">
        <v>354.2</v>
      </c>
      <c r="F173" s="7"/>
      <c r="G173" s="7"/>
      <c r="H173" s="7"/>
    </row>
    <row r="174" spans="1:8" ht="14.4" x14ac:dyDescent="0.3">
      <c r="A174" s="20"/>
      <c r="B174" s="7">
        <v>70</v>
      </c>
      <c r="C174" s="7" t="s">
        <v>20</v>
      </c>
      <c r="D174" s="7" t="s">
        <v>32</v>
      </c>
      <c r="E174" s="7">
        <v>339.3</v>
      </c>
      <c r="F174" s="13">
        <f>AVERAGE(E170:E178)</f>
        <v>307.0333333333333</v>
      </c>
      <c r="G174" s="13">
        <f>_xlfn.STDEV.P(E170:E178)</f>
        <v>28.328391725930686</v>
      </c>
      <c r="H174" s="13">
        <f>G174*100/F174</f>
        <v>9.2264873713811824</v>
      </c>
    </row>
    <row r="175" spans="1:8" ht="14.4" x14ac:dyDescent="0.3">
      <c r="A175" s="20"/>
      <c r="B175" s="7">
        <v>70</v>
      </c>
      <c r="C175" s="7" t="s">
        <v>21</v>
      </c>
      <c r="D175" s="7" t="s">
        <v>32</v>
      </c>
      <c r="E175" s="7">
        <v>334.9</v>
      </c>
      <c r="F175" s="7"/>
      <c r="G175" s="7"/>
      <c r="H175" s="7"/>
    </row>
    <row r="176" spans="1:8" ht="14.4" x14ac:dyDescent="0.3">
      <c r="A176" s="20"/>
      <c r="B176" s="7">
        <v>70</v>
      </c>
      <c r="C176" s="7" t="s">
        <v>22</v>
      </c>
      <c r="D176" s="7" t="s">
        <v>32</v>
      </c>
      <c r="E176" s="7">
        <v>303.7</v>
      </c>
      <c r="F176" s="7"/>
      <c r="G176" s="7"/>
      <c r="H176" s="7"/>
    </row>
    <row r="177" spans="1:8" ht="14.4" x14ac:dyDescent="0.3">
      <c r="A177" s="20"/>
      <c r="B177" s="7">
        <v>70</v>
      </c>
      <c r="C177" s="7" t="s">
        <v>23</v>
      </c>
      <c r="D177" s="7" t="s">
        <v>32</v>
      </c>
      <c r="E177" s="7">
        <v>275.39999999999998</v>
      </c>
      <c r="F177" s="8"/>
      <c r="G177" s="8"/>
      <c r="H177" s="8"/>
    </row>
    <row r="178" spans="1:8" ht="14.4" x14ac:dyDescent="0.3">
      <c r="A178" s="20"/>
      <c r="B178" s="7">
        <v>70</v>
      </c>
      <c r="C178" s="7" t="s">
        <v>24</v>
      </c>
      <c r="D178" s="7" t="s">
        <v>32</v>
      </c>
      <c r="E178" s="7">
        <v>266.2</v>
      </c>
      <c r="F178" s="7"/>
      <c r="G178" s="7"/>
      <c r="H178" s="7"/>
    </row>
    <row r="179" spans="1:8" ht="14.4" x14ac:dyDescent="0.3">
      <c r="A179" s="20"/>
      <c r="B179" s="7">
        <v>118</v>
      </c>
      <c r="C179" s="7" t="s">
        <v>16</v>
      </c>
      <c r="D179" s="7" t="s">
        <v>32</v>
      </c>
      <c r="E179" s="7">
        <f>78.56*20</f>
        <v>1571.2</v>
      </c>
      <c r="F179" s="7"/>
      <c r="G179" s="7"/>
      <c r="H179" s="7"/>
    </row>
    <row r="180" spans="1:8" ht="14.4" x14ac:dyDescent="0.3">
      <c r="A180" s="20"/>
      <c r="B180" s="7">
        <v>118</v>
      </c>
      <c r="C180" s="7" t="s">
        <v>17</v>
      </c>
      <c r="D180" s="7" t="s">
        <v>32</v>
      </c>
      <c r="E180" s="7">
        <f>75.67*20</f>
        <v>1513.4</v>
      </c>
      <c r="F180" s="7"/>
      <c r="G180" s="7"/>
      <c r="H180" s="7"/>
    </row>
    <row r="181" spans="1:8" ht="14.4" x14ac:dyDescent="0.3">
      <c r="A181" s="20"/>
      <c r="B181" s="7">
        <v>118</v>
      </c>
      <c r="C181" s="7" t="s">
        <v>18</v>
      </c>
      <c r="D181" s="7" t="s">
        <v>32</v>
      </c>
      <c r="E181" s="7">
        <f>70.73*20</f>
        <v>1414.6000000000001</v>
      </c>
      <c r="F181" s="7"/>
      <c r="G181" s="7"/>
      <c r="H181" s="7"/>
    </row>
    <row r="182" spans="1:8" ht="14.4" customHeight="1" x14ac:dyDescent="0.3">
      <c r="A182" s="20"/>
      <c r="B182" s="7">
        <v>118</v>
      </c>
      <c r="C182" s="7" t="s">
        <v>19</v>
      </c>
      <c r="D182" s="7" t="s">
        <v>32</v>
      </c>
      <c r="E182" s="7">
        <f>82.56*20</f>
        <v>1651.2</v>
      </c>
      <c r="F182" s="7"/>
      <c r="G182" s="7"/>
      <c r="H182" s="7"/>
    </row>
    <row r="183" spans="1:8" ht="14.4" x14ac:dyDescent="0.3">
      <c r="A183" s="20"/>
      <c r="B183" s="7">
        <v>118</v>
      </c>
      <c r="C183" s="7" t="s">
        <v>20</v>
      </c>
      <c r="D183" s="7" t="s">
        <v>32</v>
      </c>
      <c r="E183" s="7">
        <f>80.05*20</f>
        <v>1601</v>
      </c>
      <c r="F183" s="13">
        <f>AVERAGE(E179:E187)</f>
        <v>1550.4222222222224</v>
      </c>
      <c r="G183" s="13">
        <f>_xlfn.STDEV.P(E179:E187)</f>
        <v>70.935867401129372</v>
      </c>
      <c r="H183" s="13">
        <f>G183*100/F183</f>
        <v>4.5752612665378916</v>
      </c>
    </row>
    <row r="184" spans="1:8" ht="14.4" x14ac:dyDescent="0.3">
      <c r="A184" s="20"/>
      <c r="B184" s="7">
        <v>118</v>
      </c>
      <c r="C184" s="7" t="s">
        <v>21</v>
      </c>
      <c r="D184" s="7" t="s">
        <v>32</v>
      </c>
      <c r="E184" s="7">
        <f>82.02*20</f>
        <v>1640.3999999999999</v>
      </c>
      <c r="F184" s="7"/>
      <c r="G184" s="7"/>
      <c r="H184" s="7"/>
    </row>
    <row r="185" spans="1:8" ht="14.4" x14ac:dyDescent="0.3">
      <c r="A185" s="20"/>
      <c r="B185" s="7">
        <v>118</v>
      </c>
      <c r="C185" s="7" t="s">
        <v>22</v>
      </c>
      <c r="D185" s="7" t="s">
        <v>32</v>
      </c>
      <c r="E185" s="7">
        <f>75.28*20</f>
        <v>1505.6</v>
      </c>
      <c r="F185" s="7"/>
      <c r="G185" s="7"/>
      <c r="H185" s="7"/>
    </row>
    <row r="186" spans="1:8" ht="14.4" x14ac:dyDescent="0.3">
      <c r="A186" s="20"/>
      <c r="B186" s="7">
        <v>118</v>
      </c>
      <c r="C186" s="7" t="s">
        <v>23</v>
      </c>
      <c r="D186" s="7" t="s">
        <v>32</v>
      </c>
      <c r="E186" s="7">
        <f>75.17*20</f>
        <v>1503.4</v>
      </c>
      <c r="F186" s="8"/>
      <c r="G186" s="8"/>
      <c r="H186" s="8"/>
    </row>
    <row r="187" spans="1:8" ht="14.4" x14ac:dyDescent="0.3">
      <c r="A187" s="20"/>
      <c r="B187" s="7">
        <v>118</v>
      </c>
      <c r="C187" s="7" t="s">
        <v>24</v>
      </c>
      <c r="D187" s="7" t="s">
        <v>32</v>
      </c>
      <c r="E187" s="7">
        <f>77.65*20</f>
        <v>1553</v>
      </c>
      <c r="F187" s="7"/>
      <c r="G187" s="7"/>
      <c r="H187" s="7"/>
    </row>
    <row r="188" spans="1:8" ht="14.4" x14ac:dyDescent="0.3">
      <c r="A188" s="20"/>
      <c r="B188" s="7">
        <v>192</v>
      </c>
      <c r="C188" s="7" t="s">
        <v>16</v>
      </c>
      <c r="D188" s="7" t="s">
        <v>32</v>
      </c>
      <c r="E188" s="7">
        <f>140.1*20</f>
        <v>2802</v>
      </c>
      <c r="F188" s="7"/>
      <c r="G188" s="7"/>
      <c r="H188" s="7"/>
    </row>
    <row r="189" spans="1:8" ht="14.4" x14ac:dyDescent="0.3">
      <c r="A189" s="20"/>
      <c r="B189" s="7">
        <v>192</v>
      </c>
      <c r="C189" s="7" t="s">
        <v>17</v>
      </c>
      <c r="D189" s="7" t="s">
        <v>32</v>
      </c>
      <c r="E189" s="7">
        <f>138.4*20</f>
        <v>2768</v>
      </c>
      <c r="F189" s="7"/>
      <c r="G189" s="7"/>
      <c r="H189" s="7"/>
    </row>
    <row r="190" spans="1:8" ht="14.4" x14ac:dyDescent="0.3">
      <c r="A190" s="20"/>
      <c r="B190" s="7">
        <v>192</v>
      </c>
      <c r="C190" s="7" t="s">
        <v>18</v>
      </c>
      <c r="D190" s="7" t="s">
        <v>32</v>
      </c>
      <c r="E190" s="7">
        <f>137.1*20</f>
        <v>2742</v>
      </c>
      <c r="F190" s="7"/>
      <c r="G190" s="7"/>
      <c r="H190" s="7"/>
    </row>
    <row r="191" spans="1:8" ht="14.4" x14ac:dyDescent="0.3">
      <c r="A191" s="20"/>
      <c r="B191" s="7">
        <v>192</v>
      </c>
      <c r="C191" s="7" t="s">
        <v>19</v>
      </c>
      <c r="D191" s="7" t="s">
        <v>32</v>
      </c>
      <c r="E191" s="7">
        <f>143.8*20</f>
        <v>2876</v>
      </c>
      <c r="F191" s="7"/>
      <c r="G191" s="7"/>
      <c r="H191" s="7"/>
    </row>
    <row r="192" spans="1:8" ht="14.4" x14ac:dyDescent="0.3">
      <c r="A192" s="20"/>
      <c r="B192" s="7">
        <v>192</v>
      </c>
      <c r="C192" s="7" t="s">
        <v>20</v>
      </c>
      <c r="D192" s="7" t="s">
        <v>32</v>
      </c>
      <c r="E192" s="7">
        <f>142.3*20</f>
        <v>2846</v>
      </c>
      <c r="F192" s="13">
        <f>AVERAGE(E188:E196)</f>
        <v>2830.8888888888887</v>
      </c>
      <c r="G192" s="13">
        <f>_xlfn.STDEV.P(E188:E196)</f>
        <v>50.359693857608967</v>
      </c>
      <c r="H192" s="13">
        <f>G192*100/F192</f>
        <v>1.7789357277591675</v>
      </c>
    </row>
    <row r="193" spans="1:8" ht="14.4" x14ac:dyDescent="0.3">
      <c r="A193" s="20"/>
      <c r="B193" s="7">
        <v>192</v>
      </c>
      <c r="C193" s="7" t="s">
        <v>21</v>
      </c>
      <c r="D193" s="7" t="s">
        <v>32</v>
      </c>
      <c r="E193" s="7">
        <f>143.3*20</f>
        <v>2866</v>
      </c>
      <c r="F193" s="7"/>
      <c r="G193" s="7"/>
      <c r="H193" s="7"/>
    </row>
    <row r="194" spans="1:8" ht="14.4" x14ac:dyDescent="0.3">
      <c r="A194" s="20"/>
      <c r="B194" s="7">
        <v>192</v>
      </c>
      <c r="C194" s="7" t="s">
        <v>22</v>
      </c>
      <c r="D194" s="7" t="s">
        <v>32</v>
      </c>
      <c r="E194" s="7">
        <f>141.9*20</f>
        <v>2838</v>
      </c>
      <c r="F194" s="7"/>
      <c r="G194" s="7"/>
      <c r="H194" s="7"/>
    </row>
    <row r="195" spans="1:8" ht="14.4" x14ac:dyDescent="0.3">
      <c r="A195" s="20"/>
      <c r="B195" s="7">
        <v>192</v>
      </c>
      <c r="C195" s="7" t="s">
        <v>23</v>
      </c>
      <c r="D195" s="7" t="s">
        <v>32</v>
      </c>
      <c r="E195" s="7">
        <f>141.4*20</f>
        <v>2828</v>
      </c>
      <c r="F195" s="8"/>
      <c r="G195" s="8"/>
      <c r="H195" s="8"/>
    </row>
    <row r="196" spans="1:8" ht="14.4" x14ac:dyDescent="0.3">
      <c r="A196" s="20"/>
      <c r="B196" s="7">
        <v>192</v>
      </c>
      <c r="C196" s="7" t="s">
        <v>24</v>
      </c>
      <c r="D196" s="7" t="s">
        <v>32</v>
      </c>
      <c r="E196" s="7">
        <f>145.6*20</f>
        <v>2912</v>
      </c>
      <c r="F196" s="7"/>
      <c r="G196" s="7"/>
      <c r="H196" s="7"/>
    </row>
    <row r="197" spans="1:8" ht="14.4" customHeight="1" x14ac:dyDescent="0.3">
      <c r="A197" s="19" t="s">
        <v>34</v>
      </c>
      <c r="B197">
        <v>71</v>
      </c>
      <c r="C197" t="s">
        <v>16</v>
      </c>
      <c r="D197" t="s">
        <v>35</v>
      </c>
      <c r="E197">
        <v>128.5</v>
      </c>
    </row>
    <row r="198" spans="1:8" ht="14.4" x14ac:dyDescent="0.3">
      <c r="A198" s="19"/>
      <c r="B198">
        <v>71</v>
      </c>
      <c r="C198" t="s">
        <v>17</v>
      </c>
      <c r="D198" t="s">
        <v>35</v>
      </c>
      <c r="E198">
        <v>118.1</v>
      </c>
      <c r="F198" s="2"/>
      <c r="G198" s="2"/>
      <c r="H198" s="2"/>
    </row>
    <row r="199" spans="1:8" ht="14.4" x14ac:dyDescent="0.3">
      <c r="A199" s="19"/>
      <c r="B199">
        <v>71</v>
      </c>
      <c r="C199" t="s">
        <v>18</v>
      </c>
      <c r="D199" t="s">
        <v>35</v>
      </c>
      <c r="E199">
        <v>116</v>
      </c>
    </row>
    <row r="200" spans="1:8" ht="14.4" x14ac:dyDescent="0.3">
      <c r="A200" s="19"/>
      <c r="B200">
        <v>71</v>
      </c>
      <c r="C200" t="s">
        <v>19</v>
      </c>
      <c r="D200" t="s">
        <v>35</v>
      </c>
      <c r="E200">
        <v>111.8</v>
      </c>
    </row>
    <row r="201" spans="1:8" ht="14.4" x14ac:dyDescent="0.3">
      <c r="A201" s="19"/>
      <c r="B201">
        <v>71</v>
      </c>
      <c r="C201" t="s">
        <v>20</v>
      </c>
      <c r="D201" t="s">
        <v>35</v>
      </c>
      <c r="E201">
        <v>106.8</v>
      </c>
      <c r="F201" s="2">
        <f>AVERAGE(E197:E205)</f>
        <v>116.5888888888889</v>
      </c>
      <c r="G201" s="2">
        <f>_xlfn.STDEV.P(E197:E205)</f>
        <v>6.0292701685554038</v>
      </c>
      <c r="H201" s="2">
        <f>G201*100/F201</f>
        <v>5.1713934543980393</v>
      </c>
    </row>
    <row r="202" spans="1:8" ht="14.4" x14ac:dyDescent="0.3">
      <c r="A202" s="19"/>
      <c r="B202">
        <v>71</v>
      </c>
      <c r="C202" t="s">
        <v>21</v>
      </c>
      <c r="D202" t="s">
        <v>35</v>
      </c>
      <c r="E202">
        <v>112.2</v>
      </c>
    </row>
    <row r="203" spans="1:8" ht="14.4" customHeight="1" x14ac:dyDescent="0.3">
      <c r="A203" s="19"/>
      <c r="B203">
        <v>71</v>
      </c>
      <c r="C203" t="s">
        <v>22</v>
      </c>
      <c r="D203" t="s">
        <v>35</v>
      </c>
      <c r="E203">
        <v>121.7</v>
      </c>
    </row>
    <row r="204" spans="1:8" ht="14.4" customHeight="1" x14ac:dyDescent="0.3">
      <c r="A204" s="19"/>
      <c r="B204">
        <v>71</v>
      </c>
      <c r="C204" t="s">
        <v>23</v>
      </c>
      <c r="D204" t="s">
        <v>35</v>
      </c>
      <c r="E204">
        <v>120.1</v>
      </c>
      <c r="F204" s="2"/>
      <c r="G204" s="2"/>
      <c r="H204" s="2"/>
    </row>
    <row r="205" spans="1:8" ht="14.4" customHeight="1" x14ac:dyDescent="0.3">
      <c r="A205" s="19"/>
      <c r="B205">
        <v>71</v>
      </c>
      <c r="C205" t="s">
        <v>24</v>
      </c>
      <c r="D205" t="s">
        <v>35</v>
      </c>
      <c r="E205">
        <v>114.1</v>
      </c>
    </row>
    <row r="206" spans="1:8" ht="14.4" customHeight="1" x14ac:dyDescent="0.3">
      <c r="A206" s="19"/>
      <c r="B206">
        <v>101</v>
      </c>
      <c r="C206" t="s">
        <v>16</v>
      </c>
      <c r="D206" t="s">
        <v>35</v>
      </c>
      <c r="E206">
        <v>520.6</v>
      </c>
    </row>
    <row r="207" spans="1:8" ht="14.4" customHeight="1" x14ac:dyDescent="0.3">
      <c r="A207" s="19"/>
      <c r="B207">
        <v>101</v>
      </c>
      <c r="C207" t="s">
        <v>17</v>
      </c>
      <c r="D207" t="s">
        <v>35</v>
      </c>
      <c r="E207">
        <v>517.1</v>
      </c>
      <c r="F207" s="2"/>
      <c r="G207" s="2"/>
      <c r="H207" s="2"/>
    </row>
    <row r="208" spans="1:8" ht="14.4" customHeight="1" x14ac:dyDescent="0.3">
      <c r="A208" s="19"/>
      <c r="B208">
        <v>101</v>
      </c>
      <c r="C208" t="s">
        <v>18</v>
      </c>
      <c r="D208" t="s">
        <v>35</v>
      </c>
      <c r="E208">
        <v>517.20000000000005</v>
      </c>
    </row>
    <row r="209" spans="1:8" ht="14.4" customHeight="1" x14ac:dyDescent="0.3">
      <c r="A209" s="19"/>
      <c r="B209">
        <v>101</v>
      </c>
      <c r="C209" t="s">
        <v>19</v>
      </c>
      <c r="D209" t="s">
        <v>35</v>
      </c>
      <c r="E209">
        <v>501.4</v>
      </c>
    </row>
    <row r="210" spans="1:8" ht="14.4" customHeight="1" x14ac:dyDescent="0.3">
      <c r="A210" s="19"/>
      <c r="B210">
        <v>101</v>
      </c>
      <c r="C210" t="s">
        <v>20</v>
      </c>
      <c r="D210" t="s">
        <v>35</v>
      </c>
      <c r="E210">
        <v>505.9</v>
      </c>
      <c r="F210" s="2">
        <f>AVERAGE(E206:E214)</f>
        <v>519.70000000000005</v>
      </c>
      <c r="G210" s="2">
        <f>_xlfn.STDEV.P(E206:E214)</f>
        <v>17.174787723093793</v>
      </c>
      <c r="H210" s="2">
        <f>G210*100/F210</f>
        <v>3.3047503796601485</v>
      </c>
    </row>
    <row r="211" spans="1:8" ht="14.4" customHeight="1" x14ac:dyDescent="0.3">
      <c r="A211" s="19"/>
      <c r="B211">
        <v>101</v>
      </c>
      <c r="C211" t="s">
        <v>21</v>
      </c>
      <c r="D211" t="s">
        <v>35</v>
      </c>
      <c r="E211">
        <v>516.9</v>
      </c>
    </row>
    <row r="212" spans="1:8" ht="14.4" customHeight="1" x14ac:dyDescent="0.3">
      <c r="A212" s="19"/>
      <c r="B212">
        <v>101</v>
      </c>
      <c r="C212" t="s">
        <v>22</v>
      </c>
      <c r="D212" t="s">
        <v>35</v>
      </c>
      <c r="E212">
        <v>542.4</v>
      </c>
    </row>
    <row r="213" spans="1:8" ht="14.4" customHeight="1" x14ac:dyDescent="0.3">
      <c r="A213" s="19"/>
      <c r="B213">
        <v>101</v>
      </c>
      <c r="C213" t="s">
        <v>23</v>
      </c>
      <c r="D213" t="s">
        <v>35</v>
      </c>
      <c r="E213">
        <v>554.9</v>
      </c>
      <c r="F213" s="2"/>
      <c r="G213" s="2"/>
      <c r="H213" s="2"/>
    </row>
    <row r="214" spans="1:8" ht="14.4" customHeight="1" x14ac:dyDescent="0.3">
      <c r="A214" s="19"/>
      <c r="B214">
        <v>101</v>
      </c>
      <c r="C214" t="s">
        <v>24</v>
      </c>
      <c r="D214" t="s">
        <v>35</v>
      </c>
      <c r="E214">
        <v>500.9</v>
      </c>
    </row>
    <row r="215" spans="1:8" ht="14.4" customHeight="1" x14ac:dyDescent="0.3">
      <c r="A215" s="19"/>
      <c r="B215">
        <v>121</v>
      </c>
      <c r="C215" t="s">
        <v>16</v>
      </c>
      <c r="D215" t="s">
        <v>35</v>
      </c>
      <c r="E215">
        <v>1079</v>
      </c>
    </row>
    <row r="216" spans="1:8" ht="14.4" customHeight="1" x14ac:dyDescent="0.3">
      <c r="A216" s="19"/>
      <c r="B216">
        <v>121</v>
      </c>
      <c r="C216" t="s">
        <v>17</v>
      </c>
      <c r="D216" t="s">
        <v>35</v>
      </c>
      <c r="E216">
        <v>1035</v>
      </c>
      <c r="F216" s="2"/>
      <c r="G216" s="2"/>
      <c r="H216" s="2"/>
    </row>
    <row r="217" spans="1:8" ht="14.4" customHeight="1" x14ac:dyDescent="0.3">
      <c r="A217" s="19"/>
      <c r="B217">
        <v>121</v>
      </c>
      <c r="C217" t="s">
        <v>18</v>
      </c>
      <c r="D217" t="s">
        <v>35</v>
      </c>
      <c r="E217">
        <v>1045</v>
      </c>
    </row>
    <row r="218" spans="1:8" ht="14.4" customHeight="1" x14ac:dyDescent="0.3">
      <c r="A218" s="19"/>
      <c r="B218">
        <v>121</v>
      </c>
      <c r="C218" t="s">
        <v>19</v>
      </c>
      <c r="D218" t="s">
        <v>35</v>
      </c>
      <c r="E218">
        <v>1096</v>
      </c>
    </row>
    <row r="219" spans="1:8" ht="14.4" customHeight="1" x14ac:dyDescent="0.3">
      <c r="A219" s="19"/>
      <c r="B219">
        <v>121</v>
      </c>
      <c r="C219" t="s">
        <v>20</v>
      </c>
      <c r="D219" t="s">
        <v>35</v>
      </c>
      <c r="E219">
        <v>1069</v>
      </c>
      <c r="F219" s="2">
        <f>AVERAGE(E215:E223)</f>
        <v>1072.6666666666667</v>
      </c>
      <c r="G219" s="2">
        <f>_xlfn.STDEV.P(E215:E223)</f>
        <v>22.949219304078003</v>
      </c>
      <c r="H219" s="2">
        <f>G219*100/F219</f>
        <v>2.1394548760793661</v>
      </c>
    </row>
    <row r="220" spans="1:8" ht="14.4" customHeight="1" x14ac:dyDescent="0.3">
      <c r="A220" s="19"/>
      <c r="B220">
        <v>121</v>
      </c>
      <c r="C220" t="s">
        <v>21</v>
      </c>
      <c r="D220" t="s">
        <v>35</v>
      </c>
      <c r="E220">
        <v>1063</v>
      </c>
    </row>
    <row r="221" spans="1:8" ht="14.4" customHeight="1" x14ac:dyDescent="0.3">
      <c r="A221" s="19"/>
      <c r="B221">
        <v>121</v>
      </c>
      <c r="C221" t="s">
        <v>22</v>
      </c>
      <c r="D221" t="s">
        <v>35</v>
      </c>
      <c r="E221">
        <v>1063</v>
      </c>
    </row>
    <row r="222" spans="1:8" ht="14.4" customHeight="1" x14ac:dyDescent="0.3">
      <c r="A222" s="19"/>
      <c r="B222">
        <v>121</v>
      </c>
      <c r="C222" t="s">
        <v>23</v>
      </c>
      <c r="D222" t="s">
        <v>35</v>
      </c>
      <c r="E222">
        <v>1097</v>
      </c>
      <c r="F222" s="2"/>
      <c r="G222" s="2"/>
      <c r="H222" s="2"/>
    </row>
    <row r="223" spans="1:8" ht="14.4" customHeight="1" x14ac:dyDescent="0.3">
      <c r="A223" s="19"/>
      <c r="B223">
        <v>121</v>
      </c>
      <c r="C223" t="s">
        <v>24</v>
      </c>
      <c r="D223" t="s">
        <v>35</v>
      </c>
      <c r="E223">
        <v>1107</v>
      </c>
    </row>
    <row r="224" spans="1:8" ht="14.4" customHeight="1" x14ac:dyDescent="0.3">
      <c r="A224" s="19"/>
      <c r="B224">
        <v>168</v>
      </c>
      <c r="C224" t="s">
        <v>16</v>
      </c>
      <c r="D224" t="s">
        <v>35</v>
      </c>
      <c r="E224">
        <f>123.3*20</f>
        <v>2466</v>
      </c>
    </row>
    <row r="225" spans="1:8" ht="14.4" customHeight="1" x14ac:dyDescent="0.3">
      <c r="A225" s="19"/>
      <c r="B225">
        <v>168</v>
      </c>
      <c r="C225" t="s">
        <v>17</v>
      </c>
      <c r="D225" t="s">
        <v>35</v>
      </c>
      <c r="E225">
        <f>120.5*20</f>
        <v>2410</v>
      </c>
      <c r="F225" s="2"/>
      <c r="G225" s="2"/>
      <c r="H225" s="2"/>
    </row>
    <row r="226" spans="1:8" ht="14.4" customHeight="1" x14ac:dyDescent="0.3">
      <c r="A226" s="19"/>
      <c r="B226">
        <v>168</v>
      </c>
      <c r="C226" t="s">
        <v>18</v>
      </c>
      <c r="D226" t="s">
        <v>35</v>
      </c>
      <c r="E226">
        <f>124.3*20</f>
        <v>2486</v>
      </c>
    </row>
    <row r="227" spans="1:8" ht="14.4" customHeight="1" x14ac:dyDescent="0.3">
      <c r="A227" s="19"/>
      <c r="B227">
        <v>168</v>
      </c>
      <c r="C227" t="s">
        <v>19</v>
      </c>
      <c r="D227" t="s">
        <v>35</v>
      </c>
      <c r="E227">
        <f>127*20</f>
        <v>2540</v>
      </c>
    </row>
    <row r="228" spans="1:8" ht="14.4" customHeight="1" x14ac:dyDescent="0.3">
      <c r="A228" s="19"/>
      <c r="B228">
        <v>168</v>
      </c>
      <c r="C228" t="s">
        <v>20</v>
      </c>
      <c r="D228" t="s">
        <v>35</v>
      </c>
      <c r="E228">
        <f>125.5*20</f>
        <v>2510</v>
      </c>
      <c r="F228" s="2">
        <f>AVERAGE(E224:E232)</f>
        <v>2480.8888888888887</v>
      </c>
      <c r="G228" s="2">
        <f>_xlfn.STDEV.P(E224:E232)</f>
        <v>48.626568970847032</v>
      </c>
      <c r="H228" s="2">
        <f>G228*100/F228</f>
        <v>1.960046223296414</v>
      </c>
    </row>
    <row r="229" spans="1:8" ht="14.4" customHeight="1" x14ac:dyDescent="0.3">
      <c r="A229" s="19"/>
      <c r="B229">
        <v>168</v>
      </c>
      <c r="C229" t="s">
        <v>21</v>
      </c>
      <c r="D229" t="s">
        <v>35</v>
      </c>
      <c r="E229">
        <f>120.7*20</f>
        <v>2414</v>
      </c>
    </row>
    <row r="230" spans="1:8" ht="14.4" customHeight="1" x14ac:dyDescent="0.3">
      <c r="A230" s="19"/>
      <c r="B230">
        <v>168</v>
      </c>
      <c r="C230" t="s">
        <v>22</v>
      </c>
      <c r="D230" t="s">
        <v>35</v>
      </c>
      <c r="E230">
        <f>121.9*20</f>
        <v>2438</v>
      </c>
    </row>
    <row r="231" spans="1:8" ht="14.4" customHeight="1" x14ac:dyDescent="0.3">
      <c r="A231" s="19"/>
      <c r="B231">
        <v>168</v>
      </c>
      <c r="C231" t="s">
        <v>23</v>
      </c>
      <c r="D231" t="s">
        <v>35</v>
      </c>
      <c r="E231">
        <f>127*20</f>
        <v>2540</v>
      </c>
      <c r="F231" s="2"/>
      <c r="G231" s="2"/>
      <c r="H231" s="2"/>
    </row>
    <row r="232" spans="1:8" ht="14.4" customHeight="1" x14ac:dyDescent="0.3">
      <c r="A232" s="19"/>
      <c r="B232">
        <v>168</v>
      </c>
      <c r="C232" t="s">
        <v>24</v>
      </c>
      <c r="D232" t="s">
        <v>35</v>
      </c>
      <c r="E232">
        <f>126.2*20</f>
        <v>2524</v>
      </c>
    </row>
    <row r="233" spans="1:8" ht="14.4" customHeight="1" x14ac:dyDescent="0.3">
      <c r="A233" s="20" t="s">
        <v>36</v>
      </c>
      <c r="B233" s="7">
        <v>68</v>
      </c>
      <c r="C233" s="7" t="s">
        <v>16</v>
      </c>
      <c r="D233" s="7" t="s">
        <v>37</v>
      </c>
      <c r="E233" s="7">
        <v>363.9</v>
      </c>
      <c r="F233" s="7"/>
      <c r="G233" s="7"/>
      <c r="H233" s="7"/>
    </row>
    <row r="234" spans="1:8" ht="14.4" customHeight="1" x14ac:dyDescent="0.3">
      <c r="A234" s="20"/>
      <c r="B234" s="7">
        <v>68</v>
      </c>
      <c r="C234" s="7" t="s">
        <v>17</v>
      </c>
      <c r="D234" s="7" t="s">
        <v>37</v>
      </c>
      <c r="E234" s="7">
        <v>392.6</v>
      </c>
      <c r="F234" s="7"/>
      <c r="G234" s="7"/>
      <c r="H234" s="7"/>
    </row>
    <row r="235" spans="1:8" ht="14.4" customHeight="1" x14ac:dyDescent="0.3">
      <c r="A235" s="20"/>
      <c r="B235" s="7">
        <v>68</v>
      </c>
      <c r="C235" s="7" t="s">
        <v>18</v>
      </c>
      <c r="D235" s="7" t="s">
        <v>37</v>
      </c>
      <c r="E235" s="7">
        <v>399.6</v>
      </c>
      <c r="F235" s="7"/>
      <c r="G235" s="7"/>
      <c r="H235" s="7"/>
    </row>
    <row r="236" spans="1:8" ht="14.4" customHeight="1" x14ac:dyDescent="0.3">
      <c r="A236" s="20"/>
      <c r="B236" s="7">
        <v>68</v>
      </c>
      <c r="C236" s="7" t="s">
        <v>19</v>
      </c>
      <c r="D236" s="7" t="s">
        <v>37</v>
      </c>
      <c r="E236" s="7">
        <v>387.6</v>
      </c>
      <c r="F236" s="7"/>
      <c r="G236" s="7"/>
      <c r="H236" s="7"/>
    </row>
    <row r="237" spans="1:8" ht="14.4" customHeight="1" x14ac:dyDescent="0.3">
      <c r="A237" s="20"/>
      <c r="B237" s="7">
        <v>68</v>
      </c>
      <c r="C237" s="7" t="s">
        <v>20</v>
      </c>
      <c r="D237" s="7" t="s">
        <v>37</v>
      </c>
      <c r="E237" s="7">
        <v>399.5</v>
      </c>
      <c r="F237" s="13">
        <f>AVERAGE(E233:E241)</f>
        <v>384.9444444444444</v>
      </c>
      <c r="G237" s="13">
        <f>_xlfn.STDEV.P(E233:E241)</f>
        <v>13.107259321215118</v>
      </c>
      <c r="H237" s="13">
        <f>G237*100/F237</f>
        <v>3.4049742788551325</v>
      </c>
    </row>
    <row r="238" spans="1:8" ht="14.4" customHeight="1" x14ac:dyDescent="0.3">
      <c r="A238" s="20"/>
      <c r="B238" s="7">
        <v>68</v>
      </c>
      <c r="C238" s="7" t="s">
        <v>21</v>
      </c>
      <c r="D238" s="7" t="s">
        <v>37</v>
      </c>
      <c r="E238" s="7">
        <v>397.2</v>
      </c>
      <c r="F238" s="7"/>
      <c r="G238" s="7"/>
      <c r="H238" s="7"/>
    </row>
    <row r="239" spans="1:8" ht="14.4" customHeight="1" x14ac:dyDescent="0.3">
      <c r="A239" s="20"/>
      <c r="B239" s="7">
        <v>68</v>
      </c>
      <c r="C239" s="7" t="s">
        <v>22</v>
      </c>
      <c r="D239" s="7" t="s">
        <v>37</v>
      </c>
      <c r="E239" s="7">
        <v>365.4</v>
      </c>
      <c r="F239" s="7"/>
      <c r="G239" s="7"/>
      <c r="H239" s="7"/>
    </row>
    <row r="240" spans="1:8" ht="14.4" customHeight="1" x14ac:dyDescent="0.3">
      <c r="A240" s="20"/>
      <c r="B240" s="7">
        <v>68</v>
      </c>
      <c r="C240" s="7" t="s">
        <v>23</v>
      </c>
      <c r="D240" s="7" t="s">
        <v>37</v>
      </c>
      <c r="E240" s="7">
        <v>382.2</v>
      </c>
      <c r="F240" s="8"/>
      <c r="G240" s="8"/>
      <c r="H240" s="8"/>
    </row>
    <row r="241" spans="1:8" ht="14.4" customHeight="1" x14ac:dyDescent="0.3">
      <c r="A241" s="20"/>
      <c r="B241" s="7">
        <v>68</v>
      </c>
      <c r="C241" s="7" t="s">
        <v>24</v>
      </c>
      <c r="D241" s="7" t="s">
        <v>37</v>
      </c>
      <c r="E241" s="7">
        <v>376.5</v>
      </c>
      <c r="F241" s="7"/>
      <c r="G241" s="7"/>
      <c r="H241" s="7"/>
    </row>
    <row r="242" spans="1:8" ht="14.4" customHeight="1" x14ac:dyDescent="0.3">
      <c r="A242" s="20"/>
      <c r="B242" s="7">
        <v>115</v>
      </c>
      <c r="C242" s="7" t="s">
        <v>16</v>
      </c>
      <c r="D242" s="7" t="s">
        <v>37</v>
      </c>
      <c r="E242" s="7">
        <f>79*20</f>
        <v>1580</v>
      </c>
      <c r="F242" s="7"/>
      <c r="G242" s="7"/>
      <c r="H242" s="7"/>
    </row>
    <row r="243" spans="1:8" ht="14.4" customHeight="1" x14ac:dyDescent="0.3">
      <c r="A243" s="20"/>
      <c r="B243" s="7">
        <v>115</v>
      </c>
      <c r="C243" s="7" t="s">
        <v>17</v>
      </c>
      <c r="D243" s="7" t="s">
        <v>37</v>
      </c>
      <c r="E243" s="7">
        <f>67.38*20</f>
        <v>1347.6</v>
      </c>
      <c r="F243" s="7"/>
      <c r="G243" s="7"/>
      <c r="H243" s="7"/>
    </row>
    <row r="244" spans="1:8" ht="14.4" customHeight="1" x14ac:dyDescent="0.3">
      <c r="A244" s="20"/>
      <c r="B244" s="7">
        <v>115</v>
      </c>
      <c r="C244" s="7" t="s">
        <v>18</v>
      </c>
      <c r="D244" s="7" t="s">
        <v>37</v>
      </c>
      <c r="E244" s="7">
        <f>72.54*20</f>
        <v>1450.8000000000002</v>
      </c>
      <c r="F244" s="7"/>
      <c r="G244" s="7"/>
      <c r="H244" s="7"/>
    </row>
    <row r="245" spans="1:8" ht="14.4" customHeight="1" x14ac:dyDescent="0.3">
      <c r="A245" s="20"/>
      <c r="B245" s="7">
        <v>115</v>
      </c>
      <c r="C245" s="7" t="s">
        <v>19</v>
      </c>
      <c r="D245" s="7" t="s">
        <v>37</v>
      </c>
      <c r="E245" s="7">
        <f>76.49*20</f>
        <v>1529.8</v>
      </c>
      <c r="F245" s="7"/>
      <c r="G245" s="7"/>
      <c r="H245" s="7"/>
    </row>
    <row r="246" spans="1:8" ht="14.4" customHeight="1" x14ac:dyDescent="0.3">
      <c r="A246" s="20"/>
      <c r="B246" s="7">
        <v>115</v>
      </c>
      <c r="C246" s="7" t="s">
        <v>20</v>
      </c>
      <c r="D246" s="7" t="s">
        <v>37</v>
      </c>
      <c r="E246" s="7">
        <f>81.28*20</f>
        <v>1625.6</v>
      </c>
      <c r="F246" s="13">
        <f>AVERAGE(E242:E250)</f>
        <v>1515.2</v>
      </c>
      <c r="G246" s="13">
        <f>_xlfn.STDEV.P(E242:E250)</f>
        <v>95.557824262473545</v>
      </c>
      <c r="H246" s="13">
        <f>G246*100/F246</f>
        <v>6.3066145896563848</v>
      </c>
    </row>
    <row r="247" spans="1:8" ht="14.4" customHeight="1" x14ac:dyDescent="0.3">
      <c r="A247" s="20"/>
      <c r="B247" s="7">
        <v>115</v>
      </c>
      <c r="C247" s="7" t="s">
        <v>21</v>
      </c>
      <c r="D247" s="7" t="s">
        <v>37</v>
      </c>
      <c r="E247" s="7">
        <f>82.36*20</f>
        <v>1647.2</v>
      </c>
      <c r="F247" s="7"/>
      <c r="G247" s="7"/>
      <c r="H247" s="7"/>
    </row>
    <row r="248" spans="1:8" ht="14.4" customHeight="1" x14ac:dyDescent="0.3">
      <c r="A248" s="20"/>
      <c r="B248" s="7">
        <v>115</v>
      </c>
      <c r="C248" s="7" t="s">
        <v>22</v>
      </c>
      <c r="D248" s="7" t="s">
        <v>37</v>
      </c>
      <c r="E248" s="7">
        <f>71.21*20</f>
        <v>1424.1999999999998</v>
      </c>
      <c r="F248" s="7"/>
      <c r="G248" s="7"/>
      <c r="H248" s="7"/>
    </row>
    <row r="249" spans="1:8" ht="14.4" customHeight="1" x14ac:dyDescent="0.3">
      <c r="A249" s="20"/>
      <c r="B249" s="7">
        <v>115</v>
      </c>
      <c r="C249" s="7" t="s">
        <v>23</v>
      </c>
      <c r="D249" s="7" t="s">
        <v>37</v>
      </c>
      <c r="E249" s="7">
        <f>72.7*20</f>
        <v>1454</v>
      </c>
      <c r="F249" s="8"/>
      <c r="G249" s="8"/>
      <c r="H249" s="8"/>
    </row>
    <row r="250" spans="1:8" ht="14.4" customHeight="1" x14ac:dyDescent="0.3">
      <c r="A250" s="20"/>
      <c r="B250" s="7">
        <v>115</v>
      </c>
      <c r="C250" s="7" t="s">
        <v>24</v>
      </c>
      <c r="D250" s="7" t="s">
        <v>37</v>
      </c>
      <c r="E250" s="7">
        <f>78.88*20</f>
        <v>1577.6</v>
      </c>
      <c r="F250" s="7"/>
      <c r="G250" s="7"/>
      <c r="H250" s="7"/>
    </row>
    <row r="251" spans="1:8" ht="14.4" customHeight="1" x14ac:dyDescent="0.3">
      <c r="A251" s="20"/>
      <c r="B251" s="7">
        <v>141</v>
      </c>
      <c r="C251" s="7" t="s">
        <v>16</v>
      </c>
      <c r="D251" s="7" t="s">
        <v>37</v>
      </c>
      <c r="E251" s="7">
        <f>119.8*20</f>
        <v>2396</v>
      </c>
      <c r="F251" s="7"/>
      <c r="G251" s="7"/>
      <c r="H251" s="7"/>
    </row>
    <row r="252" spans="1:8" ht="14.4" customHeight="1" x14ac:dyDescent="0.3">
      <c r="A252" s="20"/>
      <c r="B252" s="7">
        <v>141</v>
      </c>
      <c r="C252" s="7" t="s">
        <v>17</v>
      </c>
      <c r="D252" s="7" t="s">
        <v>37</v>
      </c>
      <c r="E252" s="7">
        <f>114.1*20</f>
        <v>2282</v>
      </c>
      <c r="F252" s="7"/>
      <c r="G252" s="7"/>
      <c r="H252" s="7"/>
    </row>
    <row r="253" spans="1:8" ht="14.4" customHeight="1" x14ac:dyDescent="0.3">
      <c r="A253" s="20"/>
      <c r="B253" s="7">
        <v>141</v>
      </c>
      <c r="C253" s="7" t="s">
        <v>18</v>
      </c>
      <c r="D253" s="7" t="s">
        <v>37</v>
      </c>
      <c r="E253" s="7">
        <f>116.8*20</f>
        <v>2336</v>
      </c>
      <c r="F253" s="7"/>
      <c r="G253" s="7"/>
      <c r="H253" s="7"/>
    </row>
    <row r="254" spans="1:8" ht="14.4" customHeight="1" x14ac:dyDescent="0.3">
      <c r="A254" s="20"/>
      <c r="B254" s="7">
        <v>141</v>
      </c>
      <c r="C254" s="7" t="s">
        <v>19</v>
      </c>
      <c r="D254" s="7" t="s">
        <v>37</v>
      </c>
      <c r="E254" s="7">
        <f>119.6*20</f>
        <v>2392</v>
      </c>
      <c r="F254" s="7"/>
      <c r="G254" s="7"/>
      <c r="H254" s="7"/>
    </row>
    <row r="255" spans="1:8" ht="14.4" customHeight="1" x14ac:dyDescent="0.3">
      <c r="A255" s="20"/>
      <c r="B255" s="7">
        <v>141</v>
      </c>
      <c r="C255" s="7" t="s">
        <v>20</v>
      </c>
      <c r="D255" s="7" t="s">
        <v>37</v>
      </c>
      <c r="E255" s="7">
        <f>125.7*20</f>
        <v>2514</v>
      </c>
      <c r="F255" s="13">
        <f>AVERAGE(E251:E259)</f>
        <v>2426.4444444444443</v>
      </c>
      <c r="G255" s="13">
        <f>_xlfn.STDEV.P(E251:E259)</f>
        <v>88.326554596641998</v>
      </c>
      <c r="H255" s="13">
        <f>G255*100/F255</f>
        <v>3.6401638949069421</v>
      </c>
    </row>
    <row r="256" spans="1:8" ht="14.4" customHeight="1" x14ac:dyDescent="0.3">
      <c r="A256" s="20"/>
      <c r="B256" s="7">
        <v>141</v>
      </c>
      <c r="C256" s="7" t="s">
        <v>21</v>
      </c>
      <c r="D256" s="7" t="s">
        <v>37</v>
      </c>
      <c r="E256" s="7">
        <f>118.7*20</f>
        <v>2374</v>
      </c>
      <c r="F256" s="7"/>
      <c r="G256" s="7"/>
      <c r="H256" s="7"/>
    </row>
    <row r="257" spans="1:8" ht="14.4" customHeight="1" x14ac:dyDescent="0.3">
      <c r="A257" s="20"/>
      <c r="B257" s="7">
        <v>141</v>
      </c>
      <c r="C257" s="7" t="s">
        <v>22</v>
      </c>
      <c r="D257" s="7" t="s">
        <v>37</v>
      </c>
      <c r="E257" s="7">
        <f>127.6*20</f>
        <v>2552</v>
      </c>
      <c r="F257" s="7"/>
      <c r="G257" s="7"/>
      <c r="H257" s="7"/>
    </row>
    <row r="258" spans="1:8" ht="14.4" customHeight="1" x14ac:dyDescent="0.3">
      <c r="A258" s="20"/>
      <c r="B258" s="7">
        <v>141</v>
      </c>
      <c r="C258" s="7" t="s">
        <v>23</v>
      </c>
      <c r="D258" s="7" t="s">
        <v>37</v>
      </c>
      <c r="E258" s="7">
        <f>122.8*20</f>
        <v>2456</v>
      </c>
      <c r="F258" s="8"/>
      <c r="G258" s="8"/>
      <c r="H258" s="8"/>
    </row>
    <row r="259" spans="1:8" ht="14.4" customHeight="1" x14ac:dyDescent="0.3">
      <c r="A259" s="20"/>
      <c r="B259" s="7">
        <v>141</v>
      </c>
      <c r="C259" s="7" t="s">
        <v>24</v>
      </c>
      <c r="D259" s="7" t="s">
        <v>37</v>
      </c>
      <c r="E259" s="7">
        <f>126.8*20</f>
        <v>2536</v>
      </c>
      <c r="F259" s="7"/>
      <c r="G259" s="7"/>
      <c r="H259" s="7"/>
    </row>
    <row r="260" spans="1:8" ht="14.4" customHeight="1" x14ac:dyDescent="0.3">
      <c r="A260" s="20"/>
      <c r="B260" s="7">
        <v>187</v>
      </c>
      <c r="C260" s="7" t="s">
        <v>16</v>
      </c>
      <c r="D260" s="7" t="s">
        <v>37</v>
      </c>
      <c r="E260" s="7">
        <f>142*20</f>
        <v>2840</v>
      </c>
      <c r="F260" s="7"/>
      <c r="G260" s="7"/>
      <c r="H260" s="7"/>
    </row>
    <row r="261" spans="1:8" ht="14.4" customHeight="1" x14ac:dyDescent="0.3">
      <c r="A261" s="20"/>
      <c r="B261" s="7">
        <v>187</v>
      </c>
      <c r="C261" s="7" t="s">
        <v>17</v>
      </c>
      <c r="D261" s="7" t="s">
        <v>37</v>
      </c>
      <c r="E261" s="7">
        <f>138.8*20</f>
        <v>2776</v>
      </c>
      <c r="F261" s="7"/>
      <c r="G261" s="7"/>
      <c r="H261" s="7"/>
    </row>
    <row r="262" spans="1:8" ht="14.4" customHeight="1" x14ac:dyDescent="0.3">
      <c r="A262" s="20"/>
      <c r="B262" s="7">
        <v>187</v>
      </c>
      <c r="C262" s="7" t="s">
        <v>18</v>
      </c>
      <c r="D262" s="7" t="s">
        <v>37</v>
      </c>
      <c r="E262" s="7">
        <f>138.6*20</f>
        <v>2772</v>
      </c>
      <c r="F262" s="7"/>
      <c r="G262" s="7"/>
      <c r="H262" s="7"/>
    </row>
    <row r="263" spans="1:8" ht="14.4" customHeight="1" x14ac:dyDescent="0.3">
      <c r="A263" s="20"/>
      <c r="B263" s="7">
        <v>187</v>
      </c>
      <c r="C263" s="7" t="s">
        <v>19</v>
      </c>
      <c r="D263" s="7" t="s">
        <v>37</v>
      </c>
      <c r="E263" s="7">
        <f>142.2*20</f>
        <v>2844</v>
      </c>
      <c r="F263" s="7"/>
      <c r="G263" s="7"/>
      <c r="H263" s="7"/>
    </row>
    <row r="264" spans="1:8" ht="14.4" customHeight="1" x14ac:dyDescent="0.3">
      <c r="A264" s="20"/>
      <c r="B264" s="7">
        <v>187</v>
      </c>
      <c r="C264" s="7" t="s">
        <v>20</v>
      </c>
      <c r="D264" s="7" t="s">
        <v>37</v>
      </c>
      <c r="E264" s="7">
        <f>144.1*20</f>
        <v>2882</v>
      </c>
      <c r="F264" s="13">
        <f>AVERAGE(E260:E268)</f>
        <v>2826.2222222222222</v>
      </c>
      <c r="G264" s="13">
        <f>_xlfn.STDEV.P(E260:E268)</f>
        <v>36.104101883851179</v>
      </c>
      <c r="H264" s="13">
        <f>G264*100/F264</f>
        <v>1.2774686151700765</v>
      </c>
    </row>
    <row r="265" spans="1:8" ht="14.4" customHeight="1" x14ac:dyDescent="0.3">
      <c r="A265" s="20"/>
      <c r="B265" s="7">
        <v>187</v>
      </c>
      <c r="C265" s="7" t="s">
        <v>21</v>
      </c>
      <c r="D265" s="7" t="s">
        <v>37</v>
      </c>
      <c r="E265" s="7">
        <f>142.9*20</f>
        <v>2858</v>
      </c>
      <c r="F265" s="7"/>
      <c r="G265" s="7"/>
      <c r="H265" s="7"/>
    </row>
    <row r="266" spans="1:8" ht="14.4" customHeight="1" x14ac:dyDescent="0.3">
      <c r="A266" s="20"/>
      <c r="B266" s="7">
        <v>187</v>
      </c>
      <c r="C266" s="7" t="s">
        <v>22</v>
      </c>
      <c r="D266" s="7" t="s">
        <v>37</v>
      </c>
      <c r="E266" s="7">
        <f>142.5*20</f>
        <v>2850</v>
      </c>
      <c r="F266" s="7"/>
      <c r="G266" s="7"/>
      <c r="H266" s="7"/>
    </row>
    <row r="267" spans="1:8" ht="14.4" customHeight="1" x14ac:dyDescent="0.3">
      <c r="A267" s="20"/>
      <c r="B267" s="7">
        <v>187</v>
      </c>
      <c r="C267" s="7" t="s">
        <v>23</v>
      </c>
      <c r="D267" s="7" t="s">
        <v>37</v>
      </c>
      <c r="E267" s="7">
        <f>141*20</f>
        <v>2820</v>
      </c>
      <c r="F267" s="8"/>
      <c r="G267" s="8"/>
      <c r="H267" s="8"/>
    </row>
    <row r="268" spans="1:8" ht="14.4" customHeight="1" x14ac:dyDescent="0.3">
      <c r="A268" s="20"/>
      <c r="B268" s="7">
        <v>187</v>
      </c>
      <c r="C268" s="7" t="s">
        <v>24</v>
      </c>
      <c r="D268" s="7" t="s">
        <v>37</v>
      </c>
      <c r="E268" s="7">
        <f>139.7*20</f>
        <v>2794</v>
      </c>
      <c r="F268" s="7"/>
      <c r="G268" s="7"/>
      <c r="H268" s="7"/>
    </row>
    <row r="269" spans="1:8" ht="14.4" customHeight="1" x14ac:dyDescent="0.35"/>
    <row r="270" spans="1:8" ht="14.4" customHeight="1" x14ac:dyDescent="0.35"/>
    <row r="271" spans="1:8" ht="14.4" customHeight="1" x14ac:dyDescent="0.35"/>
    <row r="272" spans="1:8" ht="14.4" customHeight="1" x14ac:dyDescent="0.35"/>
    <row r="273" ht="14.4" customHeight="1" x14ac:dyDescent="0.35"/>
    <row r="274" ht="14.4" customHeight="1" x14ac:dyDescent="0.35"/>
    <row r="275" ht="14.4" customHeight="1" x14ac:dyDescent="0.35"/>
    <row r="276" ht="14.4" customHeight="1" x14ac:dyDescent="0.35"/>
    <row r="277" ht="14.4" customHeight="1" x14ac:dyDescent="0.35"/>
    <row r="278" ht="14.4" customHeight="1" x14ac:dyDescent="0.35"/>
    <row r="279" ht="14.4" customHeight="1" x14ac:dyDescent="0.35"/>
    <row r="280" ht="14.4" customHeight="1" x14ac:dyDescent="0.35"/>
    <row r="281" ht="14.4" customHeight="1" x14ac:dyDescent="0.35"/>
    <row r="282" ht="14.4" customHeight="1" x14ac:dyDescent="0.35"/>
    <row r="283" ht="14.4" customHeight="1" x14ac:dyDescent="0.35"/>
    <row r="284" ht="14.4" customHeight="1" x14ac:dyDescent="0.35"/>
    <row r="285" ht="14.4" customHeight="1" x14ac:dyDescent="0.35"/>
    <row r="286" ht="14.4" customHeight="1" x14ac:dyDescent="0.35"/>
    <row r="287" ht="14.4" customHeight="1" x14ac:dyDescent="0.35"/>
    <row r="288" ht="14.4" customHeight="1" x14ac:dyDescent="0.35"/>
    <row r="289" ht="14.4" customHeight="1" x14ac:dyDescent="0.35"/>
    <row r="290" ht="14.4" customHeight="1" x14ac:dyDescent="0.35"/>
    <row r="291" ht="14.4" customHeight="1" x14ac:dyDescent="0.35"/>
    <row r="292" ht="14.4" customHeight="1" x14ac:dyDescent="0.35"/>
    <row r="293" ht="14.4" customHeight="1" x14ac:dyDescent="0.35"/>
    <row r="294" ht="14.4" customHeight="1" x14ac:dyDescent="0.35"/>
    <row r="295" ht="14.4" customHeight="1" x14ac:dyDescent="0.35"/>
    <row r="296" ht="14.4" customHeight="1" x14ac:dyDescent="0.35"/>
    <row r="297" ht="14.4" customHeight="1" x14ac:dyDescent="0.35"/>
    <row r="298" ht="14.4" customHeight="1" x14ac:dyDescent="0.35"/>
    <row r="299" ht="14.4" customHeight="1" x14ac:dyDescent="0.35"/>
    <row r="300" ht="14.4" customHeight="1" x14ac:dyDescent="0.35"/>
    <row r="301" ht="14.4" customHeight="1" x14ac:dyDescent="0.35"/>
    <row r="302" ht="14.4" customHeight="1" x14ac:dyDescent="0.35"/>
    <row r="303" ht="14.4" customHeight="1" x14ac:dyDescent="0.35"/>
    <row r="304" ht="14.4" customHeight="1" x14ac:dyDescent="0.35"/>
    <row r="305" ht="14.4" customHeight="1" x14ac:dyDescent="0.35"/>
    <row r="306" ht="14.4" customHeight="1" x14ac:dyDescent="0.35"/>
    <row r="307" ht="14.4" customHeight="1" x14ac:dyDescent="0.35"/>
    <row r="308" ht="14.4" customHeight="1" x14ac:dyDescent="0.35"/>
    <row r="309" ht="14.4" customHeight="1" x14ac:dyDescent="0.35"/>
    <row r="310" ht="14.4" customHeight="1" x14ac:dyDescent="0.35"/>
    <row r="311" ht="14.4" customHeight="1" x14ac:dyDescent="0.35"/>
    <row r="312" ht="14.4" customHeight="1" x14ac:dyDescent="0.35"/>
    <row r="313" ht="14.4" customHeight="1" x14ac:dyDescent="0.35"/>
    <row r="314" ht="14.4" customHeight="1" x14ac:dyDescent="0.35"/>
    <row r="315" ht="14.4" customHeight="1" x14ac:dyDescent="0.35"/>
    <row r="316" ht="14.4" customHeight="1" x14ac:dyDescent="0.35"/>
    <row r="317" ht="14.4" customHeight="1" x14ac:dyDescent="0.35"/>
    <row r="318" ht="14.4" customHeight="1" x14ac:dyDescent="0.35"/>
    <row r="319" ht="14.4" customHeight="1" x14ac:dyDescent="0.35"/>
    <row r="320" ht="14.4" customHeight="1" x14ac:dyDescent="0.35"/>
    <row r="321" ht="14.4" customHeight="1" x14ac:dyDescent="0.35"/>
    <row r="322" ht="14.4" customHeight="1" x14ac:dyDescent="0.35"/>
    <row r="323" ht="14.4" customHeight="1" x14ac:dyDescent="0.35"/>
    <row r="324" ht="14.4" customHeight="1" x14ac:dyDescent="0.35"/>
    <row r="325" ht="14.4" customHeight="1" x14ac:dyDescent="0.35"/>
    <row r="326" ht="14.4" customHeight="1" x14ac:dyDescent="0.35"/>
    <row r="327" ht="14.4" customHeight="1" x14ac:dyDescent="0.35"/>
    <row r="328" ht="14.4" customHeight="1" x14ac:dyDescent="0.35"/>
    <row r="329" ht="14.4" customHeight="1" x14ac:dyDescent="0.35"/>
    <row r="330" ht="14.4" customHeight="1" x14ac:dyDescent="0.35"/>
    <row r="331" ht="14.4" customHeight="1" x14ac:dyDescent="0.35"/>
    <row r="332" ht="14.4" customHeight="1" x14ac:dyDescent="0.35"/>
    <row r="333" ht="14.4" customHeight="1" x14ac:dyDescent="0.35"/>
    <row r="334" ht="14.4" customHeight="1" x14ac:dyDescent="0.35"/>
    <row r="335" ht="14.4" customHeight="1" x14ac:dyDescent="0.35"/>
    <row r="336" ht="14.4" customHeight="1" x14ac:dyDescent="0.35"/>
    <row r="337" ht="14.4" customHeight="1" x14ac:dyDescent="0.35"/>
    <row r="338" ht="14.4" customHeight="1" x14ac:dyDescent="0.35"/>
    <row r="339" ht="14.4" customHeight="1" x14ac:dyDescent="0.35"/>
    <row r="340" ht="14.4" customHeight="1" x14ac:dyDescent="0.35"/>
    <row r="341" ht="14.4" customHeight="1" x14ac:dyDescent="0.35"/>
    <row r="342" ht="14.4" customHeight="1" x14ac:dyDescent="0.35"/>
    <row r="343" ht="14.4" customHeight="1" x14ac:dyDescent="0.35"/>
    <row r="344" ht="14.4" customHeight="1" x14ac:dyDescent="0.35"/>
    <row r="345" ht="14.4" customHeight="1" x14ac:dyDescent="0.35"/>
    <row r="346" ht="14.4" customHeight="1" x14ac:dyDescent="0.35"/>
    <row r="347" ht="14.4" customHeight="1" x14ac:dyDescent="0.35"/>
    <row r="348" ht="14.4" customHeight="1" x14ac:dyDescent="0.35"/>
    <row r="349" ht="14.4" customHeight="1" x14ac:dyDescent="0.35"/>
    <row r="350" ht="14.4" customHeight="1" x14ac:dyDescent="0.35"/>
    <row r="351" ht="14.4" customHeight="1" x14ac:dyDescent="0.35"/>
    <row r="352" ht="14.4" customHeight="1" x14ac:dyDescent="0.35"/>
    <row r="353" ht="14.4" customHeight="1" x14ac:dyDescent="0.35"/>
    <row r="354" ht="14.4" customHeight="1" x14ac:dyDescent="0.35"/>
  </sheetData>
  <mergeCells count="24">
    <mergeCell ref="A197:A232"/>
    <mergeCell ref="A116:A139"/>
    <mergeCell ref="A2:A22"/>
    <mergeCell ref="A23:A52"/>
    <mergeCell ref="A170:A196"/>
    <mergeCell ref="A233:A268"/>
    <mergeCell ref="A158:A169"/>
    <mergeCell ref="I152:I154"/>
    <mergeCell ref="I59:I61"/>
    <mergeCell ref="I65:I67"/>
    <mergeCell ref="A53:A82"/>
    <mergeCell ref="A83:A115"/>
    <mergeCell ref="I74:I76"/>
    <mergeCell ref="A140:A157"/>
    <mergeCell ref="I149:I151"/>
    <mergeCell ref="I101:I109"/>
    <mergeCell ref="I113:I115"/>
    <mergeCell ref="I125:I127"/>
    <mergeCell ref="I122:I124"/>
    <mergeCell ref="I131:I133"/>
    <mergeCell ref="I8:I10"/>
    <mergeCell ref="I11:I13"/>
    <mergeCell ref="I14:I16"/>
    <mergeCell ref="I17:I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Routine Cultures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ΑΛΕΞΑΝΔΡΟΣ ΚΑΝΕΛΛΟΠΟΥΛΟΣ</cp:lastModifiedBy>
  <dcterms:created xsi:type="dcterms:W3CDTF">2015-06-05T18:17:20Z</dcterms:created>
  <dcterms:modified xsi:type="dcterms:W3CDTF">2023-11-11T15:02:00Z</dcterms:modified>
</cp:coreProperties>
</file>