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66925"/>
  <mc:AlternateContent xmlns:mc="http://schemas.openxmlformats.org/markup-compatibility/2006">
    <mc:Choice Requires="x15">
      <x15ac:absPath xmlns:x15ac="http://schemas.microsoft.com/office/spreadsheetml/2010/11/ac" url="https://unsw.sharepoint.com/sites/ACTL4001Group351/Shared Documents/General/"/>
    </mc:Choice>
  </mc:AlternateContent>
  <xr:revisionPtr revIDLastSave="3982" documentId="11_AB33807786AA794BE034473D45B3A1A22C73F5DA" xr6:coauthVersionLast="47" xr6:coauthVersionMax="47" xr10:uidLastSave="{A6BEE637-B414-7448-AD41-B4832A71F205}"/>
  <bookViews>
    <workbookView xWindow="-17760" yWindow="-21100" windowWidth="38400" windowHeight="21100" tabRatio="771" firstSheet="9" activeTab="11" xr2:uid="{2805764D-A09C-1142-8A70-281F7261A2E5}"/>
  </bookViews>
  <sheets>
    <sheet name="Inputs &gt;&gt;" sheetId="3" r:id="rId1"/>
    <sheet name="Population" sheetId="5" r:id="rId2"/>
    <sheet name="Exchange rates" sheetId="10" r:id="rId3"/>
    <sheet name="Inflation" sheetId="14" r:id="rId4"/>
    <sheet name="Revenue" sheetId="2" r:id="rId5"/>
    <sheet name="Expense" sheetId="1" r:id="rId6"/>
    <sheet name="GDP Rarita" sheetId="9" r:id="rId7"/>
    <sheet name="GDP others" sheetId="8" r:id="rId8"/>
    <sheet name="Spot rates" sheetId="6" r:id="rId9"/>
    <sheet name="Outputs &gt;&gt;" sheetId="4" r:id="rId10"/>
    <sheet name="Population projection" sheetId="12" r:id="rId11"/>
    <sheet name="Inflation projection" sheetId="15" r:id="rId12"/>
    <sheet name="Exchange Rate Projection" sheetId="19" r:id="rId13"/>
    <sheet name="Spot rates projection" sheetId="20" r:id="rId14"/>
    <sheet name="Sponsorship Projection" sheetId="22" r:id="rId15"/>
    <sheet name="Revenue projection" sheetId="17" r:id="rId16"/>
    <sheet name="Expense projection" sheetId="13" r:id="rId17"/>
    <sheet name="Player salary" sheetId="21" r:id="rId18"/>
    <sheet name="Cost of Capital" sheetId="23" r:id="rId19"/>
    <sheet name="Cashflows" sheetId="18" r:id="rId20"/>
    <sheet name="Sheet1" sheetId="24" r:id="rId21"/>
  </sheets>
  <definedNames>
    <definedName name="solver_adj" localSheetId="19" hidden="1">Cashflows!$C$79</definedName>
    <definedName name="solver_cvg" localSheetId="19" hidden="1">0.0001</definedName>
    <definedName name="solver_drv" localSheetId="19" hidden="1">2</definedName>
    <definedName name="solver_eng" localSheetId="19" hidden="1">1</definedName>
    <definedName name="solver_est" localSheetId="19" hidden="1">1</definedName>
    <definedName name="solver_itr" localSheetId="19" hidden="1">2147483647</definedName>
    <definedName name="solver_lin" localSheetId="19" hidden="1">2</definedName>
    <definedName name="solver_mip" localSheetId="19" hidden="1">2147483647</definedName>
    <definedName name="solver_mni" localSheetId="19" hidden="1">30</definedName>
    <definedName name="solver_mrt" localSheetId="19" hidden="1">0.075</definedName>
    <definedName name="solver_msl" localSheetId="19" hidden="1">2</definedName>
    <definedName name="solver_neg" localSheetId="19" hidden="1">1</definedName>
    <definedName name="solver_nod" localSheetId="19" hidden="1">2147483647</definedName>
    <definedName name="solver_num" localSheetId="19" hidden="1">0</definedName>
    <definedName name="solver_nwt" localSheetId="19" hidden="1">1</definedName>
    <definedName name="solver_opt" localSheetId="19" hidden="1">Cashflows!$C$85</definedName>
    <definedName name="solver_pre" localSheetId="19" hidden="1">0.000001</definedName>
    <definedName name="solver_rbv" localSheetId="19" hidden="1">2</definedName>
    <definedName name="solver_rlx" localSheetId="19" hidden="1">2</definedName>
    <definedName name="solver_rsd" localSheetId="19" hidden="1">0</definedName>
    <definedName name="solver_scl" localSheetId="19" hidden="1">2</definedName>
    <definedName name="solver_sho" localSheetId="19" hidden="1">2</definedName>
    <definedName name="solver_ssz" localSheetId="19" hidden="1">100</definedName>
    <definedName name="solver_tim" localSheetId="19" hidden="1">2147483647</definedName>
    <definedName name="solver_tol" localSheetId="19" hidden="1">0.01</definedName>
    <definedName name="solver_typ" localSheetId="19" hidden="1">3</definedName>
    <definedName name="solver_val" localSheetId="19" hidden="1">0</definedName>
    <definedName name="solver_ver" localSheetId="19" hidden="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47" i="18" l="1"/>
  <c r="C78" i="18"/>
  <c r="C79" i="24"/>
  <c r="C80" i="24" s="1"/>
  <c r="C77" i="24"/>
  <c r="C76" i="24" s="1"/>
  <c r="E32" i="21"/>
  <c r="K42" i="24"/>
  <c r="K41" i="24"/>
  <c r="K40" i="24"/>
  <c r="K39" i="24"/>
  <c r="K38" i="24"/>
  <c r="K37" i="24"/>
  <c r="K36" i="24"/>
  <c r="K35" i="24"/>
  <c r="K34" i="24"/>
  <c r="K33" i="24"/>
  <c r="F40" i="21"/>
  <c r="F41" i="21"/>
  <c r="F42" i="21"/>
  <c r="F43" i="21"/>
  <c r="F44" i="21"/>
  <c r="F45" i="21"/>
  <c r="F46" i="21"/>
  <c r="F47" i="21"/>
  <c r="F48" i="21"/>
  <c r="F49" i="21"/>
  <c r="F50" i="21"/>
  <c r="F51" i="21"/>
  <c r="F52" i="21"/>
  <c r="F53" i="21"/>
  <c r="F54" i="21"/>
  <c r="F55" i="21"/>
  <c r="F56" i="21"/>
  <c r="F57" i="21"/>
  <c r="F58" i="21"/>
  <c r="F59" i="21"/>
  <c r="F60" i="21"/>
  <c r="F61" i="21"/>
  <c r="C3" i="21"/>
  <c r="D23" i="24"/>
  <c r="H7" i="24"/>
  <c r="H15" i="24"/>
  <c r="H14" i="24"/>
  <c r="H13" i="24"/>
  <c r="H12" i="24"/>
  <c r="H11" i="24"/>
  <c r="H10" i="24"/>
  <c r="H9" i="24"/>
  <c r="H8" i="24"/>
  <c r="D16" i="24"/>
  <c r="H16" i="24" s="1"/>
  <c r="E56" i="22"/>
  <c r="E55" i="22"/>
  <c r="E54" i="22"/>
  <c r="E53" i="22"/>
  <c r="C93" i="18" l="1"/>
  <c r="C94" i="18" s="1"/>
  <c r="C91" i="18"/>
  <c r="C90" i="18" s="1"/>
  <c r="D5" i="23" l="1"/>
  <c r="D6" i="23"/>
  <c r="D7" i="23"/>
  <c r="D8" i="23"/>
  <c r="D9" i="23"/>
  <c r="D4" i="23"/>
  <c r="B66" i="18"/>
  <c r="B67" i="18" s="1"/>
  <c r="B68" i="18" s="1"/>
  <c r="B69" i="18" s="1"/>
  <c r="B70" i="18" s="1"/>
  <c r="B71" i="18" s="1"/>
  <c r="B72" i="18" s="1"/>
  <c r="B73" i="18" s="1"/>
  <c r="B74" i="18" s="1"/>
  <c r="B54" i="22"/>
  <c r="B55" i="22" s="1"/>
  <c r="B56" i="22" s="1"/>
  <c r="B57" i="22" s="1"/>
  <c r="B58" i="22" s="1"/>
  <c r="B59" i="22" s="1"/>
  <c r="B60" i="22" s="1"/>
  <c r="B61" i="22" s="1"/>
  <c r="B62" i="22" s="1"/>
  <c r="B42" i="22"/>
  <c r="B43" i="22" s="1"/>
  <c r="B44" i="22" s="1"/>
  <c r="B45" i="22" s="1"/>
  <c r="B46" i="22" s="1"/>
  <c r="B47" i="22" s="1"/>
  <c r="B48" i="22" s="1"/>
  <c r="B49" i="22" s="1"/>
  <c r="B50" i="22" s="1"/>
  <c r="D76" i="22"/>
  <c r="J20" i="18"/>
  <c r="J19" i="18"/>
  <c r="J18" i="18"/>
  <c r="J17" i="18"/>
  <c r="J16" i="18"/>
  <c r="J15" i="18"/>
  <c r="H22" i="18"/>
  <c r="H21" i="18"/>
  <c r="B77" i="22"/>
  <c r="B78" i="22" s="1"/>
  <c r="B79" i="22" s="1"/>
  <c r="B80" i="22" s="1"/>
  <c r="B81" i="22" s="1"/>
  <c r="B82" i="22" s="1"/>
  <c r="B83" i="22" s="1"/>
  <c r="B84" i="22" s="1"/>
  <c r="B85" i="22" s="1"/>
  <c r="X47" i="13" a="1"/>
  <c r="X47" i="13" s="1"/>
  <c r="E9" i="21"/>
  <c r="E10" i="21"/>
  <c r="E11" i="21"/>
  <c r="E12" i="21"/>
  <c r="E13" i="21"/>
  <c r="E14" i="21"/>
  <c r="E15" i="21"/>
  <c r="E16" i="21"/>
  <c r="E17" i="21"/>
  <c r="E18" i="21"/>
  <c r="E19" i="21"/>
  <c r="E20" i="21"/>
  <c r="E21" i="21"/>
  <c r="E22" i="21"/>
  <c r="E23" i="21"/>
  <c r="E24" i="21"/>
  <c r="E25" i="21"/>
  <c r="E26" i="21"/>
  <c r="E27" i="21"/>
  <c r="E28" i="21"/>
  <c r="E29" i="21"/>
  <c r="E30" i="21"/>
  <c r="D9" i="21"/>
  <c r="D10" i="21"/>
  <c r="D11" i="21"/>
  <c r="D12" i="21"/>
  <c r="D13" i="21"/>
  <c r="D14" i="21"/>
  <c r="D15" i="21"/>
  <c r="D16" i="21"/>
  <c r="D17" i="21"/>
  <c r="D18" i="21"/>
  <c r="D19" i="21"/>
  <c r="D20" i="21"/>
  <c r="D21" i="21"/>
  <c r="D22" i="21"/>
  <c r="D23" i="21"/>
  <c r="D24" i="21"/>
  <c r="D25" i="21"/>
  <c r="D26" i="21"/>
  <c r="D27" i="21"/>
  <c r="D28" i="21"/>
  <c r="D29" i="21"/>
  <c r="D30" i="21"/>
  <c r="C9" i="21"/>
  <c r="C10" i="21"/>
  <c r="C11" i="21"/>
  <c r="C12" i="21"/>
  <c r="C13" i="21"/>
  <c r="C14" i="21"/>
  <c r="C15" i="21"/>
  <c r="C16" i="21"/>
  <c r="C17" i="21"/>
  <c r="C18" i="21"/>
  <c r="C19" i="21"/>
  <c r="C20" i="21"/>
  <c r="C21" i="21"/>
  <c r="C22" i="21"/>
  <c r="C23" i="21"/>
  <c r="C24" i="21"/>
  <c r="C25" i="21"/>
  <c r="C26" i="21"/>
  <c r="C27" i="21"/>
  <c r="C28" i="21"/>
  <c r="C29" i="21"/>
  <c r="C30" i="21"/>
  <c r="G7" i="21"/>
  <c r="H7" i="21" s="1"/>
  <c r="N2" i="20"/>
  <c r="A1" i="20"/>
  <c r="B1" i="20"/>
  <c r="C1" i="20"/>
  <c r="D1" i="20"/>
  <c r="E1" i="20"/>
  <c r="F1" i="20"/>
  <c r="G1" i="20"/>
  <c r="H1" i="20"/>
  <c r="I1" i="20"/>
  <c r="J1" i="20"/>
  <c r="K1" i="20"/>
  <c r="L1" i="20"/>
  <c r="M1" i="20"/>
  <c r="N1" i="20"/>
  <c r="O1" i="20"/>
  <c r="A2" i="20"/>
  <c r="B2" i="20"/>
  <c r="C2" i="20"/>
  <c r="D2" i="20"/>
  <c r="E2" i="20"/>
  <c r="F2" i="20"/>
  <c r="G2" i="20"/>
  <c r="H2" i="20"/>
  <c r="I2" i="20"/>
  <c r="J2" i="20"/>
  <c r="K2" i="20"/>
  <c r="L2" i="20"/>
  <c r="M2" i="20"/>
  <c r="O2" i="20"/>
  <c r="A3" i="20"/>
  <c r="B3" i="20"/>
  <c r="C3" i="20"/>
  <c r="D3" i="20"/>
  <c r="E3" i="20"/>
  <c r="F3" i="20"/>
  <c r="G3" i="20"/>
  <c r="H3" i="20"/>
  <c r="I3" i="20"/>
  <c r="J3" i="20"/>
  <c r="K3" i="20"/>
  <c r="L3" i="20"/>
  <c r="M3" i="20"/>
  <c r="N3" i="20"/>
  <c r="O3" i="20"/>
  <c r="A4" i="20"/>
  <c r="B4" i="20"/>
  <c r="C4" i="20"/>
  <c r="D4" i="20"/>
  <c r="E4" i="20"/>
  <c r="F4" i="20"/>
  <c r="G4" i="20"/>
  <c r="H4" i="20"/>
  <c r="I4" i="20"/>
  <c r="J4" i="20"/>
  <c r="K4" i="20"/>
  <c r="L4" i="20"/>
  <c r="M4" i="20"/>
  <c r="N4" i="20"/>
  <c r="O4" i="20"/>
  <c r="A5" i="20"/>
  <c r="B5" i="20"/>
  <c r="C5" i="20"/>
  <c r="D5" i="20"/>
  <c r="E5" i="20"/>
  <c r="F5" i="20"/>
  <c r="G5" i="20"/>
  <c r="H5" i="20"/>
  <c r="I5" i="20"/>
  <c r="J5" i="20"/>
  <c r="K5" i="20"/>
  <c r="L5" i="20"/>
  <c r="M5" i="20"/>
  <c r="N5" i="20"/>
  <c r="O5" i="20"/>
  <c r="A6" i="20"/>
  <c r="B6" i="20"/>
  <c r="C6" i="20"/>
  <c r="D6" i="20"/>
  <c r="E6" i="20"/>
  <c r="F6" i="20"/>
  <c r="G6" i="20"/>
  <c r="H6" i="20"/>
  <c r="I6" i="20"/>
  <c r="J6" i="20"/>
  <c r="K6" i="20"/>
  <c r="L6" i="20"/>
  <c r="M6" i="20"/>
  <c r="N6" i="20"/>
  <c r="O6" i="20"/>
  <c r="A7" i="20"/>
  <c r="B7" i="20"/>
  <c r="C7" i="20"/>
  <c r="D7" i="20"/>
  <c r="E7" i="20"/>
  <c r="F7" i="20"/>
  <c r="G7" i="20"/>
  <c r="H7" i="20"/>
  <c r="I7" i="20"/>
  <c r="J7" i="20"/>
  <c r="K7" i="20"/>
  <c r="L7" i="20"/>
  <c r="M7" i="20"/>
  <c r="N7" i="20"/>
  <c r="O7" i="20"/>
  <c r="A8" i="20"/>
  <c r="B8" i="20"/>
  <c r="C8" i="20"/>
  <c r="D8" i="20"/>
  <c r="E8" i="20"/>
  <c r="F8" i="20"/>
  <c r="G8" i="20"/>
  <c r="H8" i="20"/>
  <c r="I8" i="20"/>
  <c r="J8" i="20"/>
  <c r="K8" i="20"/>
  <c r="L8" i="20"/>
  <c r="M8" i="20"/>
  <c r="N8" i="20"/>
  <c r="O8" i="20"/>
  <c r="A9" i="20"/>
  <c r="B9" i="20"/>
  <c r="C9" i="20"/>
  <c r="D9" i="20"/>
  <c r="E9" i="20"/>
  <c r="F9" i="20"/>
  <c r="G9" i="20"/>
  <c r="H9" i="20"/>
  <c r="I9" i="20"/>
  <c r="J9" i="20"/>
  <c r="K9" i="20"/>
  <c r="L9" i="20"/>
  <c r="M9" i="20"/>
  <c r="N9" i="20"/>
  <c r="O9" i="20"/>
  <c r="A10" i="20"/>
  <c r="B10" i="20"/>
  <c r="C10" i="20"/>
  <c r="D10" i="20"/>
  <c r="E10" i="20"/>
  <c r="F10" i="20"/>
  <c r="G10" i="20"/>
  <c r="H10" i="20"/>
  <c r="I10" i="20"/>
  <c r="J10" i="20"/>
  <c r="K10" i="20"/>
  <c r="L10" i="20"/>
  <c r="M10" i="20"/>
  <c r="N10" i="20"/>
  <c r="O10" i="20"/>
  <c r="A11" i="20"/>
  <c r="B11" i="20"/>
  <c r="C11" i="20"/>
  <c r="D11" i="20"/>
  <c r="E11" i="20"/>
  <c r="F11" i="20"/>
  <c r="G11" i="20"/>
  <c r="H11" i="20"/>
  <c r="I11" i="20"/>
  <c r="J11" i="20"/>
  <c r="K11" i="20"/>
  <c r="L11" i="20"/>
  <c r="M11" i="20"/>
  <c r="N11" i="20"/>
  <c r="O11" i="20"/>
  <c r="A12" i="20"/>
  <c r="B12" i="20"/>
  <c r="C12" i="20"/>
  <c r="D12" i="20"/>
  <c r="E12" i="20"/>
  <c r="F12" i="20"/>
  <c r="G12" i="20"/>
  <c r="H12" i="20"/>
  <c r="I12" i="20"/>
  <c r="J12" i="20"/>
  <c r="K12" i="20"/>
  <c r="L12" i="20"/>
  <c r="M12" i="20"/>
  <c r="N12" i="20"/>
  <c r="O12" i="20"/>
  <c r="A13" i="20"/>
  <c r="B13" i="20"/>
  <c r="C13" i="20"/>
  <c r="D13" i="20"/>
  <c r="E13" i="20"/>
  <c r="F13" i="20"/>
  <c r="G13" i="20"/>
  <c r="H13" i="20"/>
  <c r="I13" i="20"/>
  <c r="J13" i="20"/>
  <c r="K13" i="20"/>
  <c r="L13" i="20"/>
  <c r="M13" i="20"/>
  <c r="N13" i="20"/>
  <c r="O13" i="20"/>
  <c r="A14" i="20"/>
  <c r="B14" i="20"/>
  <c r="C14" i="20"/>
  <c r="D14" i="20"/>
  <c r="E14" i="20"/>
  <c r="F14" i="20"/>
  <c r="G14" i="20"/>
  <c r="H14" i="20"/>
  <c r="I14" i="20"/>
  <c r="J14" i="20"/>
  <c r="K14" i="20"/>
  <c r="L14" i="20"/>
  <c r="M14" i="20"/>
  <c r="N14" i="20"/>
  <c r="O14" i="20"/>
  <c r="A15" i="20"/>
  <c r="B15" i="20"/>
  <c r="C15" i="20"/>
  <c r="D15" i="20"/>
  <c r="E15" i="20"/>
  <c r="F15" i="20"/>
  <c r="G15" i="20"/>
  <c r="H15" i="20"/>
  <c r="I15" i="20"/>
  <c r="J15" i="20"/>
  <c r="K15" i="20"/>
  <c r="L15" i="20"/>
  <c r="M15" i="20"/>
  <c r="N15" i="20"/>
  <c r="O15" i="20"/>
  <c r="A16" i="20"/>
  <c r="B16" i="20"/>
  <c r="C16" i="20"/>
  <c r="D16" i="20"/>
  <c r="E16" i="20"/>
  <c r="F16" i="20"/>
  <c r="G16" i="20"/>
  <c r="H16" i="20"/>
  <c r="I16" i="20"/>
  <c r="J16" i="20"/>
  <c r="K16" i="20"/>
  <c r="L16" i="20"/>
  <c r="M16" i="20"/>
  <c r="N16" i="20"/>
  <c r="O16" i="20"/>
  <c r="A17" i="20"/>
  <c r="B17" i="20"/>
  <c r="C17" i="20"/>
  <c r="D17" i="20"/>
  <c r="E17" i="20"/>
  <c r="F17" i="20"/>
  <c r="G17" i="20"/>
  <c r="H17" i="20"/>
  <c r="I17" i="20"/>
  <c r="J17" i="20"/>
  <c r="K17" i="20"/>
  <c r="L17" i="20"/>
  <c r="M17" i="20"/>
  <c r="N17" i="20"/>
  <c r="O17" i="20"/>
  <c r="A18" i="20"/>
  <c r="B18" i="20"/>
  <c r="C18" i="20"/>
  <c r="D18" i="20"/>
  <c r="E18" i="20"/>
  <c r="F18" i="20"/>
  <c r="G18" i="20"/>
  <c r="H18" i="20"/>
  <c r="I18" i="20"/>
  <c r="J18" i="20"/>
  <c r="K18" i="20"/>
  <c r="L18" i="20"/>
  <c r="M18" i="20"/>
  <c r="N18" i="20"/>
  <c r="O18" i="20"/>
  <c r="A19" i="20"/>
  <c r="B19" i="20"/>
  <c r="C19" i="20"/>
  <c r="D19" i="20"/>
  <c r="E19" i="20"/>
  <c r="F19" i="20"/>
  <c r="G19" i="20"/>
  <c r="H19" i="20"/>
  <c r="I19" i="20"/>
  <c r="J19" i="20"/>
  <c r="K19" i="20"/>
  <c r="L19" i="20"/>
  <c r="M19" i="20"/>
  <c r="N19" i="20"/>
  <c r="O19" i="20"/>
  <c r="A20" i="20"/>
  <c r="B20" i="20"/>
  <c r="C20" i="20"/>
  <c r="D20" i="20"/>
  <c r="E20" i="20"/>
  <c r="F20" i="20"/>
  <c r="G20" i="20"/>
  <c r="H20" i="20"/>
  <c r="I20" i="20"/>
  <c r="J20" i="20"/>
  <c r="K20" i="20"/>
  <c r="L20" i="20"/>
  <c r="M20" i="20"/>
  <c r="N20" i="20"/>
  <c r="O20" i="20"/>
  <c r="A21" i="20"/>
  <c r="B21" i="20"/>
  <c r="C21" i="20"/>
  <c r="D21" i="20"/>
  <c r="E21" i="20"/>
  <c r="F21" i="20"/>
  <c r="G21" i="20"/>
  <c r="H21" i="20"/>
  <c r="I21" i="20"/>
  <c r="J21" i="20"/>
  <c r="K21" i="20"/>
  <c r="L21" i="20"/>
  <c r="M21" i="20"/>
  <c r="N21" i="20"/>
  <c r="O21" i="20"/>
  <c r="A22" i="20"/>
  <c r="B22" i="20"/>
  <c r="C22" i="20"/>
  <c r="D22" i="20"/>
  <c r="E22" i="20"/>
  <c r="F22" i="20"/>
  <c r="G22" i="20"/>
  <c r="H22" i="20"/>
  <c r="I22" i="20"/>
  <c r="J22" i="20"/>
  <c r="K22" i="20"/>
  <c r="L22" i="20"/>
  <c r="M22" i="20"/>
  <c r="N22" i="20"/>
  <c r="O22" i="20"/>
  <c r="A23" i="20"/>
  <c r="B23" i="20"/>
  <c r="C23" i="20"/>
  <c r="D23" i="20"/>
  <c r="E23" i="20"/>
  <c r="F23" i="20"/>
  <c r="G23" i="20"/>
  <c r="H23" i="20"/>
  <c r="I23" i="20"/>
  <c r="J23" i="20"/>
  <c r="K23" i="20"/>
  <c r="L23" i="20"/>
  <c r="M23" i="20"/>
  <c r="N23" i="20"/>
  <c r="O23" i="20"/>
  <c r="A24" i="20"/>
  <c r="B24" i="20"/>
  <c r="C24" i="20"/>
  <c r="D24" i="20"/>
  <c r="E24" i="20"/>
  <c r="F24" i="20"/>
  <c r="G24" i="20"/>
  <c r="H24" i="20"/>
  <c r="I24" i="20"/>
  <c r="J24" i="20"/>
  <c r="K24" i="20"/>
  <c r="L24" i="20"/>
  <c r="M24" i="20"/>
  <c r="N24" i="20"/>
  <c r="O24" i="20"/>
  <c r="A25" i="20"/>
  <c r="B25" i="20"/>
  <c r="C25" i="20"/>
  <c r="D25" i="20"/>
  <c r="E25" i="20"/>
  <c r="F25" i="20"/>
  <c r="G25" i="20"/>
  <c r="H25" i="20"/>
  <c r="I25" i="20"/>
  <c r="J25" i="20"/>
  <c r="K25" i="20"/>
  <c r="L25" i="20"/>
  <c r="M25" i="20"/>
  <c r="N25" i="20"/>
  <c r="O25" i="20"/>
  <c r="A26" i="20"/>
  <c r="B26" i="20"/>
  <c r="C26" i="20"/>
  <c r="D26" i="20"/>
  <c r="E26" i="20"/>
  <c r="F26" i="20"/>
  <c r="G26" i="20"/>
  <c r="H26" i="20"/>
  <c r="I26" i="20"/>
  <c r="J26" i="20"/>
  <c r="K26" i="20"/>
  <c r="L26" i="20"/>
  <c r="M26" i="20"/>
  <c r="N26" i="20"/>
  <c r="O26" i="20"/>
  <c r="A27" i="20"/>
  <c r="B27" i="20"/>
  <c r="C27" i="20"/>
  <c r="D27" i="20"/>
  <c r="E27" i="20"/>
  <c r="F27" i="20"/>
  <c r="G27" i="20"/>
  <c r="H27" i="20"/>
  <c r="I27" i="20"/>
  <c r="J27" i="20"/>
  <c r="K27" i="20"/>
  <c r="L27" i="20"/>
  <c r="M27" i="20"/>
  <c r="N27" i="20"/>
  <c r="O27" i="20"/>
  <c r="A28" i="20"/>
  <c r="B28" i="20"/>
  <c r="C28" i="20"/>
  <c r="D28" i="20"/>
  <c r="E28" i="20"/>
  <c r="F28" i="20"/>
  <c r="G28" i="20"/>
  <c r="H28" i="20"/>
  <c r="I28" i="20"/>
  <c r="J28" i="20"/>
  <c r="K28" i="20"/>
  <c r="L28" i="20"/>
  <c r="M28" i="20"/>
  <c r="N28" i="20"/>
  <c r="O28" i="20"/>
  <c r="A29" i="20"/>
  <c r="B29" i="20"/>
  <c r="C29" i="20"/>
  <c r="D29" i="20"/>
  <c r="E29" i="20"/>
  <c r="F29" i="20"/>
  <c r="G29" i="20"/>
  <c r="H29" i="20"/>
  <c r="I29" i="20"/>
  <c r="J29" i="20"/>
  <c r="K29" i="20"/>
  <c r="L29" i="20"/>
  <c r="M29" i="20"/>
  <c r="N29" i="20"/>
  <c r="O29" i="20"/>
  <c r="A30" i="20"/>
  <c r="B30" i="20"/>
  <c r="C30" i="20"/>
  <c r="D30" i="20"/>
  <c r="E30" i="20"/>
  <c r="F30" i="20"/>
  <c r="G30" i="20"/>
  <c r="H30" i="20"/>
  <c r="I30" i="20"/>
  <c r="J30" i="20"/>
  <c r="K30" i="20"/>
  <c r="L30" i="20"/>
  <c r="M30" i="20"/>
  <c r="N30" i="20"/>
  <c r="O30" i="20"/>
  <c r="A31" i="20"/>
  <c r="B31" i="20"/>
  <c r="C31" i="20"/>
  <c r="D31" i="20"/>
  <c r="E31" i="20"/>
  <c r="F31" i="20"/>
  <c r="G31" i="20"/>
  <c r="H31" i="20"/>
  <c r="I31" i="20"/>
  <c r="J31" i="20"/>
  <c r="K31" i="20"/>
  <c r="L31" i="20"/>
  <c r="M31" i="20"/>
  <c r="N31" i="20"/>
  <c r="O31" i="20"/>
  <c r="A32" i="20"/>
  <c r="B32" i="20"/>
  <c r="C32" i="20"/>
  <c r="D32" i="20"/>
  <c r="E32" i="20"/>
  <c r="F32" i="20"/>
  <c r="G32" i="20"/>
  <c r="H32" i="20"/>
  <c r="I32" i="20"/>
  <c r="J32" i="20"/>
  <c r="K32" i="20"/>
  <c r="L32" i="20"/>
  <c r="M32" i="20"/>
  <c r="N32" i="20"/>
  <c r="O32" i="20"/>
  <c r="A33" i="20"/>
  <c r="B33" i="20"/>
  <c r="C33" i="20"/>
  <c r="D33" i="20"/>
  <c r="E33" i="20"/>
  <c r="F33" i="20"/>
  <c r="G33" i="20"/>
  <c r="H33" i="20"/>
  <c r="I33" i="20"/>
  <c r="J33" i="20"/>
  <c r="K33" i="20"/>
  <c r="L33" i="20"/>
  <c r="M33" i="20"/>
  <c r="N33" i="20"/>
  <c r="O33" i="20"/>
  <c r="A34" i="20"/>
  <c r="B34" i="20"/>
  <c r="C34" i="20"/>
  <c r="D34" i="20"/>
  <c r="E34" i="20"/>
  <c r="F34" i="20"/>
  <c r="G34" i="20"/>
  <c r="H34" i="20"/>
  <c r="I34" i="20"/>
  <c r="J34" i="20"/>
  <c r="K34" i="20"/>
  <c r="L34" i="20"/>
  <c r="M34" i="20"/>
  <c r="N34" i="20"/>
  <c r="O34" i="20"/>
  <c r="A35" i="20"/>
  <c r="B35" i="20"/>
  <c r="C35" i="20"/>
  <c r="D35" i="20"/>
  <c r="E35" i="20"/>
  <c r="F35" i="20"/>
  <c r="G35" i="20"/>
  <c r="H35" i="20"/>
  <c r="I35" i="20"/>
  <c r="J35" i="20"/>
  <c r="K35" i="20"/>
  <c r="L35" i="20"/>
  <c r="M35" i="20"/>
  <c r="N35" i="20"/>
  <c r="O35" i="20"/>
  <c r="A36" i="20"/>
  <c r="B36" i="20"/>
  <c r="C36" i="20"/>
  <c r="D36" i="20"/>
  <c r="E36" i="20"/>
  <c r="F36" i="20"/>
  <c r="G36" i="20"/>
  <c r="H36" i="20"/>
  <c r="I36" i="20"/>
  <c r="J36" i="20"/>
  <c r="K36" i="20"/>
  <c r="L36" i="20"/>
  <c r="M36" i="20"/>
  <c r="N36" i="20"/>
  <c r="O36" i="20"/>
  <c r="A37" i="20"/>
  <c r="B37" i="20"/>
  <c r="C37" i="20"/>
  <c r="D37" i="20"/>
  <c r="E37" i="20"/>
  <c r="F37" i="20"/>
  <c r="G37" i="20"/>
  <c r="H37" i="20"/>
  <c r="I37" i="20"/>
  <c r="J37" i="20"/>
  <c r="K37" i="20"/>
  <c r="L37" i="20"/>
  <c r="M37" i="20"/>
  <c r="N37" i="20"/>
  <c r="O37" i="20"/>
  <c r="A38" i="20"/>
  <c r="B38" i="20"/>
  <c r="C38" i="20"/>
  <c r="D38" i="20"/>
  <c r="E38" i="20"/>
  <c r="F38" i="20"/>
  <c r="G38" i="20"/>
  <c r="H38" i="20"/>
  <c r="I38" i="20"/>
  <c r="J38" i="20"/>
  <c r="K38" i="20"/>
  <c r="L38" i="20"/>
  <c r="M38" i="20"/>
  <c r="N38" i="20"/>
  <c r="O38" i="20"/>
  <c r="A39" i="20"/>
  <c r="B39" i="20"/>
  <c r="C39" i="20"/>
  <c r="D39" i="20"/>
  <c r="E39" i="20"/>
  <c r="F39" i="20"/>
  <c r="G39" i="20"/>
  <c r="H39" i="20"/>
  <c r="I39" i="20"/>
  <c r="J39" i="20"/>
  <c r="K39" i="20"/>
  <c r="L39" i="20"/>
  <c r="M39" i="20"/>
  <c r="N39" i="20"/>
  <c r="O39" i="20"/>
  <c r="A40" i="20"/>
  <c r="B40" i="20"/>
  <c r="C40" i="20"/>
  <c r="D40" i="20"/>
  <c r="E40" i="20"/>
  <c r="F40" i="20"/>
  <c r="G40" i="20"/>
  <c r="H40" i="20"/>
  <c r="I40" i="20"/>
  <c r="J40" i="20"/>
  <c r="K40" i="20"/>
  <c r="L40" i="20"/>
  <c r="M40" i="20"/>
  <c r="N40" i="20"/>
  <c r="O40" i="20"/>
  <c r="A41" i="20"/>
  <c r="B41" i="20"/>
  <c r="C41" i="20"/>
  <c r="D41" i="20"/>
  <c r="E41" i="20"/>
  <c r="F41" i="20"/>
  <c r="G41" i="20"/>
  <c r="H41" i="20"/>
  <c r="I41" i="20"/>
  <c r="J41" i="20"/>
  <c r="K41" i="20"/>
  <c r="L41" i="20"/>
  <c r="M41" i="20"/>
  <c r="N41" i="20"/>
  <c r="O41" i="20"/>
  <c r="A42" i="20"/>
  <c r="B42" i="20"/>
  <c r="C42" i="20"/>
  <c r="D42" i="20"/>
  <c r="E42" i="20"/>
  <c r="F42" i="20"/>
  <c r="G42" i="20"/>
  <c r="H42" i="20"/>
  <c r="I42" i="20"/>
  <c r="J42" i="20"/>
  <c r="K42" i="20"/>
  <c r="L42" i="20"/>
  <c r="M42" i="20"/>
  <c r="N42" i="20"/>
  <c r="O42" i="20"/>
  <c r="A43" i="20"/>
  <c r="B43" i="20"/>
  <c r="C43" i="20"/>
  <c r="D43" i="20"/>
  <c r="E43" i="20"/>
  <c r="F43" i="20"/>
  <c r="G43" i="20"/>
  <c r="H43" i="20"/>
  <c r="I43" i="20"/>
  <c r="J43" i="20"/>
  <c r="K43" i="20"/>
  <c r="L43" i="20"/>
  <c r="M43" i="20"/>
  <c r="N43" i="20"/>
  <c r="O43" i="20"/>
  <c r="A44" i="20"/>
  <c r="B44" i="20"/>
  <c r="C44" i="20"/>
  <c r="D44" i="20"/>
  <c r="E44" i="20"/>
  <c r="F44" i="20"/>
  <c r="G44" i="20"/>
  <c r="H44" i="20"/>
  <c r="I44" i="20"/>
  <c r="J44" i="20"/>
  <c r="K44" i="20"/>
  <c r="L44" i="20"/>
  <c r="M44" i="20"/>
  <c r="N44" i="20"/>
  <c r="O44" i="20"/>
  <c r="A45" i="20"/>
  <c r="B45" i="20"/>
  <c r="C45" i="20"/>
  <c r="D45" i="20"/>
  <c r="E45" i="20"/>
  <c r="F45" i="20"/>
  <c r="G45" i="20"/>
  <c r="H45" i="20"/>
  <c r="I45" i="20"/>
  <c r="J45" i="20"/>
  <c r="K45" i="20"/>
  <c r="L45" i="20"/>
  <c r="M45" i="20"/>
  <c r="N45" i="20"/>
  <c r="O45" i="20"/>
  <c r="A46" i="20"/>
  <c r="B46" i="20"/>
  <c r="C46" i="20"/>
  <c r="D46" i="20"/>
  <c r="E46" i="20"/>
  <c r="F46" i="20"/>
  <c r="G46" i="20"/>
  <c r="H46" i="20"/>
  <c r="I46" i="20"/>
  <c r="J46" i="20"/>
  <c r="K46" i="20"/>
  <c r="L46" i="20"/>
  <c r="M46" i="20"/>
  <c r="N46" i="20"/>
  <c r="O46" i="20"/>
  <c r="A47" i="20"/>
  <c r="B47" i="20"/>
  <c r="C47" i="20"/>
  <c r="D47" i="20"/>
  <c r="E47" i="20"/>
  <c r="F47" i="20"/>
  <c r="G47" i="20"/>
  <c r="H47" i="20"/>
  <c r="I47" i="20"/>
  <c r="J47" i="20"/>
  <c r="K47" i="20"/>
  <c r="L47" i="20"/>
  <c r="M47" i="20"/>
  <c r="N47" i="20"/>
  <c r="O47" i="20"/>
  <c r="A48" i="20"/>
  <c r="B48" i="20"/>
  <c r="C48" i="20"/>
  <c r="D48" i="20"/>
  <c r="E48" i="20"/>
  <c r="F48" i="20"/>
  <c r="G48" i="20"/>
  <c r="H48" i="20"/>
  <c r="I48" i="20"/>
  <c r="J48" i="20"/>
  <c r="K48" i="20"/>
  <c r="L48" i="20"/>
  <c r="M48" i="20"/>
  <c r="N48" i="20"/>
  <c r="O48" i="20"/>
  <c r="A49" i="20"/>
  <c r="B49" i="20"/>
  <c r="C49" i="20"/>
  <c r="D49" i="20"/>
  <c r="E49" i="20"/>
  <c r="F49" i="20"/>
  <c r="G49" i="20"/>
  <c r="H49" i="20"/>
  <c r="I49" i="20"/>
  <c r="J49" i="20"/>
  <c r="K49" i="20"/>
  <c r="L49" i="20"/>
  <c r="M49" i="20"/>
  <c r="N49" i="20"/>
  <c r="O49" i="20"/>
  <c r="A50" i="20"/>
  <c r="B50" i="20"/>
  <c r="C50" i="20"/>
  <c r="D50" i="20"/>
  <c r="E50" i="20"/>
  <c r="F50" i="20"/>
  <c r="G50" i="20"/>
  <c r="H50" i="20"/>
  <c r="I50" i="20"/>
  <c r="J50" i="20"/>
  <c r="K50" i="20"/>
  <c r="L50" i="20"/>
  <c r="M50" i="20"/>
  <c r="N50" i="20"/>
  <c r="O50" i="20"/>
  <c r="A51" i="20"/>
  <c r="B51" i="20"/>
  <c r="C51" i="20"/>
  <c r="D51" i="20"/>
  <c r="E51" i="20"/>
  <c r="F51" i="20"/>
  <c r="G51" i="20"/>
  <c r="H51" i="20"/>
  <c r="I51" i="20"/>
  <c r="J51" i="20"/>
  <c r="K51" i="20"/>
  <c r="L51" i="20"/>
  <c r="M51" i="20"/>
  <c r="N51" i="20"/>
  <c r="O51" i="20"/>
  <c r="A52" i="20"/>
  <c r="B52" i="20"/>
  <c r="C52" i="20"/>
  <c r="D52" i="20"/>
  <c r="E52" i="20"/>
  <c r="F52" i="20"/>
  <c r="G52" i="20"/>
  <c r="H52" i="20"/>
  <c r="I52" i="20"/>
  <c r="J52" i="20"/>
  <c r="K52" i="20"/>
  <c r="L52" i="20"/>
  <c r="M52" i="20"/>
  <c r="N52" i="20"/>
  <c r="O52" i="20"/>
  <c r="A53" i="20"/>
  <c r="B53" i="20"/>
  <c r="C53" i="20"/>
  <c r="D53" i="20"/>
  <c r="E53" i="20"/>
  <c r="F53" i="20"/>
  <c r="G53" i="20"/>
  <c r="H53" i="20"/>
  <c r="I53" i="20"/>
  <c r="J53" i="20"/>
  <c r="K53" i="20"/>
  <c r="L53" i="20"/>
  <c r="M53" i="20"/>
  <c r="N53" i="20"/>
  <c r="O53" i="20"/>
  <c r="A54" i="20"/>
  <c r="B54" i="20"/>
  <c r="C54" i="20"/>
  <c r="D54" i="20"/>
  <c r="E54" i="20"/>
  <c r="F54" i="20"/>
  <c r="G54" i="20"/>
  <c r="H54" i="20"/>
  <c r="I54" i="20"/>
  <c r="J54" i="20"/>
  <c r="K54" i="20"/>
  <c r="L54" i="20"/>
  <c r="M54" i="20"/>
  <c r="N54" i="20"/>
  <c r="O54" i="20"/>
  <c r="A55" i="20"/>
  <c r="B55" i="20"/>
  <c r="C55" i="20"/>
  <c r="D55" i="20"/>
  <c r="E55" i="20"/>
  <c r="F55" i="20"/>
  <c r="G55" i="20"/>
  <c r="H55" i="20"/>
  <c r="I55" i="20"/>
  <c r="J55" i="20"/>
  <c r="K55" i="20"/>
  <c r="L55" i="20"/>
  <c r="M55" i="20"/>
  <c r="N55" i="20"/>
  <c r="O55" i="20"/>
  <c r="A56" i="20"/>
  <c r="B56" i="20"/>
  <c r="C56" i="20"/>
  <c r="D56" i="20"/>
  <c r="E56" i="20"/>
  <c r="F56" i="20"/>
  <c r="G56" i="20"/>
  <c r="H56" i="20"/>
  <c r="I56" i="20"/>
  <c r="J56" i="20"/>
  <c r="K56" i="20"/>
  <c r="L56" i="20"/>
  <c r="M56" i="20"/>
  <c r="N56" i="20"/>
  <c r="O56" i="20"/>
  <c r="A57" i="20"/>
  <c r="B57" i="20"/>
  <c r="C57" i="20"/>
  <c r="D57" i="20"/>
  <c r="E57" i="20"/>
  <c r="F57" i="20"/>
  <c r="G57" i="20"/>
  <c r="H57" i="20"/>
  <c r="I57" i="20"/>
  <c r="J57" i="20"/>
  <c r="K57" i="20"/>
  <c r="L57" i="20"/>
  <c r="M57" i="20"/>
  <c r="N57" i="20"/>
  <c r="O57" i="20"/>
  <c r="A58" i="20"/>
  <c r="B58" i="20"/>
  <c r="C58" i="20"/>
  <c r="D58" i="20"/>
  <c r="E58" i="20"/>
  <c r="F58" i="20"/>
  <c r="G58" i="20"/>
  <c r="H58" i="20"/>
  <c r="I58" i="20"/>
  <c r="J58" i="20"/>
  <c r="K58" i="20"/>
  <c r="L58" i="20"/>
  <c r="M58" i="20"/>
  <c r="N58" i="20"/>
  <c r="O58" i="20"/>
  <c r="A59" i="20"/>
  <c r="B59" i="20"/>
  <c r="C59" i="20"/>
  <c r="D59" i="20"/>
  <c r="E59" i="20"/>
  <c r="F59" i="20"/>
  <c r="G59" i="20"/>
  <c r="H59" i="20"/>
  <c r="I59" i="20"/>
  <c r="J59" i="20"/>
  <c r="K59" i="20"/>
  <c r="L59" i="20"/>
  <c r="M59" i="20"/>
  <c r="N59" i="20"/>
  <c r="O59" i="20"/>
  <c r="A60" i="20"/>
  <c r="B60" i="20"/>
  <c r="C60" i="20"/>
  <c r="D60" i="20"/>
  <c r="E60" i="20"/>
  <c r="F60" i="20"/>
  <c r="G60" i="20"/>
  <c r="H60" i="20"/>
  <c r="I60" i="20"/>
  <c r="J60" i="20"/>
  <c r="K60" i="20"/>
  <c r="L60" i="20"/>
  <c r="M60" i="20"/>
  <c r="N60" i="20"/>
  <c r="O60" i="20"/>
  <c r="A61" i="20"/>
  <c r="B61" i="20"/>
  <c r="C61" i="20"/>
  <c r="D61" i="20"/>
  <c r="E61" i="20"/>
  <c r="F61" i="20"/>
  <c r="G61" i="20"/>
  <c r="H61" i="20"/>
  <c r="I61" i="20"/>
  <c r="J61" i="20"/>
  <c r="K61" i="20"/>
  <c r="L61" i="20"/>
  <c r="M61" i="20"/>
  <c r="N61" i="20"/>
  <c r="O61" i="20"/>
  <c r="X19" i="17" a="1"/>
  <c r="X19" i="17" s="1"/>
  <c r="B33" i="18"/>
  <c r="B34" i="18" s="1"/>
  <c r="E22" i="18"/>
  <c r="E21" i="18"/>
  <c r="E20" i="18"/>
  <c r="E19" i="18"/>
  <c r="H19" i="18" s="1"/>
  <c r="E18" i="18"/>
  <c r="E17" i="18"/>
  <c r="H17" i="18" s="1"/>
  <c r="E16" i="18"/>
  <c r="H16" i="18" s="1"/>
  <c r="E15" i="18"/>
  <c r="H15" i="18" s="1"/>
  <c r="E14" i="18"/>
  <c r="F14" i="18" s="1"/>
  <c r="F11" i="19"/>
  <c r="D10" i="19"/>
  <c r="F10" i="19" s="1"/>
  <c r="D9" i="19"/>
  <c r="F9" i="19" s="1"/>
  <c r="D8" i="19"/>
  <c r="F8" i="19" s="1"/>
  <c r="D7" i="19"/>
  <c r="F7" i="19" s="1"/>
  <c r="D6" i="19"/>
  <c r="F6" i="19" s="1"/>
  <c r="D5" i="19"/>
  <c r="C5" i="19"/>
  <c r="C23" i="18"/>
  <c r="E23" i="18" s="1"/>
  <c r="I8" i="18"/>
  <c r="I7" i="18"/>
  <c r="G7" i="18"/>
  <c r="G8" i="18"/>
  <c r="C8" i="18"/>
  <c r="C7" i="19"/>
  <c r="D12" i="22" s="1"/>
  <c r="C8" i="19"/>
  <c r="D21" i="22" s="1"/>
  <c r="C9" i="19"/>
  <c r="D22" i="22" s="1"/>
  <c r="C10" i="19"/>
  <c r="C6" i="19"/>
  <c r="D11" i="22" s="1"/>
  <c r="B10" i="19"/>
  <c r="B11" i="19" s="1"/>
  <c r="B9" i="19"/>
  <c r="B8" i="19"/>
  <c r="B7" i="19"/>
  <c r="B6" i="19"/>
  <c r="B5" i="19"/>
  <c r="B54" i="18"/>
  <c r="B55" i="18" s="1"/>
  <c r="B56" i="18" s="1"/>
  <c r="B57" i="18" s="1"/>
  <c r="B58" i="18" s="1"/>
  <c r="B59" i="18" s="1"/>
  <c r="B60" i="18" s="1"/>
  <c r="B61" i="18" s="1"/>
  <c r="B62" i="18" s="1"/>
  <c r="X24" i="13" a="1"/>
  <c r="X24" i="13" s="1"/>
  <c r="X23" i="13" a="1"/>
  <c r="X23" i="13" s="1"/>
  <c r="M46" i="17"/>
  <c r="B47" i="17"/>
  <c r="B48" i="17" s="1"/>
  <c r="C45" i="17" a="1"/>
  <c r="C45" i="17" s="1"/>
  <c r="H30" i="17"/>
  <c r="L29" i="17"/>
  <c r="P28" i="17"/>
  <c r="T27" i="17"/>
  <c r="D27" i="17"/>
  <c r="H26" i="17"/>
  <c r="C25" i="17" a="1"/>
  <c r="C25" i="17" s="1"/>
  <c r="C4" i="17" a="1"/>
  <c r="C4" i="17" s="1"/>
  <c r="C48" i="17" s="1"/>
  <c r="B27" i="17"/>
  <c r="B28" i="17" s="1"/>
  <c r="C32" i="13" a="1"/>
  <c r="C32" i="13" s="1"/>
  <c r="C8" i="13" a="1"/>
  <c r="C8" i="13" s="1"/>
  <c r="C34" i="13" s="1"/>
  <c r="B34" i="13"/>
  <c r="B35" i="13" s="1"/>
  <c r="C11" i="19"/>
  <c r="D13" i="22" l="1"/>
  <c r="D19" i="22"/>
  <c r="G6" i="19"/>
  <c r="D3" i="22"/>
  <c r="C27" i="22" s="1"/>
  <c r="D16" i="22"/>
  <c r="D24" i="22"/>
  <c r="D8" i="22"/>
  <c r="G11" i="19"/>
  <c r="G10" i="19"/>
  <c r="G7" i="19"/>
  <c r="D4" i="22"/>
  <c r="D14" i="22"/>
  <c r="D20" i="22"/>
  <c r="D7" i="22"/>
  <c r="D23" i="22"/>
  <c r="G8" i="19"/>
  <c r="D5" i="22"/>
  <c r="C29" i="22" s="1"/>
  <c r="D15" i="22"/>
  <c r="G9" i="19"/>
  <c r="D6" i="22"/>
  <c r="C12" i="23"/>
  <c r="C15" i="23" s="1"/>
  <c r="L26" i="17"/>
  <c r="H27" i="17"/>
  <c r="D28" i="17"/>
  <c r="T28" i="17"/>
  <c r="P29" i="17"/>
  <c r="L30" i="17"/>
  <c r="Q46" i="17"/>
  <c r="P26" i="17"/>
  <c r="L27" i="17"/>
  <c r="H28" i="17"/>
  <c r="D29" i="17"/>
  <c r="T29" i="17"/>
  <c r="P30" i="17"/>
  <c r="E46" i="17"/>
  <c r="U46" i="17"/>
  <c r="D26" i="17"/>
  <c r="T26" i="17"/>
  <c r="P27" i="17"/>
  <c r="L28" i="17"/>
  <c r="H29" i="17"/>
  <c r="D30" i="17"/>
  <c r="T30" i="17"/>
  <c r="I46" i="17"/>
  <c r="E47" i="17"/>
  <c r="I47" i="17"/>
  <c r="I21" i="18"/>
  <c r="F16" i="18"/>
  <c r="F17" i="18"/>
  <c r="F15" i="18"/>
  <c r="C28" i="22"/>
  <c r="I7" i="21"/>
  <c r="B35" i="18"/>
  <c r="C27" i="17"/>
  <c r="C47" i="17"/>
  <c r="C30" i="17"/>
  <c r="C26" i="17"/>
  <c r="C29" i="17"/>
  <c r="C50" i="17"/>
  <c r="C46" i="17"/>
  <c r="C49" i="17"/>
  <c r="C28" i="17"/>
  <c r="E26" i="17"/>
  <c r="I26" i="17"/>
  <c r="M26" i="17"/>
  <c r="Q26" i="17"/>
  <c r="U26" i="17"/>
  <c r="E27" i="17"/>
  <c r="I27" i="17"/>
  <c r="M27" i="17"/>
  <c r="Q27" i="17"/>
  <c r="U27" i="17"/>
  <c r="E28" i="17"/>
  <c r="I28" i="17"/>
  <c r="M28" i="17"/>
  <c r="Q28" i="17"/>
  <c r="U28" i="17"/>
  <c r="E29" i="17"/>
  <c r="I29" i="17"/>
  <c r="M29" i="17"/>
  <c r="Q29" i="17"/>
  <c r="U29" i="17"/>
  <c r="E30" i="17"/>
  <c r="I30" i="17"/>
  <c r="M30" i="17"/>
  <c r="Q30" i="17"/>
  <c r="U30" i="17"/>
  <c r="F46" i="17"/>
  <c r="J46" i="17"/>
  <c r="N46" i="17"/>
  <c r="R46" i="17"/>
  <c r="V46" i="17"/>
  <c r="F47" i="17"/>
  <c r="J47" i="17"/>
  <c r="N47" i="17"/>
  <c r="R47" i="17"/>
  <c r="V47" i="17"/>
  <c r="F48" i="17"/>
  <c r="J48" i="17"/>
  <c r="N48" i="17"/>
  <c r="R48" i="17"/>
  <c r="V48" i="17"/>
  <c r="F49" i="17"/>
  <c r="J49" i="17"/>
  <c r="N49" i="17"/>
  <c r="R49" i="17"/>
  <c r="V49" i="17"/>
  <c r="F50" i="17"/>
  <c r="J50" i="17"/>
  <c r="N50" i="17"/>
  <c r="R50" i="17"/>
  <c r="V50" i="17"/>
  <c r="J26" i="17"/>
  <c r="R26" i="17"/>
  <c r="F27" i="17"/>
  <c r="J27" i="17"/>
  <c r="R27" i="17"/>
  <c r="F28" i="17"/>
  <c r="J28" i="17"/>
  <c r="N28" i="17"/>
  <c r="R28" i="17"/>
  <c r="V28" i="17"/>
  <c r="F29" i="17"/>
  <c r="J29" i="17"/>
  <c r="N29" i="17"/>
  <c r="R29" i="17"/>
  <c r="V29" i="17"/>
  <c r="F30" i="17"/>
  <c r="J30" i="17"/>
  <c r="N30" i="17"/>
  <c r="R30" i="17"/>
  <c r="V30" i="17"/>
  <c r="G46" i="17"/>
  <c r="K46" i="17"/>
  <c r="O46" i="17"/>
  <c r="S46" i="17"/>
  <c r="W46" i="17"/>
  <c r="G47" i="17"/>
  <c r="K47" i="17"/>
  <c r="O47" i="17"/>
  <c r="S47" i="17"/>
  <c r="W47" i="17"/>
  <c r="G48" i="17"/>
  <c r="K48" i="17"/>
  <c r="O48" i="17"/>
  <c r="S48" i="17"/>
  <c r="W48" i="17"/>
  <c r="G49" i="17"/>
  <c r="K49" i="17"/>
  <c r="O49" i="17"/>
  <c r="S49" i="17"/>
  <c r="W49" i="17"/>
  <c r="G50" i="17"/>
  <c r="K50" i="17"/>
  <c r="O50" i="17"/>
  <c r="S50" i="17"/>
  <c r="W50" i="17"/>
  <c r="M47" i="17"/>
  <c r="Q47" i="17"/>
  <c r="U47" i="17"/>
  <c r="E48" i="17"/>
  <c r="I48" i="17"/>
  <c r="M48" i="17"/>
  <c r="Q48" i="17"/>
  <c r="U48" i="17"/>
  <c r="E49" i="17"/>
  <c r="I49" i="17"/>
  <c r="M49" i="17"/>
  <c r="Q49" i="17"/>
  <c r="U49" i="17"/>
  <c r="E50" i="17"/>
  <c r="I50" i="17"/>
  <c r="M50" i="17"/>
  <c r="Q50" i="17"/>
  <c r="U50" i="17"/>
  <c r="F26" i="17"/>
  <c r="N26" i="17"/>
  <c r="V26" i="17"/>
  <c r="N27" i="17"/>
  <c r="V27" i="17"/>
  <c r="G26" i="17"/>
  <c r="K26" i="17"/>
  <c r="O26" i="17"/>
  <c r="S26" i="17"/>
  <c r="W26" i="17"/>
  <c r="G27" i="17"/>
  <c r="K27" i="17"/>
  <c r="O27" i="17"/>
  <c r="S27" i="17"/>
  <c r="W27" i="17"/>
  <c r="G28" i="17"/>
  <c r="K28" i="17"/>
  <c r="O28" i="17"/>
  <c r="S28" i="17"/>
  <c r="W28" i="17"/>
  <c r="G29" i="17"/>
  <c r="K29" i="17"/>
  <c r="O29" i="17"/>
  <c r="S29" i="17"/>
  <c r="W29" i="17"/>
  <c r="G30" i="17"/>
  <c r="K30" i="17"/>
  <c r="O30" i="17"/>
  <c r="S30" i="17"/>
  <c r="W30" i="17"/>
  <c r="D46" i="17"/>
  <c r="H46" i="17"/>
  <c r="L46" i="17"/>
  <c r="P46" i="17"/>
  <c r="T46" i="17"/>
  <c r="D47" i="17"/>
  <c r="H47" i="17"/>
  <c r="L47" i="17"/>
  <c r="P47" i="17"/>
  <c r="T47" i="17"/>
  <c r="D48" i="17"/>
  <c r="H48" i="17"/>
  <c r="L48" i="17"/>
  <c r="P48" i="17"/>
  <c r="T48" i="17"/>
  <c r="D49" i="17"/>
  <c r="H49" i="17"/>
  <c r="L49" i="17"/>
  <c r="P49" i="17"/>
  <c r="T49" i="17"/>
  <c r="D50" i="17"/>
  <c r="H50" i="17"/>
  <c r="L50" i="17"/>
  <c r="P50" i="17"/>
  <c r="T50" i="17"/>
  <c r="F18" i="18"/>
  <c r="F22" i="18"/>
  <c r="F19" i="18"/>
  <c r="H14" i="18"/>
  <c r="I22" i="18"/>
  <c r="F20" i="18"/>
  <c r="H18" i="18"/>
  <c r="F23" i="18"/>
  <c r="H23" i="18"/>
  <c r="F21" i="18"/>
  <c r="H20" i="18"/>
  <c r="C24" i="18"/>
  <c r="E24" i="18" s="1"/>
  <c r="B12" i="19"/>
  <c r="E33" i="13"/>
  <c r="Q33" i="13"/>
  <c r="L34" i="13"/>
  <c r="T34" i="13"/>
  <c r="O35" i="13"/>
  <c r="J36" i="13"/>
  <c r="R36" i="13"/>
  <c r="U37" i="13"/>
  <c r="M33" i="13"/>
  <c r="D34" i="13"/>
  <c r="C35" i="13"/>
  <c r="K35" i="13"/>
  <c r="F36" i="13"/>
  <c r="V36" i="13"/>
  <c r="M37" i="13"/>
  <c r="C33" i="13"/>
  <c r="G33" i="13"/>
  <c r="K33" i="13"/>
  <c r="O33" i="13"/>
  <c r="S33" i="13"/>
  <c r="W33" i="13"/>
  <c r="F34" i="13"/>
  <c r="J34" i="13"/>
  <c r="N34" i="13"/>
  <c r="R34" i="13"/>
  <c r="V34" i="13"/>
  <c r="E35" i="13"/>
  <c r="I35" i="13"/>
  <c r="M35" i="13"/>
  <c r="Q35" i="13"/>
  <c r="U35" i="13"/>
  <c r="D36" i="13"/>
  <c r="H36" i="13"/>
  <c r="L36" i="13"/>
  <c r="P36" i="13"/>
  <c r="T36" i="13"/>
  <c r="C37" i="13"/>
  <c r="G37" i="13"/>
  <c r="K37" i="13"/>
  <c r="O37" i="13"/>
  <c r="S37" i="13"/>
  <c r="W37" i="13"/>
  <c r="I33" i="13"/>
  <c r="U33" i="13"/>
  <c r="H34" i="13"/>
  <c r="P34" i="13"/>
  <c r="G35" i="13"/>
  <c r="S35" i="13"/>
  <c r="W35" i="13"/>
  <c r="N36" i="13"/>
  <c r="E37" i="13"/>
  <c r="I37" i="13"/>
  <c r="Q37" i="13"/>
  <c r="F33" i="13"/>
  <c r="J33" i="13"/>
  <c r="N33" i="13"/>
  <c r="R33" i="13"/>
  <c r="V33" i="13"/>
  <c r="E34" i="13"/>
  <c r="I34" i="13"/>
  <c r="M34" i="13"/>
  <c r="Q34" i="13"/>
  <c r="U34" i="13"/>
  <c r="D35" i="13"/>
  <c r="H35" i="13"/>
  <c r="L35" i="13"/>
  <c r="P35" i="13"/>
  <c r="T35" i="13"/>
  <c r="C36" i="13"/>
  <c r="G36" i="13"/>
  <c r="K36" i="13"/>
  <c r="O36" i="13"/>
  <c r="S36" i="13"/>
  <c r="W36" i="13"/>
  <c r="F37" i="13"/>
  <c r="J37" i="13"/>
  <c r="N37" i="13"/>
  <c r="R37" i="13"/>
  <c r="V37" i="13"/>
  <c r="D33" i="13"/>
  <c r="H33" i="13"/>
  <c r="L33" i="13"/>
  <c r="P33" i="13"/>
  <c r="T33" i="13"/>
  <c r="G34" i="13"/>
  <c r="K34" i="13"/>
  <c r="O34" i="13"/>
  <c r="S34" i="13"/>
  <c r="W34" i="13"/>
  <c r="F35" i="13"/>
  <c r="J35" i="13"/>
  <c r="N35" i="13"/>
  <c r="R35" i="13"/>
  <c r="V35" i="13"/>
  <c r="E36" i="13"/>
  <c r="I36" i="13"/>
  <c r="M36" i="13"/>
  <c r="Q36" i="13"/>
  <c r="U36" i="13"/>
  <c r="D37" i="13"/>
  <c r="H37" i="13"/>
  <c r="L37" i="13"/>
  <c r="P37" i="13"/>
  <c r="T37" i="13"/>
  <c r="B49" i="17"/>
  <c r="B29" i="17"/>
  <c r="B36" i="13"/>
  <c r="W13" i="13"/>
  <c r="V13" i="13"/>
  <c r="U13" i="13"/>
  <c r="T13" i="13"/>
  <c r="S13" i="13"/>
  <c r="R13" i="13"/>
  <c r="Q13" i="13"/>
  <c r="P13" i="13"/>
  <c r="O13" i="13"/>
  <c r="N13" i="13"/>
  <c r="M13" i="13"/>
  <c r="L13" i="13"/>
  <c r="K13" i="13"/>
  <c r="J13" i="13"/>
  <c r="I13" i="13"/>
  <c r="H13" i="13"/>
  <c r="G13" i="13"/>
  <c r="F13" i="13"/>
  <c r="E13" i="13"/>
  <c r="D13" i="13"/>
  <c r="W12" i="13"/>
  <c r="V12" i="13"/>
  <c r="U12" i="13"/>
  <c r="T12" i="13"/>
  <c r="S12" i="13"/>
  <c r="R12" i="13"/>
  <c r="Q12" i="13"/>
  <c r="P12" i="13"/>
  <c r="O12" i="13"/>
  <c r="N12" i="13"/>
  <c r="M12" i="13"/>
  <c r="L12" i="13"/>
  <c r="K12" i="13"/>
  <c r="J12" i="13"/>
  <c r="I12" i="13"/>
  <c r="H12" i="13"/>
  <c r="G12" i="13"/>
  <c r="F12" i="13"/>
  <c r="E12" i="13"/>
  <c r="D12" i="13"/>
  <c r="W11" i="13"/>
  <c r="V11" i="13"/>
  <c r="U11" i="13"/>
  <c r="T11" i="13"/>
  <c r="S11" i="13"/>
  <c r="R11" i="13"/>
  <c r="Q11" i="13"/>
  <c r="P11" i="13"/>
  <c r="O11" i="13"/>
  <c r="N11" i="13"/>
  <c r="M11" i="13"/>
  <c r="L11" i="13"/>
  <c r="K11" i="13"/>
  <c r="J11" i="13"/>
  <c r="I11" i="13"/>
  <c r="H11" i="13"/>
  <c r="G11" i="13"/>
  <c r="F11" i="13"/>
  <c r="E11" i="13"/>
  <c r="D11" i="13"/>
  <c r="C13" i="13"/>
  <c r="C12" i="13"/>
  <c r="C11" i="13"/>
  <c r="W10" i="13"/>
  <c r="V10" i="13"/>
  <c r="U10" i="13"/>
  <c r="T10" i="13"/>
  <c r="S10" i="13"/>
  <c r="R10" i="13"/>
  <c r="Q10" i="13"/>
  <c r="P10" i="13"/>
  <c r="O10" i="13"/>
  <c r="N10" i="13"/>
  <c r="M10" i="13"/>
  <c r="L10" i="13"/>
  <c r="K10" i="13"/>
  <c r="J10" i="13"/>
  <c r="I10" i="13"/>
  <c r="H10" i="13"/>
  <c r="G10" i="13"/>
  <c r="F10" i="13"/>
  <c r="E10" i="13"/>
  <c r="D10" i="13"/>
  <c r="C10" i="13"/>
  <c r="W9" i="13"/>
  <c r="V9" i="13"/>
  <c r="U9" i="13"/>
  <c r="T9" i="13"/>
  <c r="S9" i="13"/>
  <c r="R9" i="13"/>
  <c r="Q9" i="13"/>
  <c r="P9" i="13"/>
  <c r="O9" i="13"/>
  <c r="N9" i="13"/>
  <c r="M9" i="13"/>
  <c r="L9" i="13"/>
  <c r="K9" i="13"/>
  <c r="J9" i="13"/>
  <c r="I9" i="13"/>
  <c r="H9" i="13"/>
  <c r="G9" i="13"/>
  <c r="F9" i="13"/>
  <c r="E9" i="13"/>
  <c r="D9" i="13"/>
  <c r="C9" i="13"/>
  <c r="R9" i="17"/>
  <c r="M9" i="17"/>
  <c r="H9" i="17"/>
  <c r="S8" i="17"/>
  <c r="N8" i="17"/>
  <c r="H8" i="17"/>
  <c r="T7" i="17"/>
  <c r="N7" i="17"/>
  <c r="I7" i="17"/>
  <c r="D7" i="17"/>
  <c r="T6" i="17"/>
  <c r="O6" i="17"/>
  <c r="J6" i="17"/>
  <c r="D6" i="17"/>
  <c r="B6" i="17"/>
  <c r="B7" i="17" s="1"/>
  <c r="B8" i="17" s="1"/>
  <c r="B9" i="17" s="1"/>
  <c r="B10" i="17" s="1"/>
  <c r="U5" i="17"/>
  <c r="P5" i="17"/>
  <c r="J5" i="17"/>
  <c r="E5" i="17"/>
  <c r="U9" i="17"/>
  <c r="B10" i="13"/>
  <c r="B11" i="13" s="1"/>
  <c r="B12" i="13" s="1"/>
  <c r="B13" i="13" s="1"/>
  <c r="B14" i="13" s="1"/>
  <c r="B15" i="13" s="1"/>
  <c r="B16" i="13" s="1"/>
  <c r="B17" i="13" s="1"/>
  <c r="B18" i="13" s="1"/>
  <c r="B19" i="13" s="1"/>
  <c r="B20" i="13" s="1"/>
  <c r="B21" i="13" s="1"/>
  <c r="B22" i="13" s="1"/>
  <c r="C12" i="19"/>
  <c r="C32" i="22" l="1"/>
  <c r="C30" i="22"/>
  <c r="C31" i="22"/>
  <c r="B13" i="19"/>
  <c r="B14" i="19" s="1"/>
  <c r="H65" i="18"/>
  <c r="H66" i="18" s="1"/>
  <c r="H67" i="18" s="1"/>
  <c r="H68" i="18" s="1"/>
  <c r="H69" i="18" s="1"/>
  <c r="H70" i="18" s="1"/>
  <c r="H71" i="18" s="1"/>
  <c r="H72" i="18" s="1"/>
  <c r="H73" i="18" s="1"/>
  <c r="H74" i="18" s="1"/>
  <c r="I25" i="18"/>
  <c r="AC12" i="13"/>
  <c r="AC10" i="13"/>
  <c r="AC11" i="13"/>
  <c r="AC13" i="13"/>
  <c r="E31" i="21"/>
  <c r="J7" i="21"/>
  <c r="B36" i="18"/>
  <c r="H24" i="18"/>
  <c r="F24" i="18"/>
  <c r="B50" i="17"/>
  <c r="B30" i="17"/>
  <c r="B37" i="13"/>
  <c r="B11" i="17"/>
  <c r="F5" i="17"/>
  <c r="L5" i="17"/>
  <c r="V5" i="17"/>
  <c r="K6" i="17"/>
  <c r="V6" i="17"/>
  <c r="J7" i="17"/>
  <c r="U7" i="17"/>
  <c r="O8" i="17"/>
  <c r="D9" i="17"/>
  <c r="N9" i="17"/>
  <c r="L6" i="17"/>
  <c r="R6" i="17"/>
  <c r="W6" i="17"/>
  <c r="F7" i="17"/>
  <c r="L7" i="17"/>
  <c r="Q7" i="17"/>
  <c r="V7" i="17"/>
  <c r="F8" i="17"/>
  <c r="K8" i="17"/>
  <c r="P8" i="17"/>
  <c r="V8" i="17"/>
  <c r="E9" i="17"/>
  <c r="J9" i="17"/>
  <c r="P9" i="17"/>
  <c r="W9" i="17"/>
  <c r="S9" i="17"/>
  <c r="O9" i="17"/>
  <c r="K9" i="17"/>
  <c r="G9" i="17"/>
  <c r="U8" i="17"/>
  <c r="Q8" i="17"/>
  <c r="M8" i="17"/>
  <c r="I8" i="17"/>
  <c r="E8" i="17"/>
  <c r="W7" i="17"/>
  <c r="S7" i="17"/>
  <c r="O7" i="17"/>
  <c r="K7" i="17"/>
  <c r="G7" i="17"/>
  <c r="U6" i="17"/>
  <c r="Q6" i="17"/>
  <c r="M6" i="17"/>
  <c r="I6" i="17"/>
  <c r="E6" i="17"/>
  <c r="W5" i="17"/>
  <c r="S5" i="17"/>
  <c r="O5" i="17"/>
  <c r="K5" i="17"/>
  <c r="G5" i="17"/>
  <c r="Q5" i="17"/>
  <c r="F6" i="17"/>
  <c r="P6" i="17"/>
  <c r="E7" i="17"/>
  <c r="P7" i="17"/>
  <c r="D8" i="17"/>
  <c r="J8" i="17"/>
  <c r="T8" i="17"/>
  <c r="I9" i="17"/>
  <c r="T9" i="17"/>
  <c r="H5" i="17"/>
  <c r="M5" i="17"/>
  <c r="R5" i="17"/>
  <c r="G6" i="17"/>
  <c r="D5" i="17"/>
  <c r="I5" i="17"/>
  <c r="N5" i="17"/>
  <c r="T5" i="17"/>
  <c r="H6" i="17"/>
  <c r="N6" i="17"/>
  <c r="S6" i="17"/>
  <c r="H7" i="17"/>
  <c r="M7" i="17"/>
  <c r="R7" i="17"/>
  <c r="G8" i="17"/>
  <c r="L8" i="17"/>
  <c r="R8" i="17"/>
  <c r="W8" i="17"/>
  <c r="F9" i="17"/>
  <c r="L9" i="17"/>
  <c r="Q9" i="17"/>
  <c r="V9" i="17"/>
  <c r="C35" i="15"/>
  <c r="B35" i="15"/>
  <c r="B36" i="15" s="1"/>
  <c r="B37" i="15" s="1"/>
  <c r="C34" i="15"/>
  <c r="F34" i="15" s="1"/>
  <c r="B34" i="15"/>
  <c r="C33" i="15"/>
  <c r="B33" i="15"/>
  <c r="C32" i="15"/>
  <c r="F32" i="15" s="1"/>
  <c r="B32" i="15"/>
  <c r="C31" i="15"/>
  <c r="B31" i="15"/>
  <c r="C30" i="15"/>
  <c r="B30" i="15"/>
  <c r="C29" i="15"/>
  <c r="B29" i="15"/>
  <c r="C28" i="15"/>
  <c r="B28" i="15"/>
  <c r="C27" i="15"/>
  <c r="C26" i="15"/>
  <c r="B26" i="15"/>
  <c r="C25" i="15"/>
  <c r="B25" i="15"/>
  <c r="C24" i="15"/>
  <c r="B24" i="15"/>
  <c r="C23" i="15"/>
  <c r="B23" i="15"/>
  <c r="C22" i="15"/>
  <c r="B22" i="15"/>
  <c r="C21" i="15"/>
  <c r="B21" i="15"/>
  <c r="C20" i="15"/>
  <c r="B20" i="15"/>
  <c r="C19" i="15"/>
  <c r="B19" i="15"/>
  <c r="C18" i="15"/>
  <c r="B18" i="15"/>
  <c r="C17" i="15"/>
  <c r="B17" i="15"/>
  <c r="C16" i="15"/>
  <c r="B16" i="15"/>
  <c r="C15" i="15"/>
  <c r="B15" i="15"/>
  <c r="C14" i="15"/>
  <c r="B14" i="15"/>
  <c r="C13" i="15"/>
  <c r="B13" i="15"/>
  <c r="C12" i="15"/>
  <c r="B12" i="15"/>
  <c r="C11" i="15"/>
  <c r="B11" i="15"/>
  <c r="C10" i="15"/>
  <c r="B10" i="15"/>
  <c r="C9" i="15"/>
  <c r="B9" i="15"/>
  <c r="C8" i="15"/>
  <c r="B8" i="15"/>
  <c r="C7" i="15"/>
  <c r="B7" i="15"/>
  <c r="C6" i="15"/>
  <c r="B6" i="15"/>
  <c r="B27" i="15"/>
  <c r="C5" i="15"/>
  <c r="B5" i="15"/>
  <c r="E12" i="12"/>
  <c r="D12" i="12"/>
  <c r="C12" i="12"/>
  <c r="E11" i="12"/>
  <c r="D11" i="12"/>
  <c r="C11" i="12"/>
  <c r="E10" i="12"/>
  <c r="D10" i="12"/>
  <c r="C10" i="12"/>
  <c r="E9" i="12"/>
  <c r="D9" i="12"/>
  <c r="I9" i="12" s="1"/>
  <c r="C9" i="12"/>
  <c r="E8" i="12"/>
  <c r="D8" i="12"/>
  <c r="C8" i="12"/>
  <c r="E7" i="12"/>
  <c r="D7" i="12"/>
  <c r="C7" i="12"/>
  <c r="E6" i="12"/>
  <c r="J6" i="12" s="1"/>
  <c r="D6" i="12"/>
  <c r="C6" i="12"/>
  <c r="E5" i="12"/>
  <c r="D5" i="12"/>
  <c r="C5" i="12"/>
  <c r="E4" i="12"/>
  <c r="D4" i="12"/>
  <c r="C4" i="12"/>
  <c r="E3" i="12"/>
  <c r="D3" i="12"/>
  <c r="C3" i="12"/>
  <c r="E2" i="12"/>
  <c r="J3" i="12" s="1"/>
  <c r="D2" i="12"/>
  <c r="I3" i="12" s="1"/>
  <c r="C2" i="12"/>
  <c r="H3" i="12" s="1"/>
  <c r="B3" i="12"/>
  <c r="C36" i="15"/>
  <c r="E12" i="19"/>
  <c r="E35" i="22" l="1"/>
  <c r="E36" i="22" s="1"/>
  <c r="F31" i="15"/>
  <c r="D27" i="22" s="1"/>
  <c r="E37" i="22"/>
  <c r="E38" i="22" s="1"/>
  <c r="F33" i="15"/>
  <c r="D29" i="22" s="1"/>
  <c r="E39" i="22"/>
  <c r="E40" i="22" s="1"/>
  <c r="F35" i="15"/>
  <c r="D31" i="22" s="1"/>
  <c r="E31" i="22" s="1"/>
  <c r="C39" i="22" s="1"/>
  <c r="F36" i="15"/>
  <c r="B38" i="15"/>
  <c r="F12" i="19"/>
  <c r="G12" i="19" s="1"/>
  <c r="K7" i="21"/>
  <c r="B37" i="18"/>
  <c r="B15" i="19"/>
  <c r="J4" i="12"/>
  <c r="J10" i="12"/>
  <c r="B4" i="12"/>
  <c r="B51" i="17"/>
  <c r="Q10" i="17"/>
  <c r="I10" i="17"/>
  <c r="M10" i="17"/>
  <c r="M11" i="17" s="1"/>
  <c r="T10" i="17"/>
  <c r="T11" i="17" s="1"/>
  <c r="P10" i="17"/>
  <c r="K10" i="17"/>
  <c r="K11" i="17" s="1"/>
  <c r="E10" i="17"/>
  <c r="U10" i="17"/>
  <c r="U11" i="17" s="1"/>
  <c r="R10" i="17"/>
  <c r="O10" i="17"/>
  <c r="O11" i="17" s="1"/>
  <c r="B31" i="17"/>
  <c r="B38" i="13"/>
  <c r="N10" i="17"/>
  <c r="N11" i="17" s="1"/>
  <c r="S10" i="17"/>
  <c r="F10" i="17"/>
  <c r="F11" i="17" s="1"/>
  <c r="J10" i="17"/>
  <c r="J11" i="17" s="1"/>
  <c r="L10" i="17"/>
  <c r="L11" i="17" s="1"/>
  <c r="D10" i="17"/>
  <c r="D11" i="17" s="1"/>
  <c r="H10" i="17"/>
  <c r="G10" i="17"/>
  <c r="G11" i="17" s="1"/>
  <c r="W10" i="17"/>
  <c r="W11" i="17" s="1"/>
  <c r="V10" i="17"/>
  <c r="V11" i="17" s="1"/>
  <c r="R11" i="17"/>
  <c r="Q11" i="17"/>
  <c r="I11" i="17"/>
  <c r="B12" i="17"/>
  <c r="P11" i="17"/>
  <c r="H11" i="17"/>
  <c r="C9" i="17"/>
  <c r="C7" i="17"/>
  <c r="C5" i="17"/>
  <c r="C6" i="17"/>
  <c r="C8" i="17"/>
  <c r="O14" i="13"/>
  <c r="J14" i="13"/>
  <c r="Q14" i="13"/>
  <c r="H14" i="13"/>
  <c r="L14" i="13"/>
  <c r="K14" i="13"/>
  <c r="V14" i="13"/>
  <c r="F14" i="13"/>
  <c r="M14" i="13"/>
  <c r="D14" i="13"/>
  <c r="W14" i="13"/>
  <c r="G14" i="13"/>
  <c r="R14" i="13"/>
  <c r="I14" i="13"/>
  <c r="S14" i="13"/>
  <c r="C14" i="13"/>
  <c r="C15" i="13" s="1"/>
  <c r="N14" i="13"/>
  <c r="U14" i="13"/>
  <c r="E14" i="13"/>
  <c r="P14" i="13"/>
  <c r="T14" i="13"/>
  <c r="H6" i="12"/>
  <c r="I7" i="12"/>
  <c r="F4" i="12"/>
  <c r="F8" i="12"/>
  <c r="F12" i="12"/>
  <c r="F3" i="12"/>
  <c r="I4" i="12"/>
  <c r="J5" i="12"/>
  <c r="F7" i="12"/>
  <c r="I8" i="12"/>
  <c r="J9" i="12"/>
  <c r="F11" i="12"/>
  <c r="I12" i="12"/>
  <c r="I5" i="12"/>
  <c r="J8" i="12"/>
  <c r="H10" i="12"/>
  <c r="I11" i="12"/>
  <c r="J12" i="12"/>
  <c r="J11" i="12"/>
  <c r="H12" i="12"/>
  <c r="J7" i="12"/>
  <c r="H5" i="12"/>
  <c r="H9" i="12"/>
  <c r="I6" i="12"/>
  <c r="F6" i="12"/>
  <c r="F10" i="12"/>
  <c r="H7" i="12"/>
  <c r="I10" i="12"/>
  <c r="F5" i="12"/>
  <c r="F9" i="12"/>
  <c r="H11" i="12"/>
  <c r="H8" i="12"/>
  <c r="H4" i="12"/>
  <c r="C37" i="15"/>
  <c r="C13" i="19"/>
  <c r="C14" i="19" s="1"/>
  <c r="C15" i="19"/>
  <c r="E13" i="19"/>
  <c r="E14" i="19"/>
  <c r="E15" i="19"/>
  <c r="F39" i="22" l="1"/>
  <c r="D28" i="22"/>
  <c r="E28" i="22" s="1"/>
  <c r="C36" i="22" s="1"/>
  <c r="E27" i="22"/>
  <c r="C35" i="22" s="1"/>
  <c r="F35" i="22" s="1"/>
  <c r="K25" i="18"/>
  <c r="D62" i="18" s="1"/>
  <c r="D30" i="22"/>
  <c r="E30" i="22" s="1"/>
  <c r="C38" i="22" s="1"/>
  <c r="E29" i="22"/>
  <c r="C37" i="22" s="1"/>
  <c r="D61" i="18"/>
  <c r="F37" i="15"/>
  <c r="E41" i="22"/>
  <c r="B39" i="15"/>
  <c r="D32" i="22"/>
  <c r="E32" i="22" s="1"/>
  <c r="C40" i="22" s="1"/>
  <c r="K14" i="18"/>
  <c r="I13" i="24"/>
  <c r="I15" i="24"/>
  <c r="K20" i="18"/>
  <c r="I11" i="24"/>
  <c r="I8" i="24"/>
  <c r="K15" i="18"/>
  <c r="I16" i="24"/>
  <c r="I14" i="24"/>
  <c r="J14" i="24" s="1"/>
  <c r="I10" i="24"/>
  <c r="I12" i="24"/>
  <c r="K17" i="18"/>
  <c r="K19" i="18"/>
  <c r="I9" i="24"/>
  <c r="I7" i="24"/>
  <c r="K16" i="18"/>
  <c r="K18" i="18"/>
  <c r="F15" i="19"/>
  <c r="G15" i="19" s="1"/>
  <c r="F14" i="19"/>
  <c r="G14" i="19" s="1"/>
  <c r="F13" i="19"/>
  <c r="G13" i="19" s="1"/>
  <c r="J11" i="24"/>
  <c r="E11" i="24" s="1"/>
  <c r="C10" i="17"/>
  <c r="E15" i="13"/>
  <c r="E16" i="13" s="1"/>
  <c r="E17" i="13" s="1"/>
  <c r="E18" i="13" s="1"/>
  <c r="H15" i="13"/>
  <c r="U15" i="13"/>
  <c r="W15" i="13"/>
  <c r="W16" i="13" s="1"/>
  <c r="Q15" i="13"/>
  <c r="N15" i="13"/>
  <c r="N16" i="13" s="1"/>
  <c r="N17" i="13" s="1"/>
  <c r="N18" i="13" s="1"/>
  <c r="D15" i="13"/>
  <c r="J15" i="13"/>
  <c r="J16" i="13" s="1"/>
  <c r="M15" i="13"/>
  <c r="O15" i="13"/>
  <c r="O16" i="13" s="1"/>
  <c r="P15" i="13"/>
  <c r="P16" i="13" s="1"/>
  <c r="P17" i="13" s="1"/>
  <c r="P18" i="13" s="1"/>
  <c r="P19" i="13" s="1"/>
  <c r="L15" i="13"/>
  <c r="L16" i="13" s="1"/>
  <c r="L17" i="13" s="1"/>
  <c r="L18" i="13" s="1"/>
  <c r="L19" i="13" s="1"/>
  <c r="G15" i="13"/>
  <c r="G16" i="13" s="1"/>
  <c r="AC14" i="13"/>
  <c r="V15" i="13"/>
  <c r="V16" i="13" s="1"/>
  <c r="V17" i="13" s="1"/>
  <c r="V18" i="13" s="1"/>
  <c r="T15" i="13"/>
  <c r="T16" i="13" s="1"/>
  <c r="L7" i="21"/>
  <c r="B38" i="18"/>
  <c r="E11" i="17"/>
  <c r="L31" i="17"/>
  <c r="H31" i="17"/>
  <c r="C31" i="17"/>
  <c r="P31" i="17"/>
  <c r="T31" i="17"/>
  <c r="D31" i="17"/>
  <c r="O31" i="17"/>
  <c r="N31" i="17"/>
  <c r="K31" i="17"/>
  <c r="Q31" i="17"/>
  <c r="J31" i="17"/>
  <c r="S31" i="17"/>
  <c r="I31" i="17"/>
  <c r="U31" i="17"/>
  <c r="V31" i="17"/>
  <c r="W31" i="17"/>
  <c r="F31" i="17"/>
  <c r="E31" i="17"/>
  <c r="R31" i="17"/>
  <c r="G31" i="17"/>
  <c r="M31" i="17"/>
  <c r="W51" i="17"/>
  <c r="G51" i="17"/>
  <c r="K51" i="17"/>
  <c r="S51" i="17"/>
  <c r="O51" i="17"/>
  <c r="E51" i="17"/>
  <c r="C51" i="17"/>
  <c r="T51" i="17"/>
  <c r="M51" i="17"/>
  <c r="U51" i="17"/>
  <c r="I51" i="17"/>
  <c r="H51" i="17"/>
  <c r="Q51" i="17"/>
  <c r="P51" i="17"/>
  <c r="D51" i="17"/>
  <c r="N51" i="17"/>
  <c r="L51" i="17"/>
  <c r="F51" i="17"/>
  <c r="R51" i="17"/>
  <c r="J51" i="17"/>
  <c r="V51" i="17"/>
  <c r="B16" i="19"/>
  <c r="B5" i="12"/>
  <c r="M16" i="13"/>
  <c r="M17" i="13" s="1"/>
  <c r="M18" i="13" s="1"/>
  <c r="M19" i="13" s="1"/>
  <c r="D38" i="13"/>
  <c r="H38" i="13"/>
  <c r="L38" i="13"/>
  <c r="P38" i="13"/>
  <c r="C38" i="13"/>
  <c r="I38" i="13"/>
  <c r="V38" i="13"/>
  <c r="Q38" i="13"/>
  <c r="S38" i="13"/>
  <c r="M38" i="13"/>
  <c r="J38" i="13"/>
  <c r="R38" i="13"/>
  <c r="O38" i="13"/>
  <c r="F38" i="13"/>
  <c r="W38" i="13"/>
  <c r="T38" i="13"/>
  <c r="E38" i="13"/>
  <c r="G38" i="13"/>
  <c r="N38" i="13"/>
  <c r="K38" i="13"/>
  <c r="U38" i="13"/>
  <c r="B52" i="17"/>
  <c r="S11" i="17"/>
  <c r="B32" i="17"/>
  <c r="S15" i="13"/>
  <c r="AC15" i="13" s="1"/>
  <c r="B39" i="13"/>
  <c r="D16" i="13"/>
  <c r="D17" i="13" s="1"/>
  <c r="U12" i="17"/>
  <c r="Q12" i="17"/>
  <c r="M12" i="17"/>
  <c r="I12" i="17"/>
  <c r="E12" i="17"/>
  <c r="B13" i="17"/>
  <c r="T12" i="17"/>
  <c r="P12" i="17"/>
  <c r="L12" i="17"/>
  <c r="H12" i="17"/>
  <c r="D12" i="17"/>
  <c r="W12" i="17"/>
  <c r="O12" i="17"/>
  <c r="G12" i="17"/>
  <c r="K12" i="17"/>
  <c r="V12" i="17"/>
  <c r="N12" i="17"/>
  <c r="F12" i="17"/>
  <c r="S12" i="17"/>
  <c r="R12" i="17"/>
  <c r="J12" i="17"/>
  <c r="C11" i="17"/>
  <c r="K15" i="13"/>
  <c r="K16" i="13" s="1"/>
  <c r="K17" i="13" s="1"/>
  <c r="K18" i="13" s="1"/>
  <c r="R15" i="13"/>
  <c r="R16" i="13" s="1"/>
  <c r="U16" i="13"/>
  <c r="U17" i="13" s="1"/>
  <c r="C16" i="13"/>
  <c r="F15" i="13"/>
  <c r="I15" i="13"/>
  <c r="I16" i="13" s="1"/>
  <c r="C38" i="15"/>
  <c r="E16" i="19"/>
  <c r="C16" i="19"/>
  <c r="J10" i="24" l="1"/>
  <c r="E10" i="24" s="1"/>
  <c r="J16" i="24"/>
  <c r="E16" i="24" s="1"/>
  <c r="D53" i="18"/>
  <c r="D55" i="18"/>
  <c r="D54" i="18"/>
  <c r="J7" i="24"/>
  <c r="E7" i="24" s="1"/>
  <c r="J12" i="24"/>
  <c r="E12" i="24" s="1"/>
  <c r="J15" i="24"/>
  <c r="E15" i="24" s="1"/>
  <c r="D57" i="18"/>
  <c r="D60" i="18"/>
  <c r="D58" i="18"/>
  <c r="J9" i="24"/>
  <c r="E9" i="24" s="1"/>
  <c r="J8" i="24"/>
  <c r="E8" i="24" s="1"/>
  <c r="J13" i="24"/>
  <c r="E13" i="24" s="1"/>
  <c r="D56" i="18"/>
  <c r="D59" i="18"/>
  <c r="F37" i="22"/>
  <c r="D37" i="22"/>
  <c r="F36" i="22"/>
  <c r="D36" i="22"/>
  <c r="F38" i="22"/>
  <c r="D38" i="22"/>
  <c r="D39" i="22"/>
  <c r="F38" i="15"/>
  <c r="G38" i="15" s="1"/>
  <c r="I20" i="24"/>
  <c r="E42" i="22"/>
  <c r="F40" i="22"/>
  <c r="D40" i="22"/>
  <c r="B40" i="15"/>
  <c r="G37" i="15"/>
  <c r="F16" i="19"/>
  <c r="G16" i="19" s="1"/>
  <c r="K14" i="24"/>
  <c r="E14" i="24"/>
  <c r="P52" i="17"/>
  <c r="Q16" i="13"/>
  <c r="Q17" i="13" s="1"/>
  <c r="Q18" i="13" s="1"/>
  <c r="J17" i="13"/>
  <c r="J18" i="13" s="1"/>
  <c r="T17" i="13"/>
  <c r="T18" i="13" s="1"/>
  <c r="O17" i="13"/>
  <c r="O18" i="13" s="1"/>
  <c r="H16" i="13"/>
  <c r="H17" i="13" s="1"/>
  <c r="G17" i="13"/>
  <c r="G18" i="13" s="1"/>
  <c r="M7" i="21"/>
  <c r="B39" i="18"/>
  <c r="P32" i="17"/>
  <c r="E32" i="17"/>
  <c r="U32" i="17"/>
  <c r="R32" i="17"/>
  <c r="G32" i="17"/>
  <c r="W32" i="17"/>
  <c r="I32" i="17"/>
  <c r="F32" i="17"/>
  <c r="V32" i="17"/>
  <c r="K32" i="17"/>
  <c r="L32" i="17"/>
  <c r="M32" i="17"/>
  <c r="J32" i="17"/>
  <c r="O32" i="17"/>
  <c r="C32" i="17"/>
  <c r="Q32" i="17"/>
  <c r="N32" i="17"/>
  <c r="S32" i="17"/>
  <c r="M52" i="17"/>
  <c r="R52" i="17"/>
  <c r="Q52" i="17"/>
  <c r="S52" i="17"/>
  <c r="L52" i="17"/>
  <c r="D52" i="17"/>
  <c r="F52" i="17"/>
  <c r="V52" i="17"/>
  <c r="G52" i="17"/>
  <c r="W52" i="17"/>
  <c r="I52" i="17"/>
  <c r="J52" i="17"/>
  <c r="K52" i="17"/>
  <c r="H52" i="17"/>
  <c r="U52" i="17"/>
  <c r="N52" i="17"/>
  <c r="E52" i="17"/>
  <c r="O52" i="17"/>
  <c r="C52" i="17"/>
  <c r="D32" i="17"/>
  <c r="H32" i="17"/>
  <c r="T52" i="17"/>
  <c r="T32" i="17"/>
  <c r="B17" i="19"/>
  <c r="H39" i="13"/>
  <c r="B6" i="12"/>
  <c r="Q39" i="13"/>
  <c r="J39" i="13"/>
  <c r="S39" i="13"/>
  <c r="P39" i="13"/>
  <c r="E39" i="13"/>
  <c r="U39" i="13"/>
  <c r="N39" i="13"/>
  <c r="G39" i="13"/>
  <c r="W39" i="13"/>
  <c r="L39" i="13"/>
  <c r="I39" i="13"/>
  <c r="K39" i="13"/>
  <c r="T39" i="13"/>
  <c r="M39" i="13"/>
  <c r="F39" i="13"/>
  <c r="V39" i="13"/>
  <c r="O39" i="13"/>
  <c r="R39" i="13"/>
  <c r="D39" i="13"/>
  <c r="C39" i="13"/>
  <c r="S16" i="13"/>
  <c r="B53" i="17"/>
  <c r="B33" i="17"/>
  <c r="B40" i="13"/>
  <c r="M20" i="13"/>
  <c r="M21" i="13" s="1"/>
  <c r="P20" i="13"/>
  <c r="P21" i="13" s="1"/>
  <c r="P22" i="13" s="1"/>
  <c r="P24" i="13" s="1"/>
  <c r="W13" i="17"/>
  <c r="S13" i="17"/>
  <c r="O13" i="17"/>
  <c r="K13" i="17"/>
  <c r="G13" i="17"/>
  <c r="V13" i="17"/>
  <c r="R13" i="17"/>
  <c r="N13" i="17"/>
  <c r="J13" i="17"/>
  <c r="F13" i="17"/>
  <c r="Q13" i="17"/>
  <c r="I13" i="17"/>
  <c r="U13" i="17"/>
  <c r="E13" i="17"/>
  <c r="B14" i="17"/>
  <c r="P13" i="17"/>
  <c r="H13" i="17"/>
  <c r="M13" i="17"/>
  <c r="T13" i="17"/>
  <c r="L13" i="17"/>
  <c r="D13" i="17"/>
  <c r="C12" i="17"/>
  <c r="C13" i="17" s="1"/>
  <c r="U18" i="13"/>
  <c r="U19" i="13" s="1"/>
  <c r="U20" i="13" s="1"/>
  <c r="W17" i="13"/>
  <c r="W18" i="13" s="1"/>
  <c r="D18" i="13"/>
  <c r="R17" i="13"/>
  <c r="N19" i="13"/>
  <c r="N20" i="13" s="1"/>
  <c r="K19" i="13"/>
  <c r="K20" i="13" s="1"/>
  <c r="K21" i="13" s="1"/>
  <c r="K22" i="13" s="1"/>
  <c r="K24" i="13" s="1"/>
  <c r="F16" i="13"/>
  <c r="C17" i="13"/>
  <c r="V19" i="13"/>
  <c r="L20" i="13"/>
  <c r="I17" i="13"/>
  <c r="E19" i="13"/>
  <c r="C39" i="15"/>
  <c r="E17" i="19"/>
  <c r="G8" i="21" l="1" a="1"/>
  <c r="G8" i="21" s="1"/>
  <c r="E54" i="18" a="1"/>
  <c r="E54" i="18" s="1"/>
  <c r="E66" i="18" s="1"/>
  <c r="E43" i="22"/>
  <c r="F39" i="15"/>
  <c r="B41" i="15"/>
  <c r="F8" i="21" a="1"/>
  <c r="F8" i="21" s="1"/>
  <c r="E53" i="18" a="1"/>
  <c r="E53" i="18" s="1"/>
  <c r="E65" i="18" s="1"/>
  <c r="D47" i="22"/>
  <c r="D49" i="22"/>
  <c r="D48" i="22"/>
  <c r="D44" i="22"/>
  <c r="D45" i="22"/>
  <c r="D43" i="22"/>
  <c r="D42" i="22"/>
  <c r="D46" i="22"/>
  <c r="D41" i="22"/>
  <c r="C41" i="22" s="1"/>
  <c r="D50" i="22"/>
  <c r="G19" i="21"/>
  <c r="G23" i="21"/>
  <c r="G27" i="21"/>
  <c r="G11" i="21"/>
  <c r="G20" i="21"/>
  <c r="G12" i="21"/>
  <c r="G14" i="21"/>
  <c r="G17" i="21"/>
  <c r="G10" i="21"/>
  <c r="G30" i="21"/>
  <c r="G22" i="21"/>
  <c r="G9" i="21"/>
  <c r="G13" i="21"/>
  <c r="G16" i="21"/>
  <c r="G15" i="21"/>
  <c r="G29" i="21"/>
  <c r="G24" i="21"/>
  <c r="G26" i="21"/>
  <c r="G25" i="21"/>
  <c r="G28" i="21"/>
  <c r="G21" i="21"/>
  <c r="G18" i="21"/>
  <c r="F17" i="19"/>
  <c r="T33" i="17"/>
  <c r="J19" i="13"/>
  <c r="J20" i="13" s="1"/>
  <c r="M22" i="13"/>
  <c r="M24" i="13" s="1"/>
  <c r="O19" i="13"/>
  <c r="O20" i="13" s="1"/>
  <c r="L21" i="13"/>
  <c r="L22" i="13" s="1"/>
  <c r="L24" i="13" s="1"/>
  <c r="D19" i="13"/>
  <c r="D20" i="13" s="1"/>
  <c r="S17" i="13"/>
  <c r="AC17" i="13" s="1"/>
  <c r="AC16" i="13"/>
  <c r="R18" i="13"/>
  <c r="R19" i="13" s="1"/>
  <c r="R20" i="13" s="1"/>
  <c r="K23" i="13"/>
  <c r="H18" i="13"/>
  <c r="H19" i="13" s="1"/>
  <c r="H20" i="13" s="1"/>
  <c r="P23" i="13"/>
  <c r="N7" i="21"/>
  <c r="B40" i="18"/>
  <c r="L53" i="17"/>
  <c r="M53" i="17"/>
  <c r="R33" i="17"/>
  <c r="M33" i="17"/>
  <c r="Q33" i="17"/>
  <c r="P33" i="17"/>
  <c r="S33" i="17"/>
  <c r="G33" i="17"/>
  <c r="I33" i="17"/>
  <c r="V33" i="17"/>
  <c r="O33" i="17"/>
  <c r="K33" i="17"/>
  <c r="F33" i="17"/>
  <c r="H33" i="17"/>
  <c r="W33" i="17"/>
  <c r="N53" i="17"/>
  <c r="V53" i="17"/>
  <c r="I53" i="17"/>
  <c r="F53" i="17"/>
  <c r="J53" i="17"/>
  <c r="P53" i="17"/>
  <c r="W53" i="17"/>
  <c r="U53" i="17"/>
  <c r="Q53" i="17"/>
  <c r="G53" i="17"/>
  <c r="E53" i="17"/>
  <c r="K53" i="17"/>
  <c r="S53" i="17"/>
  <c r="O53" i="17"/>
  <c r="T53" i="17"/>
  <c r="C53" i="17"/>
  <c r="D33" i="17"/>
  <c r="C33" i="17"/>
  <c r="L33" i="17"/>
  <c r="U33" i="17"/>
  <c r="E33" i="17"/>
  <c r="H53" i="17"/>
  <c r="D53" i="17"/>
  <c r="R53" i="17"/>
  <c r="N33" i="17"/>
  <c r="J33" i="17"/>
  <c r="B18" i="19"/>
  <c r="B7" i="12"/>
  <c r="M40" i="13"/>
  <c r="V40" i="13"/>
  <c r="P40" i="13"/>
  <c r="I40" i="13"/>
  <c r="N40" i="13"/>
  <c r="L40" i="13"/>
  <c r="F40" i="13"/>
  <c r="J40" i="13"/>
  <c r="H40" i="13"/>
  <c r="K40" i="13"/>
  <c r="Q40" i="13"/>
  <c r="G40" i="13"/>
  <c r="T40" i="13"/>
  <c r="R40" i="13"/>
  <c r="C40" i="13"/>
  <c r="S40" i="13"/>
  <c r="U40" i="13"/>
  <c r="W40" i="13"/>
  <c r="E40" i="13"/>
  <c r="O40" i="13"/>
  <c r="D40" i="13"/>
  <c r="B54" i="17"/>
  <c r="B34" i="17"/>
  <c r="B41" i="13"/>
  <c r="T19" i="13"/>
  <c r="T20" i="13" s="1"/>
  <c r="U14" i="17"/>
  <c r="Q14" i="17"/>
  <c r="M14" i="17"/>
  <c r="I14" i="17"/>
  <c r="E14" i="17"/>
  <c r="B15" i="17"/>
  <c r="T14" i="17"/>
  <c r="P14" i="17"/>
  <c r="L14" i="17"/>
  <c r="H14" i="17"/>
  <c r="D14" i="17"/>
  <c r="S14" i="17"/>
  <c r="K14" i="17"/>
  <c r="C14" i="17"/>
  <c r="O14" i="17"/>
  <c r="R14" i="17"/>
  <c r="J14" i="17"/>
  <c r="W14" i="17"/>
  <c r="G14" i="17"/>
  <c r="V14" i="17"/>
  <c r="N14" i="17"/>
  <c r="F14" i="17"/>
  <c r="V20" i="13"/>
  <c r="V21" i="13" s="1"/>
  <c r="C18" i="13"/>
  <c r="W19" i="13"/>
  <c r="F17" i="13"/>
  <c r="U21" i="13"/>
  <c r="U22" i="13" s="1"/>
  <c r="U24" i="13" s="1"/>
  <c r="I18" i="13"/>
  <c r="N21" i="13"/>
  <c r="N22" i="13" s="1"/>
  <c r="G19" i="13"/>
  <c r="Q19" i="13"/>
  <c r="Q20" i="13" s="1"/>
  <c r="Q21" i="13" s="1"/>
  <c r="E20" i="13"/>
  <c r="E21" i="13" s="1"/>
  <c r="E22" i="13" s="1"/>
  <c r="C40" i="15"/>
  <c r="E18" i="19"/>
  <c r="C17" i="19"/>
  <c r="C18" i="19" s="1"/>
  <c r="F40" i="15" l="1"/>
  <c r="F13" i="21"/>
  <c r="F10" i="21"/>
  <c r="F12" i="21"/>
  <c r="F9" i="21"/>
  <c r="F11" i="21"/>
  <c r="F26" i="21"/>
  <c r="F25" i="21"/>
  <c r="F16" i="21"/>
  <c r="F21" i="21"/>
  <c r="F23" i="21"/>
  <c r="F22" i="21"/>
  <c r="F24" i="21"/>
  <c r="F15" i="21"/>
  <c r="F14" i="21"/>
  <c r="F27" i="21"/>
  <c r="F18" i="21"/>
  <c r="F20" i="21"/>
  <c r="F17" i="21"/>
  <c r="F19" i="21"/>
  <c r="F30" i="21"/>
  <c r="F28" i="21"/>
  <c r="F29" i="21"/>
  <c r="G31" i="21"/>
  <c r="G32" i="21" s="1"/>
  <c r="G39" i="15"/>
  <c r="G40" i="15"/>
  <c r="B42" i="15"/>
  <c r="F41" i="22"/>
  <c r="C53" i="22" s="1"/>
  <c r="F53" i="22" s="1"/>
  <c r="F53" i="18" s="1"/>
  <c r="F65" i="18" s="1"/>
  <c r="C42" i="22"/>
  <c r="E44" i="22"/>
  <c r="F18" i="19"/>
  <c r="G18" i="19" s="1"/>
  <c r="G17" i="19"/>
  <c r="E34" i="17"/>
  <c r="D21" i="13"/>
  <c r="D22" i="13" s="1"/>
  <c r="D24" i="13" s="1"/>
  <c r="J21" i="13"/>
  <c r="J22" i="13" s="1"/>
  <c r="J24" i="13" s="1"/>
  <c r="M23" i="13"/>
  <c r="S18" i="13"/>
  <c r="AC18" i="13" s="1"/>
  <c r="H21" i="13"/>
  <c r="H22" i="13" s="1"/>
  <c r="N24" i="13"/>
  <c r="N23" i="13"/>
  <c r="W20" i="13"/>
  <c r="E24" i="13"/>
  <c r="E23" i="13"/>
  <c r="U23" i="13"/>
  <c r="L23" i="13"/>
  <c r="O7" i="21"/>
  <c r="B41" i="18"/>
  <c r="G34" i="17"/>
  <c r="M34" i="17"/>
  <c r="D34" i="17"/>
  <c r="U34" i="17"/>
  <c r="Q34" i="17"/>
  <c r="J34" i="17"/>
  <c r="N34" i="17"/>
  <c r="R34" i="17"/>
  <c r="T34" i="17"/>
  <c r="H34" i="17"/>
  <c r="F34" i="17"/>
  <c r="P34" i="17"/>
  <c r="K34" i="17"/>
  <c r="S34" i="17"/>
  <c r="V34" i="17"/>
  <c r="W34" i="17"/>
  <c r="O34" i="17"/>
  <c r="I54" i="17"/>
  <c r="F54" i="17"/>
  <c r="G54" i="17"/>
  <c r="H54" i="17"/>
  <c r="R54" i="17"/>
  <c r="S54" i="17"/>
  <c r="D54" i="17"/>
  <c r="J54" i="17"/>
  <c r="L54" i="17"/>
  <c r="V54" i="17"/>
  <c r="N54" i="17"/>
  <c r="O54" i="17"/>
  <c r="U54" i="17"/>
  <c r="K54" i="17"/>
  <c r="Q54" i="17"/>
  <c r="T54" i="17"/>
  <c r="E54" i="17"/>
  <c r="W54" i="17"/>
  <c r="C54" i="17"/>
  <c r="L34" i="17"/>
  <c r="C34" i="17"/>
  <c r="M54" i="17"/>
  <c r="P54" i="17"/>
  <c r="I34" i="17"/>
  <c r="B19" i="19"/>
  <c r="C41" i="13"/>
  <c r="G41" i="13"/>
  <c r="B8" i="12"/>
  <c r="X46" i="17" a="1"/>
  <c r="X46" i="17" s="1"/>
  <c r="Y46" i="17" s="1"/>
  <c r="X9" i="13" a="1"/>
  <c r="X9" i="13" s="1"/>
  <c r="Y9" i="13" s="1"/>
  <c r="AA9" i="13" s="1"/>
  <c r="AB9" i="13" s="1"/>
  <c r="X5" i="17" a="1"/>
  <c r="X5" i="17" s="1"/>
  <c r="Y5" i="17" s="1"/>
  <c r="X33" i="13" a="1"/>
  <c r="X33" i="13" s="1"/>
  <c r="Y33" i="13" s="1"/>
  <c r="R41" i="13"/>
  <c r="L41" i="13"/>
  <c r="I41" i="13"/>
  <c r="J41" i="13"/>
  <c r="M41" i="13"/>
  <c r="S41" i="13"/>
  <c r="F41" i="13"/>
  <c r="P41" i="13"/>
  <c r="V41" i="13"/>
  <c r="N41" i="13"/>
  <c r="O41" i="13"/>
  <c r="Q41" i="13"/>
  <c r="T41" i="13"/>
  <c r="E41" i="13"/>
  <c r="U41" i="13"/>
  <c r="W41" i="13"/>
  <c r="K41" i="13"/>
  <c r="D41" i="13"/>
  <c r="H41" i="13"/>
  <c r="B55" i="17"/>
  <c r="B35" i="17"/>
  <c r="S19" i="13"/>
  <c r="AC19" i="13" s="1"/>
  <c r="B42" i="13"/>
  <c r="T21" i="13"/>
  <c r="W15" i="17"/>
  <c r="S15" i="17"/>
  <c r="O15" i="17"/>
  <c r="K15" i="17"/>
  <c r="G15" i="17"/>
  <c r="C15" i="17"/>
  <c r="V15" i="17"/>
  <c r="R15" i="17"/>
  <c r="N15" i="17"/>
  <c r="J15" i="17"/>
  <c r="F15" i="17"/>
  <c r="U15" i="17"/>
  <c r="M15" i="17"/>
  <c r="E15" i="17"/>
  <c r="I15" i="17"/>
  <c r="T15" i="17"/>
  <c r="L15" i="17"/>
  <c r="D15" i="17"/>
  <c r="Q15" i="17"/>
  <c r="B16" i="17"/>
  <c r="P15" i="17"/>
  <c r="H15" i="17"/>
  <c r="W21" i="13"/>
  <c r="C19" i="13"/>
  <c r="C20" i="13" s="1"/>
  <c r="V22" i="13"/>
  <c r="V23" i="13" s="1"/>
  <c r="F18" i="13"/>
  <c r="I19" i="13"/>
  <c r="I20" i="13" s="1"/>
  <c r="Q22" i="13"/>
  <c r="O21" i="13"/>
  <c r="R21" i="13"/>
  <c r="R22" i="13" s="1"/>
  <c r="G20" i="13"/>
  <c r="C41" i="15"/>
  <c r="E45" i="22" l="1"/>
  <c r="F41" i="15"/>
  <c r="C43" i="22"/>
  <c r="F42" i="22"/>
  <c r="C54" i="22" s="1"/>
  <c r="F54" i="22" s="1"/>
  <c r="F54" i="18" s="1"/>
  <c r="F66" i="18" s="1"/>
  <c r="B43" i="15"/>
  <c r="E55" i="18" a="1"/>
  <c r="E55" i="18" s="1"/>
  <c r="E67" i="18" s="1"/>
  <c r="H8" i="21" a="1"/>
  <c r="H8" i="21" s="1"/>
  <c r="E56" i="18" a="1"/>
  <c r="E56" i="18" s="1"/>
  <c r="E68" i="18" s="1"/>
  <c r="I8" i="21" a="1"/>
  <c r="I8" i="21" s="1"/>
  <c r="F31" i="21"/>
  <c r="F32" i="21" s="1"/>
  <c r="C68" i="22"/>
  <c r="C80" i="22" s="1"/>
  <c r="D23" i="13"/>
  <c r="J23" i="13"/>
  <c r="R24" i="13"/>
  <c r="R23" i="13"/>
  <c r="Q24" i="13"/>
  <c r="Q23" i="13"/>
  <c r="H24" i="13"/>
  <c r="H23" i="13"/>
  <c r="L35" i="17"/>
  <c r="U35" i="17"/>
  <c r="C35" i="17"/>
  <c r="R35" i="17"/>
  <c r="P35" i="17"/>
  <c r="N35" i="17"/>
  <c r="I35" i="17"/>
  <c r="G35" i="17"/>
  <c r="J35" i="17"/>
  <c r="W35" i="17"/>
  <c r="K35" i="17"/>
  <c r="H35" i="17"/>
  <c r="F35" i="17"/>
  <c r="O35" i="17"/>
  <c r="E35" i="17"/>
  <c r="C55" i="17"/>
  <c r="D55" i="17"/>
  <c r="F55" i="17"/>
  <c r="M55" i="17"/>
  <c r="V55" i="17"/>
  <c r="T55" i="17"/>
  <c r="W55" i="17"/>
  <c r="P55" i="17"/>
  <c r="U55" i="17"/>
  <c r="N55" i="17"/>
  <c r="G55" i="17"/>
  <c r="S55" i="17"/>
  <c r="O55" i="17"/>
  <c r="L55" i="17"/>
  <c r="J55" i="17"/>
  <c r="Q55" i="17"/>
  <c r="K55" i="17"/>
  <c r="V35" i="17"/>
  <c r="D35" i="17"/>
  <c r="E55" i="17"/>
  <c r="R55" i="17"/>
  <c r="I55" i="17"/>
  <c r="S35" i="17"/>
  <c r="M35" i="17"/>
  <c r="H55" i="17"/>
  <c r="T35" i="17"/>
  <c r="Q35" i="17"/>
  <c r="B20" i="19"/>
  <c r="H42" i="13"/>
  <c r="U42" i="13"/>
  <c r="F42" i="13"/>
  <c r="I42" i="13"/>
  <c r="B9" i="12"/>
  <c r="X26" i="17" a="1"/>
  <c r="X26" i="17" s="1"/>
  <c r="Y26" i="17" s="1"/>
  <c r="L42" i="13"/>
  <c r="N42" i="13"/>
  <c r="V42" i="13"/>
  <c r="P42" i="13"/>
  <c r="S42" i="13"/>
  <c r="O42" i="13"/>
  <c r="C42" i="13"/>
  <c r="R42" i="13"/>
  <c r="T42" i="13"/>
  <c r="J42" i="13"/>
  <c r="M42" i="13"/>
  <c r="D42" i="13"/>
  <c r="Q42" i="13"/>
  <c r="W42" i="13"/>
  <c r="E42" i="13"/>
  <c r="G42" i="13"/>
  <c r="K42" i="13"/>
  <c r="B56" i="17"/>
  <c r="B36" i="17"/>
  <c r="S20" i="13"/>
  <c r="AC20" i="13" s="1"/>
  <c r="O22" i="13"/>
  <c r="V24" i="13"/>
  <c r="W22" i="13"/>
  <c r="G21" i="13"/>
  <c r="G22" i="13" s="1"/>
  <c r="B43" i="13"/>
  <c r="T22" i="13"/>
  <c r="U16" i="17"/>
  <c r="Q16" i="17"/>
  <c r="M16" i="17"/>
  <c r="I16" i="17"/>
  <c r="E16" i="17"/>
  <c r="B17" i="17"/>
  <c r="S17" i="17" s="1"/>
  <c r="T16" i="17"/>
  <c r="P16" i="17"/>
  <c r="L16" i="17"/>
  <c r="H16" i="17"/>
  <c r="D16" i="17"/>
  <c r="W16" i="17"/>
  <c r="O16" i="17"/>
  <c r="G16" i="17"/>
  <c r="K16" i="17"/>
  <c r="C16" i="17"/>
  <c r="V16" i="17"/>
  <c r="N16" i="17"/>
  <c r="F16" i="17"/>
  <c r="S16" i="17"/>
  <c r="R16" i="17"/>
  <c r="J16" i="17"/>
  <c r="I21" i="13"/>
  <c r="I22" i="13" s="1"/>
  <c r="I23" i="13" s="1"/>
  <c r="F19" i="13"/>
  <c r="F20" i="13" s="1"/>
  <c r="F21" i="13" s="1"/>
  <c r="C21" i="13"/>
  <c r="C22" i="13" s="1"/>
  <c r="C42" i="15"/>
  <c r="E19" i="19"/>
  <c r="C19" i="19"/>
  <c r="E20" i="19"/>
  <c r="F42" i="15" l="1"/>
  <c r="C70" i="22" s="1"/>
  <c r="C82" i="22" s="1"/>
  <c r="D82" i="22" s="1"/>
  <c r="D80" i="22"/>
  <c r="E76" i="22"/>
  <c r="B44" i="15"/>
  <c r="E46" i="22"/>
  <c r="C44" i="22"/>
  <c r="F43" i="22"/>
  <c r="C55" i="22" s="1"/>
  <c r="F55" i="22" s="1"/>
  <c r="F55" i="18" s="1"/>
  <c r="F67" i="18" s="1"/>
  <c r="G41" i="15"/>
  <c r="C69" i="22"/>
  <c r="C81" i="22" s="1"/>
  <c r="D81" i="22" s="1"/>
  <c r="I15" i="21"/>
  <c r="I13" i="21"/>
  <c r="I24" i="21"/>
  <c r="I27" i="21"/>
  <c r="I9" i="21"/>
  <c r="I23" i="21"/>
  <c r="I21" i="21"/>
  <c r="I14" i="21"/>
  <c r="I17" i="21"/>
  <c r="I12" i="21"/>
  <c r="I20" i="21"/>
  <c r="I10" i="21"/>
  <c r="I29" i="21"/>
  <c r="I11" i="21"/>
  <c r="I22" i="21"/>
  <c r="I25" i="21"/>
  <c r="I28" i="21"/>
  <c r="I18" i="21"/>
  <c r="I16" i="21"/>
  <c r="I19" i="21"/>
  <c r="I30" i="21"/>
  <c r="I26" i="21"/>
  <c r="H23" i="21"/>
  <c r="H13" i="21"/>
  <c r="H19" i="21"/>
  <c r="H22" i="21"/>
  <c r="H12" i="21"/>
  <c r="H18" i="21"/>
  <c r="H21" i="21"/>
  <c r="H11" i="21"/>
  <c r="H10" i="21"/>
  <c r="H16" i="21"/>
  <c r="H27" i="21"/>
  <c r="H9" i="21"/>
  <c r="H20" i="21"/>
  <c r="H24" i="21"/>
  <c r="H17" i="21"/>
  <c r="H26" i="21"/>
  <c r="H15" i="21"/>
  <c r="H14" i="21"/>
  <c r="H25" i="21"/>
  <c r="H30" i="21"/>
  <c r="H29" i="21"/>
  <c r="H28" i="21"/>
  <c r="F20" i="19"/>
  <c r="F19" i="19"/>
  <c r="G19" i="19" s="1"/>
  <c r="T24" i="13"/>
  <c r="T23" i="13"/>
  <c r="W24" i="13"/>
  <c r="W23" i="13"/>
  <c r="G24" i="13"/>
  <c r="G23" i="13"/>
  <c r="O24" i="13"/>
  <c r="O23" i="13"/>
  <c r="E36" i="17"/>
  <c r="C36" i="17"/>
  <c r="R36" i="17"/>
  <c r="D36" i="17"/>
  <c r="Q36" i="17"/>
  <c r="L36" i="17"/>
  <c r="I36" i="17"/>
  <c r="G36" i="17"/>
  <c r="M36" i="17"/>
  <c r="T36" i="17"/>
  <c r="V36" i="17"/>
  <c r="P36" i="17"/>
  <c r="W36" i="17"/>
  <c r="O36" i="17"/>
  <c r="O56" i="17"/>
  <c r="V56" i="17"/>
  <c r="H36" i="17"/>
  <c r="I56" i="17"/>
  <c r="D56" i="17"/>
  <c r="H56" i="17"/>
  <c r="F56" i="17"/>
  <c r="G56" i="17"/>
  <c r="S56" i="17"/>
  <c r="R56" i="17"/>
  <c r="W56" i="17"/>
  <c r="U56" i="17"/>
  <c r="N56" i="17"/>
  <c r="T56" i="17"/>
  <c r="J56" i="17"/>
  <c r="Q56" i="17"/>
  <c r="K56" i="17"/>
  <c r="C56" i="17"/>
  <c r="C57" i="17" s="1"/>
  <c r="E56" i="17"/>
  <c r="P56" i="17"/>
  <c r="M56" i="17"/>
  <c r="K36" i="17"/>
  <c r="S36" i="17"/>
  <c r="N36" i="17"/>
  <c r="U36" i="17"/>
  <c r="L56" i="17"/>
  <c r="F36" i="17"/>
  <c r="J36" i="17"/>
  <c r="C24" i="13"/>
  <c r="C23" i="13"/>
  <c r="B21" i="19"/>
  <c r="B10" i="12"/>
  <c r="X47" i="17" a="1"/>
  <c r="X47" i="17" s="1"/>
  <c r="Y47" i="17" s="1"/>
  <c r="X35" i="13" a="1"/>
  <c r="X35" i="13" s="1"/>
  <c r="Y35" i="13" s="1"/>
  <c r="X7" i="17" a="1"/>
  <c r="X7" i="17" s="1"/>
  <c r="Y7" i="17" s="1"/>
  <c r="X10" i="13" a="1"/>
  <c r="X10" i="13" s="1"/>
  <c r="Y10" i="13" s="1"/>
  <c r="AA10" i="13" s="1"/>
  <c r="AB10" i="13" s="1"/>
  <c r="X28" i="17" a="1"/>
  <c r="X28" i="17" s="1"/>
  <c r="Y28" i="17" s="1"/>
  <c r="X27" i="17" a="1"/>
  <c r="X27" i="17" s="1"/>
  <c r="Y27" i="17" s="1"/>
  <c r="X34" i="13" a="1"/>
  <c r="X34" i="13" s="1"/>
  <c r="Y34" i="13" s="1"/>
  <c r="X48" i="17" a="1"/>
  <c r="X48" i="17" s="1"/>
  <c r="Y48" i="17" s="1"/>
  <c r="X6" i="17" a="1"/>
  <c r="X6" i="17" s="1"/>
  <c r="Y6" i="17" s="1"/>
  <c r="M43" i="13"/>
  <c r="C43" i="13"/>
  <c r="I43" i="13"/>
  <c r="L43" i="13"/>
  <c r="H43" i="13"/>
  <c r="N43" i="13"/>
  <c r="F43" i="13"/>
  <c r="G43" i="13"/>
  <c r="E43" i="13"/>
  <c r="V43" i="13"/>
  <c r="P43" i="13"/>
  <c r="K43" i="13"/>
  <c r="R43" i="13"/>
  <c r="O43" i="13"/>
  <c r="U43" i="13"/>
  <c r="W43" i="13"/>
  <c r="D43" i="13"/>
  <c r="Q43" i="13"/>
  <c r="T43" i="13"/>
  <c r="J43" i="13"/>
  <c r="S43" i="13"/>
  <c r="B57" i="17"/>
  <c r="B37" i="17"/>
  <c r="S21" i="13"/>
  <c r="B44" i="13"/>
  <c r="W17" i="17"/>
  <c r="O17" i="17"/>
  <c r="K17" i="17"/>
  <c r="G17" i="17"/>
  <c r="C17" i="17"/>
  <c r="V17" i="17"/>
  <c r="R17" i="17"/>
  <c r="N17" i="17"/>
  <c r="J17" i="17"/>
  <c r="F17" i="17"/>
  <c r="Q17" i="17"/>
  <c r="I17" i="17"/>
  <c r="M17" i="17"/>
  <c r="E17" i="17"/>
  <c r="B18" i="17"/>
  <c r="P17" i="17"/>
  <c r="H17" i="17"/>
  <c r="U17" i="17"/>
  <c r="T17" i="17"/>
  <c r="L17" i="17"/>
  <c r="D17" i="17"/>
  <c r="F22" i="13"/>
  <c r="I24" i="13"/>
  <c r="C43" i="15"/>
  <c r="C20" i="19"/>
  <c r="C21" i="19"/>
  <c r="G42" i="15" l="1"/>
  <c r="E47" i="22"/>
  <c r="F43" i="15"/>
  <c r="C45" i="22"/>
  <c r="F44" i="22"/>
  <c r="C56" i="22" s="1"/>
  <c r="F56" i="22" s="1"/>
  <c r="F56" i="18" s="1"/>
  <c r="F68" i="18" s="1"/>
  <c r="I31" i="21"/>
  <c r="I32" i="21" s="1"/>
  <c r="K8" i="21" a="1"/>
  <c r="K8" i="21" s="1"/>
  <c r="E58" i="18" a="1"/>
  <c r="E58" i="18" s="1"/>
  <c r="E70" i="18" s="1"/>
  <c r="B45" i="15"/>
  <c r="H31" i="21"/>
  <c r="H32" i="21" s="1"/>
  <c r="J8" i="21" a="1"/>
  <c r="J8" i="21" s="1"/>
  <c r="E57" i="18" a="1"/>
  <c r="E57" i="18" s="1"/>
  <c r="E69" i="18" s="1"/>
  <c r="G20" i="19"/>
  <c r="F24" i="13"/>
  <c r="F23" i="13"/>
  <c r="S22" i="13"/>
  <c r="S24" i="13" s="1"/>
  <c r="AC21" i="13"/>
  <c r="H57" i="17"/>
  <c r="P37" i="17"/>
  <c r="N57" i="17"/>
  <c r="D57" i="17"/>
  <c r="O57" i="17"/>
  <c r="R37" i="17"/>
  <c r="U37" i="17"/>
  <c r="E37" i="17"/>
  <c r="G37" i="17"/>
  <c r="V37" i="17"/>
  <c r="D37" i="17"/>
  <c r="N37" i="17"/>
  <c r="L37" i="17"/>
  <c r="I37" i="17"/>
  <c r="S37" i="17"/>
  <c r="H37" i="17"/>
  <c r="K37" i="17"/>
  <c r="O37" i="17"/>
  <c r="J37" i="17"/>
  <c r="U57" i="17"/>
  <c r="G57" i="17"/>
  <c r="T37" i="17"/>
  <c r="C37" i="17"/>
  <c r="M57" i="17"/>
  <c r="V57" i="17"/>
  <c r="I57" i="17"/>
  <c r="L57" i="17"/>
  <c r="E57" i="17"/>
  <c r="P57" i="17"/>
  <c r="S57" i="17"/>
  <c r="R57" i="17"/>
  <c r="J57" i="17"/>
  <c r="T57" i="17"/>
  <c r="K57" i="17"/>
  <c r="Q57" i="17"/>
  <c r="F37" i="17"/>
  <c r="W57" i="17"/>
  <c r="F57" i="17"/>
  <c r="W37" i="17"/>
  <c r="M37" i="17"/>
  <c r="Q37" i="17"/>
  <c r="G44" i="13"/>
  <c r="L44" i="13"/>
  <c r="B11" i="12"/>
  <c r="X11" i="13" a="1"/>
  <c r="X11" i="13" s="1"/>
  <c r="Y11" i="13" s="1"/>
  <c r="AA11" i="13" s="1"/>
  <c r="AB11" i="13" s="1"/>
  <c r="C44" i="13"/>
  <c r="M44" i="13"/>
  <c r="R44" i="13"/>
  <c r="H44" i="13"/>
  <c r="K44" i="13"/>
  <c r="J44" i="13"/>
  <c r="S44" i="13"/>
  <c r="N44" i="13"/>
  <c r="V44" i="13"/>
  <c r="W44" i="13"/>
  <c r="D44" i="13"/>
  <c r="U44" i="13"/>
  <c r="P44" i="13"/>
  <c r="F44" i="13"/>
  <c r="I44" i="13"/>
  <c r="Q44" i="13"/>
  <c r="O44" i="13"/>
  <c r="T44" i="13"/>
  <c r="E44" i="13"/>
  <c r="B58" i="17"/>
  <c r="B38" i="17"/>
  <c r="B45" i="13"/>
  <c r="U18" i="17"/>
  <c r="U19" i="17" s="1"/>
  <c r="Q18" i="17"/>
  <c r="Q19" i="17" s="1"/>
  <c r="M18" i="17"/>
  <c r="M19" i="17" s="1"/>
  <c r="I18" i="17"/>
  <c r="I19" i="17" s="1"/>
  <c r="E18" i="17"/>
  <c r="E19" i="17" s="1"/>
  <c r="T18" i="17"/>
  <c r="T19" i="17" s="1"/>
  <c r="P18" i="17"/>
  <c r="P19" i="17" s="1"/>
  <c r="L18" i="17"/>
  <c r="L19" i="17" s="1"/>
  <c r="H18" i="17"/>
  <c r="H19" i="17" s="1"/>
  <c r="D18" i="17"/>
  <c r="D19" i="17" s="1"/>
  <c r="S18" i="17"/>
  <c r="S19" i="17" s="1"/>
  <c r="Y19" i="17" s="1"/>
  <c r="C40" i="18" s="1" a="1"/>
  <c r="C40" i="18" s="1"/>
  <c r="K18" i="17"/>
  <c r="K19" i="17" s="1"/>
  <c r="C18" i="17"/>
  <c r="C19" i="17" s="1"/>
  <c r="W18" i="17"/>
  <c r="W19" i="17" s="1"/>
  <c r="O18" i="17"/>
  <c r="O19" i="17" s="1"/>
  <c r="G18" i="17"/>
  <c r="G19" i="17" s="1"/>
  <c r="R18" i="17"/>
  <c r="R19" i="17" s="1"/>
  <c r="J18" i="17"/>
  <c r="J19" i="17" s="1"/>
  <c r="V18" i="17"/>
  <c r="V19" i="17" s="1"/>
  <c r="N18" i="17"/>
  <c r="N19" i="17" s="1"/>
  <c r="F18" i="17"/>
  <c r="F19" i="17" s="1"/>
  <c r="C44" i="15"/>
  <c r="E21" i="19"/>
  <c r="F44" i="15" l="1"/>
  <c r="G44" i="15" s="1"/>
  <c r="K22" i="21"/>
  <c r="K25" i="21"/>
  <c r="K23" i="21"/>
  <c r="K13" i="21"/>
  <c r="K24" i="21"/>
  <c r="K28" i="21"/>
  <c r="K9" i="21"/>
  <c r="K18" i="21"/>
  <c r="K29" i="21"/>
  <c r="K14" i="21"/>
  <c r="K17" i="21"/>
  <c r="K15" i="21"/>
  <c r="K26" i="21"/>
  <c r="K16" i="21"/>
  <c r="K27" i="21"/>
  <c r="K30" i="21"/>
  <c r="K12" i="21"/>
  <c r="K10" i="21"/>
  <c r="K21" i="21"/>
  <c r="K11" i="21"/>
  <c r="K20" i="21"/>
  <c r="K19" i="21"/>
  <c r="G43" i="15"/>
  <c r="C72" i="22"/>
  <c r="C84" i="22" s="1"/>
  <c r="D84" i="22" s="1"/>
  <c r="B46" i="15"/>
  <c r="E48" i="22"/>
  <c r="J25" i="21"/>
  <c r="J15" i="21"/>
  <c r="J13" i="21"/>
  <c r="J24" i="21"/>
  <c r="J14" i="21"/>
  <c r="J12" i="21"/>
  <c r="J21" i="21"/>
  <c r="J11" i="21"/>
  <c r="J22" i="21"/>
  <c r="J9" i="21"/>
  <c r="J18" i="21"/>
  <c r="J29" i="21"/>
  <c r="J30" i="21"/>
  <c r="J17" i="21"/>
  <c r="J28" i="21"/>
  <c r="J26" i="21"/>
  <c r="J16" i="21"/>
  <c r="J27" i="21"/>
  <c r="J23" i="21"/>
  <c r="J10" i="21"/>
  <c r="J20" i="21"/>
  <c r="J19" i="21"/>
  <c r="C71" i="22"/>
  <c r="C83" i="22" s="1"/>
  <c r="D83" i="22" s="1"/>
  <c r="F45" i="22"/>
  <c r="C57" i="22" s="1"/>
  <c r="F57" i="22" s="1"/>
  <c r="F57" i="18" s="1"/>
  <c r="F69" i="18" s="1"/>
  <c r="C46" i="22"/>
  <c r="F21" i="19"/>
  <c r="G21" i="19" s="1"/>
  <c r="AC22" i="13"/>
  <c r="S23" i="13"/>
  <c r="AC24" i="13" s="1"/>
  <c r="F38" i="17"/>
  <c r="J58" i="17"/>
  <c r="E58" i="17"/>
  <c r="M58" i="17"/>
  <c r="U58" i="17"/>
  <c r="H38" i="17"/>
  <c r="E38" i="17"/>
  <c r="D58" i="17"/>
  <c r="W38" i="17"/>
  <c r="L58" i="17"/>
  <c r="C38" i="17"/>
  <c r="J38" i="17"/>
  <c r="S38" i="17"/>
  <c r="U38" i="17"/>
  <c r="P38" i="17"/>
  <c r="M38" i="17"/>
  <c r="R38" i="17"/>
  <c r="Q38" i="17"/>
  <c r="T38" i="17"/>
  <c r="N38" i="17"/>
  <c r="D38" i="17"/>
  <c r="I38" i="17"/>
  <c r="V38" i="17"/>
  <c r="O38" i="17"/>
  <c r="K38" i="17"/>
  <c r="K58" i="17"/>
  <c r="I58" i="17"/>
  <c r="F58" i="17"/>
  <c r="V58" i="17"/>
  <c r="G58" i="17"/>
  <c r="O58" i="17"/>
  <c r="N58" i="17"/>
  <c r="W58" i="17"/>
  <c r="R58" i="17"/>
  <c r="S58" i="17"/>
  <c r="C58" i="17"/>
  <c r="Q58" i="17"/>
  <c r="T58" i="17"/>
  <c r="P58" i="17"/>
  <c r="L38" i="17"/>
  <c r="G38" i="17"/>
  <c r="H58" i="17"/>
  <c r="S45" i="13"/>
  <c r="B12" i="12"/>
  <c r="X30" i="17" s="1" a="1"/>
  <c r="X30" i="17" s="1"/>
  <c r="Y30" i="17" s="1"/>
  <c r="X37" i="13" a="1"/>
  <c r="X37" i="13" s="1"/>
  <c r="Y37" i="13" s="1"/>
  <c r="C27" i="18" s="1"/>
  <c r="C28" i="18" s="1"/>
  <c r="X36" i="13" a="1"/>
  <c r="X36" i="13" s="1"/>
  <c r="Y36" i="13" s="1"/>
  <c r="X8" i="17" a="1"/>
  <c r="X8" i="17" s="1"/>
  <c r="Y8" i="17" s="1"/>
  <c r="X13" i="13" a="1"/>
  <c r="X13" i="13" s="1"/>
  <c r="Y13" i="13" s="1"/>
  <c r="AA13" i="13" s="1"/>
  <c r="AB13" i="13" s="1"/>
  <c r="X12" i="13" a="1"/>
  <c r="X12" i="13" s="1"/>
  <c r="Y12" i="13" s="1"/>
  <c r="AA12" i="13" s="1"/>
  <c r="AB12" i="13" s="1"/>
  <c r="X50" i="17" a="1"/>
  <c r="X50" i="17" s="1"/>
  <c r="Y50" i="17" s="1"/>
  <c r="X49" i="17" a="1"/>
  <c r="X49" i="17" s="1"/>
  <c r="Y49" i="17" s="1"/>
  <c r="X29" i="17" a="1"/>
  <c r="X29" i="17" s="1"/>
  <c r="Y29" i="17" s="1"/>
  <c r="I45" i="13"/>
  <c r="N45" i="13"/>
  <c r="G45" i="13"/>
  <c r="F45" i="13"/>
  <c r="E45" i="13"/>
  <c r="U45" i="13"/>
  <c r="K45" i="13"/>
  <c r="R45" i="13"/>
  <c r="W45" i="13"/>
  <c r="V45" i="13"/>
  <c r="D45" i="13"/>
  <c r="T45" i="13"/>
  <c r="J45" i="13"/>
  <c r="M45" i="13"/>
  <c r="O45" i="13"/>
  <c r="P45" i="13"/>
  <c r="C45" i="13"/>
  <c r="Q45" i="13"/>
  <c r="H45" i="13"/>
  <c r="L45" i="13"/>
  <c r="B59" i="17"/>
  <c r="B39" i="17"/>
  <c r="B46" i="13"/>
  <c r="W20" i="17"/>
  <c r="S20" i="17"/>
  <c r="O20" i="17"/>
  <c r="K20" i="17"/>
  <c r="G20" i="17"/>
  <c r="C20" i="17"/>
  <c r="V20" i="17"/>
  <c r="R20" i="17"/>
  <c r="N20" i="17"/>
  <c r="J20" i="17"/>
  <c r="F20" i="17"/>
  <c r="U20" i="17"/>
  <c r="M20" i="17"/>
  <c r="E20" i="17"/>
  <c r="Q20" i="17"/>
  <c r="I20" i="17"/>
  <c r="T20" i="17"/>
  <c r="L20" i="17"/>
  <c r="D20" i="17"/>
  <c r="P20" i="17"/>
  <c r="H20" i="17"/>
  <c r="C45" i="15"/>
  <c r="E49" i="22" l="1"/>
  <c r="F45" i="15"/>
  <c r="M8" i="21" a="1"/>
  <c r="M8" i="21" s="1"/>
  <c r="E60" i="18" a="1"/>
  <c r="E60" i="18" s="1"/>
  <c r="E72" i="18" s="1"/>
  <c r="J31" i="21"/>
  <c r="J32" i="21" s="1"/>
  <c r="F46" i="22"/>
  <c r="C58" i="22" s="1"/>
  <c r="F58" i="22" s="1"/>
  <c r="F58" i="18" s="1"/>
  <c r="F70" i="18" s="1"/>
  <c r="C47" i="22"/>
  <c r="K31" i="21"/>
  <c r="K32" i="21" s="1"/>
  <c r="L8" i="21" a="1"/>
  <c r="L8" i="21" s="1"/>
  <c r="E59" i="18" a="1"/>
  <c r="E59" i="18" s="1"/>
  <c r="E71" i="18" s="1"/>
  <c r="P59" i="17"/>
  <c r="S59" i="17"/>
  <c r="H59" i="17"/>
  <c r="L39" i="17"/>
  <c r="C59" i="17"/>
  <c r="N59" i="17"/>
  <c r="AC23" i="13"/>
  <c r="Y23" i="13"/>
  <c r="O39" i="17"/>
  <c r="N39" i="17"/>
  <c r="M59" i="17"/>
  <c r="V39" i="17"/>
  <c r="P39" i="17"/>
  <c r="E59" i="17"/>
  <c r="C39" i="17"/>
  <c r="M39" i="17"/>
  <c r="J39" i="17"/>
  <c r="Q39" i="17"/>
  <c r="R39" i="17"/>
  <c r="E39" i="17"/>
  <c r="T39" i="17"/>
  <c r="G39" i="17"/>
  <c r="F39" i="17"/>
  <c r="T59" i="17"/>
  <c r="R59" i="17"/>
  <c r="G59" i="17"/>
  <c r="I39" i="17"/>
  <c r="U39" i="17"/>
  <c r="H39" i="17"/>
  <c r="D59" i="17"/>
  <c r="F59" i="17"/>
  <c r="O59" i="17"/>
  <c r="I59" i="17"/>
  <c r="L59" i="17"/>
  <c r="U59" i="17"/>
  <c r="V59" i="17"/>
  <c r="J59" i="17"/>
  <c r="K59" i="17"/>
  <c r="Q59" i="17"/>
  <c r="W59" i="17"/>
  <c r="W60" i="17" s="1"/>
  <c r="K39" i="17"/>
  <c r="D39" i="17"/>
  <c r="S39" i="17"/>
  <c r="W39" i="17"/>
  <c r="W40" i="17" s="1"/>
  <c r="L46" i="13"/>
  <c r="L47" i="13" s="1"/>
  <c r="R46" i="13"/>
  <c r="R47" i="13" s="1"/>
  <c r="F46" i="13"/>
  <c r="F47" i="13" s="1"/>
  <c r="H46" i="13"/>
  <c r="H47" i="13" s="1"/>
  <c r="B13" i="12"/>
  <c r="D46" i="13"/>
  <c r="D47" i="13" s="1"/>
  <c r="G46" i="13"/>
  <c r="G47" i="13" s="1"/>
  <c r="I46" i="13"/>
  <c r="I47" i="13" s="1"/>
  <c r="T46" i="13"/>
  <c r="T47" i="13" s="1"/>
  <c r="J46" i="13"/>
  <c r="J47" i="13" s="1"/>
  <c r="O46" i="13"/>
  <c r="O47" i="13" s="1"/>
  <c r="K46" i="13"/>
  <c r="K47" i="13" s="1"/>
  <c r="P46" i="13"/>
  <c r="P47" i="13" s="1"/>
  <c r="C46" i="13"/>
  <c r="C47" i="13" s="1"/>
  <c r="M46" i="13"/>
  <c r="M47" i="13" s="1"/>
  <c r="Q46" i="13"/>
  <c r="Q47" i="13" s="1"/>
  <c r="V46" i="13"/>
  <c r="V47" i="13" s="1"/>
  <c r="S46" i="13"/>
  <c r="S47" i="13" s="1"/>
  <c r="Y47" i="13" s="1"/>
  <c r="U46" i="13"/>
  <c r="U47" i="13" s="1"/>
  <c r="N46" i="13"/>
  <c r="N47" i="13" s="1"/>
  <c r="W46" i="13"/>
  <c r="W47" i="13" s="1"/>
  <c r="E46" i="13"/>
  <c r="E47" i="13" s="1"/>
  <c r="B60" i="17"/>
  <c r="B40" i="17"/>
  <c r="C46" i="15"/>
  <c r="E50" i="22" l="1"/>
  <c r="F46" i="15"/>
  <c r="G46" i="15" s="1"/>
  <c r="M24" i="21"/>
  <c r="M14" i="21"/>
  <c r="M25" i="21"/>
  <c r="M15" i="21"/>
  <c r="M18" i="21"/>
  <c r="M29" i="21"/>
  <c r="M11" i="21"/>
  <c r="M22" i="21"/>
  <c r="M12" i="21"/>
  <c r="M23" i="21"/>
  <c r="M26" i="21"/>
  <c r="M19" i="21"/>
  <c r="M9" i="21"/>
  <c r="M20" i="21"/>
  <c r="M30" i="21"/>
  <c r="M13" i="21"/>
  <c r="M16" i="21"/>
  <c r="M27" i="21"/>
  <c r="M17" i="21"/>
  <c r="M28" i="21"/>
  <c r="M10" i="21"/>
  <c r="M21" i="21"/>
  <c r="C73" i="22"/>
  <c r="C85" i="22" s="1"/>
  <c r="D85" i="22" s="1"/>
  <c r="G45" i="15"/>
  <c r="L11" i="21"/>
  <c r="L22" i="21"/>
  <c r="L12" i="21"/>
  <c r="L23" i="21"/>
  <c r="L13" i="21"/>
  <c r="L24" i="21"/>
  <c r="L17" i="21"/>
  <c r="L18" i="21"/>
  <c r="L14" i="21"/>
  <c r="L25" i="21"/>
  <c r="L15" i="21"/>
  <c r="L26" i="21"/>
  <c r="L16" i="21"/>
  <c r="L19" i="21"/>
  <c r="L30" i="21"/>
  <c r="L20" i="21"/>
  <c r="L10" i="21"/>
  <c r="L21" i="21"/>
  <c r="L9" i="21"/>
  <c r="L27" i="21"/>
  <c r="L28" i="21"/>
  <c r="L29" i="21"/>
  <c r="C48" i="22"/>
  <c r="F47" i="22"/>
  <c r="C59" i="22" s="1"/>
  <c r="F59" i="22" s="1"/>
  <c r="F59" i="18" s="1"/>
  <c r="F71" i="18" s="1"/>
  <c r="AA23" i="13"/>
  <c r="D40" i="18" a="1"/>
  <c r="D40" i="18" s="1"/>
  <c r="R40" i="17"/>
  <c r="U40" i="17"/>
  <c r="T40" i="17"/>
  <c r="V40" i="17"/>
  <c r="H60" i="17"/>
  <c r="M60" i="17"/>
  <c r="E60" i="17"/>
  <c r="U60" i="17"/>
  <c r="N60" i="17"/>
  <c r="F60" i="17"/>
  <c r="Q40" i="17"/>
  <c r="T60" i="17"/>
  <c r="E40" i="17"/>
  <c r="M40" i="17"/>
  <c r="N40" i="17"/>
  <c r="S40" i="17"/>
  <c r="D40" i="17"/>
  <c r="L60" i="17"/>
  <c r="I40" i="17"/>
  <c r="F40" i="17"/>
  <c r="C40" i="17"/>
  <c r="S60" i="17"/>
  <c r="O40" i="17"/>
  <c r="Q60" i="17"/>
  <c r="K60" i="17"/>
  <c r="D60" i="17"/>
  <c r="K40" i="17"/>
  <c r="J60" i="17"/>
  <c r="I60" i="17"/>
  <c r="H40" i="17"/>
  <c r="G60" i="17"/>
  <c r="G40" i="17"/>
  <c r="P60" i="17"/>
  <c r="C60" i="17"/>
  <c r="V60" i="17"/>
  <c r="O60" i="17"/>
  <c r="R60" i="17"/>
  <c r="J40" i="17"/>
  <c r="P40" i="17"/>
  <c r="L40" i="17"/>
  <c r="E48" i="13"/>
  <c r="Q48" i="13"/>
  <c r="K48" i="13"/>
  <c r="I13" i="12"/>
  <c r="H13" i="12"/>
  <c r="J13" i="12"/>
  <c r="B14" i="12"/>
  <c r="I48" i="13"/>
  <c r="J48" i="13"/>
  <c r="R48" i="13"/>
  <c r="N48" i="13"/>
  <c r="F48" i="13"/>
  <c r="U48" i="13"/>
  <c r="M48" i="13"/>
  <c r="O48" i="13"/>
  <c r="G48" i="13"/>
  <c r="W48" i="13"/>
  <c r="S48" i="13"/>
  <c r="C48" i="13"/>
  <c r="D48" i="13"/>
  <c r="L48" i="13"/>
  <c r="V48" i="13"/>
  <c r="P48" i="13"/>
  <c r="T48" i="13"/>
  <c r="H48" i="13"/>
  <c r="N8" i="21" l="1" a="1"/>
  <c r="N8" i="21" s="1"/>
  <c r="E61" i="18" a="1"/>
  <c r="E61" i="18" s="1"/>
  <c r="E73" i="18" s="1"/>
  <c r="AB23" i="13"/>
  <c r="H61" i="18" s="1" a="1"/>
  <c r="H61" i="18" s="1"/>
  <c r="F48" i="22"/>
  <c r="C60" i="22" s="1"/>
  <c r="F60" i="22" s="1"/>
  <c r="F60" i="18" s="1"/>
  <c r="F72" i="18" s="1"/>
  <c r="C49" i="22"/>
  <c r="L31" i="21"/>
  <c r="L32" i="21" s="1"/>
  <c r="M31" i="21"/>
  <c r="M32" i="21" s="1"/>
  <c r="E62" i="18" a="1"/>
  <c r="E62" i="18" s="1"/>
  <c r="E74" i="18" s="1"/>
  <c r="O8" i="21" a="1"/>
  <c r="O8" i="21" s="1"/>
  <c r="E13" i="12"/>
  <c r="C13" i="12"/>
  <c r="J14" i="12"/>
  <c r="E14" i="12" s="1"/>
  <c r="H14" i="12"/>
  <c r="B15" i="12"/>
  <c r="I14" i="12"/>
  <c r="D13" i="12"/>
  <c r="F13" i="12" s="1"/>
  <c r="O18" i="21" l="1"/>
  <c r="O29" i="21"/>
  <c r="O27" i="21"/>
  <c r="O16" i="21"/>
  <c r="O12" i="21"/>
  <c r="O23" i="21"/>
  <c r="O24" i="21"/>
  <c r="O14" i="21"/>
  <c r="O9" i="21"/>
  <c r="O20" i="21"/>
  <c r="O13" i="21"/>
  <c r="O22" i="21"/>
  <c r="O17" i="21"/>
  <c r="O10" i="21"/>
  <c r="O21" i="21"/>
  <c r="O19" i="21"/>
  <c r="O30" i="21"/>
  <c r="O15" i="21"/>
  <c r="O26" i="21"/>
  <c r="O11" i="21"/>
  <c r="O28" i="21"/>
  <c r="O25" i="21"/>
  <c r="F49" i="22"/>
  <c r="C61" i="22" s="1"/>
  <c r="F61" i="22" s="1"/>
  <c r="F61" i="18" s="1"/>
  <c r="F73" i="18" s="1"/>
  <c r="C50" i="22"/>
  <c r="F50" i="22" s="1"/>
  <c r="C62" i="22" s="1"/>
  <c r="F62" i="22" s="1"/>
  <c r="F62" i="18" s="1"/>
  <c r="F74" i="18" s="1"/>
  <c r="N16" i="21"/>
  <c r="N14" i="21"/>
  <c r="N17" i="21"/>
  <c r="N28" i="21"/>
  <c r="N10" i="21"/>
  <c r="N13" i="21"/>
  <c r="N24" i="21"/>
  <c r="N22" i="21"/>
  <c r="N25" i="21"/>
  <c r="N19" i="21"/>
  <c r="N18" i="21"/>
  <c r="N21" i="21"/>
  <c r="N30" i="21"/>
  <c r="N15" i="21"/>
  <c r="N29" i="21"/>
  <c r="N11" i="21"/>
  <c r="N9" i="21"/>
  <c r="N20" i="21"/>
  <c r="N27" i="21"/>
  <c r="N12" i="21"/>
  <c r="N26" i="21"/>
  <c r="N23" i="21"/>
  <c r="H15" i="12"/>
  <c r="X38" i="13" a="1"/>
  <c r="X38" i="13" s="1"/>
  <c r="Y38" i="13" s="1"/>
  <c r="X51" i="17" a="1"/>
  <c r="X51" i="17" s="1"/>
  <c r="Y51" i="17" s="1"/>
  <c r="X31" i="17" a="1"/>
  <c r="X31" i="17" s="1"/>
  <c r="Y31" i="17" s="1"/>
  <c r="C14" i="12"/>
  <c r="J15" i="12"/>
  <c r="E15" i="12" s="1"/>
  <c r="I15" i="12"/>
  <c r="I16" i="12" s="1"/>
  <c r="B16" i="12"/>
  <c r="D14" i="12"/>
  <c r="N31" i="21" l="1"/>
  <c r="N32" i="21" s="1"/>
  <c r="O31" i="21"/>
  <c r="O32" i="21" s="1"/>
  <c r="J53" i="18" s="1" a="1"/>
  <c r="D15" i="12"/>
  <c r="D16" i="12" s="1"/>
  <c r="C15" i="12"/>
  <c r="F14" i="12"/>
  <c r="H16" i="12"/>
  <c r="J16" i="12"/>
  <c r="E16" i="12" s="1"/>
  <c r="B17" i="12"/>
  <c r="J60" i="18" l="1"/>
  <c r="C72" i="18" s="1"/>
  <c r="J54" i="18"/>
  <c r="C66" i="18" s="1"/>
  <c r="J57" i="18"/>
  <c r="C69" i="18" s="1"/>
  <c r="J56" i="18"/>
  <c r="C68" i="18" s="1"/>
  <c r="J59" i="18"/>
  <c r="C71" i="18" s="1"/>
  <c r="J62" i="18"/>
  <c r="C74" i="18" s="1"/>
  <c r="J53" i="18"/>
  <c r="C65" i="18" s="1"/>
  <c r="J58" i="18"/>
  <c r="C70" i="18" s="1"/>
  <c r="J55" i="18"/>
  <c r="C67" i="18" s="1"/>
  <c r="J61" i="18"/>
  <c r="C73" i="18" s="1"/>
  <c r="H17" i="12"/>
  <c r="I17" i="12"/>
  <c r="D17" i="12" s="1"/>
  <c r="J17" i="12"/>
  <c r="E17" i="12" s="1"/>
  <c r="B18" i="12"/>
  <c r="X32" i="17" a="1"/>
  <c r="X32" i="17" s="1"/>
  <c r="Y32" i="17" s="1"/>
  <c r="X39" i="13" a="1"/>
  <c r="X39" i="13" s="1"/>
  <c r="Y39" i="13" s="1"/>
  <c r="E32" i="18" s="1" a="1"/>
  <c r="E32" i="18" s="1"/>
  <c r="F32" i="18" s="1"/>
  <c r="X52" i="17" a="1"/>
  <c r="X52" i="17" s="1"/>
  <c r="Y52" i="17" s="1"/>
  <c r="F15" i="12"/>
  <c r="X40" i="13" s="1" a="1"/>
  <c r="X40" i="13" s="1"/>
  <c r="Y40" i="13" s="1"/>
  <c r="E33" i="18" s="1" a="1"/>
  <c r="E33" i="18" s="1"/>
  <c r="F33" i="18" s="1"/>
  <c r="C16" i="12"/>
  <c r="F16" i="12" l="1"/>
  <c r="C17" i="12"/>
  <c r="I18" i="12"/>
  <c r="I19" i="12" s="1"/>
  <c r="H18" i="12"/>
  <c r="J18" i="12"/>
  <c r="E18" i="12" s="1"/>
  <c r="B19" i="12"/>
  <c r="H19" i="12" l="1"/>
  <c r="J19" i="12"/>
  <c r="B20" i="12"/>
  <c r="I20" i="12" s="1"/>
  <c r="C18" i="12"/>
  <c r="F17" i="12"/>
  <c r="X34" i="17" a="1"/>
  <c r="X34" i="17" s="1"/>
  <c r="Y34" i="17" s="1"/>
  <c r="X41" i="13" a="1"/>
  <c r="X41" i="13" s="1"/>
  <c r="Y41" i="13" s="1"/>
  <c r="E34" i="18" s="1" a="1"/>
  <c r="E34" i="18" s="1"/>
  <c r="F34" i="18" s="1"/>
  <c r="X54" i="17" a="1"/>
  <c r="X54" i="17" s="1"/>
  <c r="Y54" i="17" s="1"/>
  <c r="D18" i="12"/>
  <c r="D19" i="12" s="1"/>
  <c r="J20" i="12" l="1"/>
  <c r="D20" i="12"/>
  <c r="X55" i="17" a="1"/>
  <c r="X55" i="17" s="1"/>
  <c r="Y55" i="17" s="1"/>
  <c r="X42" i="13" a="1"/>
  <c r="X42" i="13" s="1"/>
  <c r="Y42" i="13" s="1"/>
  <c r="E35" i="18" s="1" a="1"/>
  <c r="E35" i="18" s="1"/>
  <c r="F35" i="18" s="1"/>
  <c r="H20" i="12"/>
  <c r="B21" i="12"/>
  <c r="J21" i="12" s="1"/>
  <c r="J22" i="12" s="1"/>
  <c r="C19" i="12"/>
  <c r="F18" i="12"/>
  <c r="E19" i="12"/>
  <c r="H21" i="12" l="1"/>
  <c r="H22" i="12" s="1"/>
  <c r="E20" i="12"/>
  <c r="X36" i="17" a="1"/>
  <c r="X36" i="17" s="1"/>
  <c r="Y36" i="17" s="1"/>
  <c r="X43" i="13" a="1"/>
  <c r="X43" i="13" s="1"/>
  <c r="Y43" i="13" s="1"/>
  <c r="E36" i="18" s="1" a="1"/>
  <c r="E36" i="18" s="1"/>
  <c r="F36" i="18" s="1"/>
  <c r="X56" i="17" a="1"/>
  <c r="X56" i="17" s="1"/>
  <c r="Y56" i="17" s="1"/>
  <c r="E21" i="12"/>
  <c r="E22" i="12" s="1"/>
  <c r="C20" i="12"/>
  <c r="F19" i="12"/>
  <c r="I21" i="12"/>
  <c r="I22" i="12" s="1"/>
  <c r="I23" i="12" l="1"/>
  <c r="X44" i="13" a="1"/>
  <c r="X44" i="13" s="1"/>
  <c r="Y44" i="13" s="1"/>
  <c r="E37" i="18" s="1" a="1"/>
  <c r="E37" i="18" s="1"/>
  <c r="F37" i="18" s="1"/>
  <c r="X37" i="17" a="1"/>
  <c r="X37" i="17" s="1"/>
  <c r="Y37" i="17" s="1"/>
  <c r="X57" i="17" a="1"/>
  <c r="X57" i="17" s="1"/>
  <c r="Y57" i="17" s="1"/>
  <c r="D21" i="12"/>
  <c r="D22" i="12" s="1"/>
  <c r="C21" i="12"/>
  <c r="C22" i="12" s="1"/>
  <c r="F22" i="12" s="1"/>
  <c r="F20" i="12"/>
  <c r="X21" i="13" s="1" a="1"/>
  <c r="X21" i="13" s="1"/>
  <c r="Y21" i="13" s="1"/>
  <c r="J23" i="12"/>
  <c r="E23" i="12" s="1"/>
  <c r="X15" i="17" a="1"/>
  <c r="X15" i="17" s="1"/>
  <c r="Y15" i="17" s="1"/>
  <c r="C36" i="18" s="1" a="1"/>
  <c r="C36" i="18" s="1"/>
  <c r="X9" i="17" a="1"/>
  <c r="X9" i="17" s="1"/>
  <c r="Y9" i="17" s="1"/>
  <c r="X16" i="13" a="1"/>
  <c r="X16" i="13" s="1"/>
  <c r="Y16" i="13" s="1"/>
  <c r="X13" i="17" a="1"/>
  <c r="X13" i="17" s="1"/>
  <c r="Y13" i="17" s="1"/>
  <c r="C34" i="18" s="1" a="1"/>
  <c r="C34" i="18" s="1"/>
  <c r="X19" i="13" a="1"/>
  <c r="X19" i="13" s="1"/>
  <c r="Y19" i="13" s="1"/>
  <c r="X11" i="17" a="1"/>
  <c r="X11" i="17" s="1"/>
  <c r="Y11" i="17" s="1"/>
  <c r="C32" i="18" s="1" a="1"/>
  <c r="C32" i="18" s="1"/>
  <c r="X17" i="13" a="1"/>
  <c r="X17" i="13" s="1"/>
  <c r="Y17" i="13" s="1"/>
  <c r="X18" i="13" a="1"/>
  <c r="X18" i="13" s="1"/>
  <c r="Y18" i="13" s="1"/>
  <c r="X20" i="13" a="1"/>
  <c r="X20" i="13" s="1"/>
  <c r="Y20" i="13" s="1"/>
  <c r="X10" i="17" a="1"/>
  <c r="X10" i="17" s="1"/>
  <c r="Y10" i="17" s="1"/>
  <c r="X15" i="13" a="1"/>
  <c r="X15" i="13" s="1"/>
  <c r="Y15" i="13" s="1"/>
  <c r="X16" i="17" a="1"/>
  <c r="X16" i="17" s="1"/>
  <c r="Y16" i="17" s="1"/>
  <c r="C37" i="18" s="1" a="1"/>
  <c r="C37" i="18" s="1"/>
  <c r="X14" i="17" a="1"/>
  <c r="X14" i="17" s="1"/>
  <c r="Y14" i="17" s="1"/>
  <c r="C35" i="18" s="1" a="1"/>
  <c r="C35" i="18" s="1"/>
  <c r="X12" i="17" a="1"/>
  <c r="X12" i="17" s="1"/>
  <c r="Y12" i="17" s="1"/>
  <c r="C33" i="18" s="1" a="1"/>
  <c r="C33" i="18" s="1"/>
  <c r="X53" i="17" a="1"/>
  <c r="X53" i="17" s="1"/>
  <c r="Y53" i="17" s="1"/>
  <c r="H23" i="12"/>
  <c r="AA21" i="13" l="1"/>
  <c r="AB21" i="13" s="1"/>
  <c r="H59" i="18" s="1" a="1"/>
  <c r="H59" i="18" s="1"/>
  <c r="D38" i="18" a="1"/>
  <c r="D38" i="18" s="1"/>
  <c r="AA18" i="13"/>
  <c r="AB18" i="13" s="1"/>
  <c r="D35" i="18" a="1"/>
  <c r="D35" i="18" s="1"/>
  <c r="AA15" i="13"/>
  <c r="AB15" i="13" s="1"/>
  <c r="H53" i="18" s="1" a="1"/>
  <c r="H53" i="18" s="1"/>
  <c r="D32" i="18" a="1"/>
  <c r="D32" i="18" s="1"/>
  <c r="G32" i="18" s="1"/>
  <c r="I53" i="18" s="1"/>
  <c r="AA16" i="13"/>
  <c r="AB16" i="13" s="1"/>
  <c r="H54" i="18" s="1" a="1"/>
  <c r="H54" i="18" s="1"/>
  <c r="D33" i="18" a="1"/>
  <c r="D33" i="18" s="1"/>
  <c r="G33" i="18" s="1"/>
  <c r="AA17" i="13"/>
  <c r="AB17" i="13" s="1"/>
  <c r="H55" i="18" s="1" a="1"/>
  <c r="H55" i="18" s="1"/>
  <c r="D34" i="18" a="1"/>
  <c r="D34" i="18" s="1"/>
  <c r="AA19" i="13"/>
  <c r="AB19" i="13" s="1"/>
  <c r="H57" i="18" s="1" a="1"/>
  <c r="H57" i="18" s="1"/>
  <c r="D36" i="18" a="1"/>
  <c r="D36" i="18" s="1"/>
  <c r="AA20" i="13"/>
  <c r="AB20" i="13" s="1"/>
  <c r="H58" i="18" s="1" a="1"/>
  <c r="H58" i="18" s="1"/>
  <c r="D37" i="18" a="1"/>
  <c r="D37" i="18" s="1"/>
  <c r="H56" i="18" a="1"/>
  <c r="H56" i="18" s="1"/>
  <c r="D23" i="12"/>
  <c r="X17" i="17" a="1"/>
  <c r="X17" i="17" s="1"/>
  <c r="Y17" i="17" s="1"/>
  <c r="C38" i="18" s="1" a="1"/>
  <c r="C38" i="18" s="1"/>
  <c r="X58" i="17" a="1"/>
  <c r="X58" i="17" s="1"/>
  <c r="Y58" i="17" s="1"/>
  <c r="X38" i="17" a="1"/>
  <c r="X38" i="17" s="1"/>
  <c r="Y38" i="17" s="1"/>
  <c r="X45" i="13" a="1"/>
  <c r="X45" i="13" s="1"/>
  <c r="Y45" i="13" s="1"/>
  <c r="E38" i="18" s="1" a="1"/>
  <c r="E38" i="18" s="1"/>
  <c r="F38" i="18" s="1"/>
  <c r="C23" i="12"/>
  <c r="F23" i="12" s="1"/>
  <c r="F21" i="12"/>
  <c r="D65" i="18" l="1"/>
  <c r="L53" i="18"/>
  <c r="G38" i="18"/>
  <c r="I59" i="18" s="1"/>
  <c r="D71" i="18" s="1"/>
  <c r="G71" i="18" s="1"/>
  <c r="G35" i="18"/>
  <c r="G34" i="18"/>
  <c r="G36" i="18"/>
  <c r="I57" i="18" s="1"/>
  <c r="I54" i="18"/>
  <c r="G37" i="18"/>
  <c r="I58" i="18" s="1"/>
  <c r="D70" i="18" s="1"/>
  <c r="X46" i="13" a="1"/>
  <c r="X46" i="13" s="1"/>
  <c r="Y46" i="13" s="1"/>
  <c r="E39" i="18" s="1" a="1"/>
  <c r="E39" i="18" s="1"/>
  <c r="F39" i="18" s="1"/>
  <c r="X39" i="17" a="1"/>
  <c r="X39" i="17" s="1"/>
  <c r="Y39" i="17" s="1"/>
  <c r="X59" i="17" a="1"/>
  <c r="X59" i="17" s="1"/>
  <c r="Y59" i="17" s="1"/>
  <c r="X18" i="17" a="1"/>
  <c r="X18" i="17" s="1"/>
  <c r="Y18" i="17" s="1"/>
  <c r="C39" i="18" s="1" a="1"/>
  <c r="C39" i="18" s="1"/>
  <c r="X22" i="13" a="1"/>
  <c r="X22" i="13" s="1"/>
  <c r="Y22" i="13" s="1"/>
  <c r="X14" i="13" a="1"/>
  <c r="X14" i="13" s="1"/>
  <c r="Y14" i="13" s="1"/>
  <c r="AA14" i="13" s="1"/>
  <c r="AB14" i="13" s="1"/>
  <c r="X33" i="17" a="1"/>
  <c r="X33" i="17" s="1"/>
  <c r="Y33" i="17" s="1"/>
  <c r="X35" i="17" a="1"/>
  <c r="X35" i="17" s="1"/>
  <c r="Y35" i="17" s="1"/>
  <c r="X40" i="17" a="1"/>
  <c r="X40" i="17" s="1"/>
  <c r="Y40" i="17" s="1"/>
  <c r="X20" i="17" a="1"/>
  <c r="X20" i="17" s="1"/>
  <c r="X60" i="17" a="1"/>
  <c r="X60" i="17" s="1"/>
  <c r="Y60" i="17" s="1"/>
  <c r="X48" i="13" a="1"/>
  <c r="X48" i="13" s="1"/>
  <c r="Y48" i="13" s="1"/>
  <c r="Y24" i="13"/>
  <c r="Y20" i="17" l="1"/>
  <c r="C41" i="18" s="1" a="1"/>
  <c r="C41" i="18" s="1"/>
  <c r="G65" i="18"/>
  <c r="I56" i="18"/>
  <c r="D68" i="18" s="1"/>
  <c r="G68" i="18" s="1"/>
  <c r="I68" i="18" s="1"/>
  <c r="I55" i="18"/>
  <c r="D67" i="18" s="1"/>
  <c r="G67" i="18" s="1"/>
  <c r="I67" i="18" s="1"/>
  <c r="D69" i="18"/>
  <c r="G69" i="18" s="1"/>
  <c r="I69" i="18" s="1"/>
  <c r="L54" i="18"/>
  <c r="D66" i="18"/>
  <c r="G66" i="18" s="1"/>
  <c r="I66" i="18" s="1"/>
  <c r="E40" i="18" a="1"/>
  <c r="E40" i="18" s="1"/>
  <c r="F40" i="18" s="1"/>
  <c r="G40" i="18" s="1"/>
  <c r="I61" i="18" s="1"/>
  <c r="D73" i="18" s="1"/>
  <c r="G73" i="18" s="1"/>
  <c r="I73" i="18" s="1"/>
  <c r="E41" i="18" a="1"/>
  <c r="E41" i="18" s="1"/>
  <c r="F41" i="18" s="1"/>
  <c r="AA24" i="13"/>
  <c r="AB24" i="13" s="1"/>
  <c r="D41" i="18" a="1"/>
  <c r="D41" i="18" s="1"/>
  <c r="AA22" i="13"/>
  <c r="AB22" i="13" s="1"/>
  <c r="H60" i="18" s="1" a="1"/>
  <c r="H60" i="18" s="1"/>
  <c r="D39" i="18" a="1"/>
  <c r="D39" i="18" s="1"/>
  <c r="H62" i="18" a="1"/>
  <c r="H62" i="18" s="1"/>
  <c r="I65" i="18" l="1"/>
  <c r="G41" i="18"/>
  <c r="I62" i="18" s="1"/>
  <c r="G39" i="18"/>
  <c r="I60" i="18" l="1"/>
  <c r="L62" i="18"/>
  <c r="D74" i="18"/>
  <c r="L61" i="18"/>
  <c r="L58" i="18"/>
  <c r="L59" i="18"/>
  <c r="L57" i="18"/>
  <c r="C77" i="22"/>
  <c r="D72" i="18" l="1"/>
  <c r="G72" i="18" s="1"/>
  <c r="I72" i="18" s="1"/>
  <c r="L60" i="18"/>
  <c r="G74" i="18"/>
  <c r="I74" i="18" s="1"/>
  <c r="C78" i="22"/>
  <c r="D77" i="22"/>
  <c r="J73" i="18" l="1"/>
  <c r="J74" i="18"/>
  <c r="J72" i="18"/>
  <c r="C79" i="22"/>
  <c r="D79" i="22" s="1"/>
  <c r="L56" i="18" s="1"/>
  <c r="D78" i="22"/>
  <c r="L55" i="18"/>
  <c r="I71" i="18" l="1"/>
  <c r="J71" i="18" s="1"/>
  <c r="G70" i="18"/>
  <c r="C82" i="18" s="1"/>
  <c r="I70" i="18" l="1"/>
  <c r="J65" i="18" s="1"/>
  <c r="J69" i="18" l="1"/>
  <c r="J70" i="18"/>
  <c r="J67" i="18"/>
  <c r="J68" i="18"/>
  <c r="J66" i="18"/>
  <c r="C83" i="18"/>
  <c r="C85" i="18" s="1"/>
  <c r="C89" i="18" l="1"/>
  <c r="C99"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<sst xmlns="http://schemas.openxmlformats.org/spreadsheetml/2006/main" count="432" uniqueCount="244">
  <si>
    <t>POPULATION</t>
  </si>
  <si>
    <t>Year</t>
  </si>
  <si>
    <t>East Rarita</t>
  </si>
  <si>
    <t>Central Rarita</t>
  </si>
  <si>
    <t>West Rarita</t>
  </si>
  <si>
    <t>Rarita</t>
  </si>
  <si>
    <t>EURO TO DOUBLOON CONVERSION RATES</t>
  </si>
  <si>
    <r>
      <t>Doubloon (</t>
    </r>
    <r>
      <rPr>
        <b/>
        <sz val="12"/>
        <color theme="0"/>
        <rFont val="Calibri Light"/>
        <family val="2"/>
      </rPr>
      <t>∂</t>
    </r>
    <r>
      <rPr>
        <b/>
        <sz val="12"/>
        <color theme="0"/>
        <rFont val="Calibri"/>
        <family val="2"/>
      </rPr>
      <t>)</t>
    </r>
  </si>
  <si>
    <r>
      <t>Euro (</t>
    </r>
    <r>
      <rPr>
        <b/>
        <sz val="12"/>
        <color theme="0"/>
        <rFont val="Calibri Light"/>
        <family val="2"/>
      </rPr>
      <t>€</t>
    </r>
    <r>
      <rPr>
        <b/>
        <sz val="12"/>
        <color theme="0"/>
        <rFont val="Calibri"/>
        <family val="2"/>
      </rPr>
      <t>)</t>
    </r>
  </si>
  <si>
    <t>Average conversion rate throughout the calendar year.</t>
  </si>
  <si>
    <t>Annual Inflation Rate</t>
  </si>
  <si>
    <t>Nation</t>
  </si>
  <si>
    <t>Per Capita
Total Revenue (∂)</t>
  </si>
  <si>
    <t>Per Capita
Matchday (∂)</t>
  </si>
  <si>
    <t>Per Capita
Broadcast (∂)</t>
  </si>
  <si>
    <t>Per Capita
Commercial (∂)</t>
  </si>
  <si>
    <t>Bernepamar</t>
  </si>
  <si>
    <t>Byasier Pujan</t>
  </si>
  <si>
    <t>Cuandbo</t>
  </si>
  <si>
    <t>Djipines</t>
  </si>
  <si>
    <t>Dosqaly</t>
  </si>
  <si>
    <t>Eastern Sleboube</t>
  </si>
  <si>
    <t>Esia</t>
  </si>
  <si>
    <t>Galamily</t>
  </si>
  <si>
    <t>Giumle Lizeibon</t>
  </si>
  <si>
    <t>Greri Landmoslands</t>
  </si>
  <si>
    <t>Manlisgamncent</t>
  </si>
  <si>
    <t>Mico</t>
  </si>
  <si>
    <t>Nganion</t>
  </si>
  <si>
    <t>Nkasland Cronestan</t>
  </si>
  <si>
    <t>People's Land of Maneau</t>
  </si>
  <si>
    <t>Quewenia</t>
  </si>
  <si>
    <t>Sobianitedrucy</t>
  </si>
  <si>
    <t>Southern Ristan</t>
  </si>
  <si>
    <t>Unicorporated Tiagascar</t>
  </si>
  <si>
    <t>Xikong</t>
  </si>
  <si>
    <t>Per Capita
Total Expense (∂)</t>
  </si>
  <si>
    <t>Per Capita
Staff
Costs (∂)</t>
  </si>
  <si>
    <t>Per Capita
Other
Expenses (∂)</t>
  </si>
  <si>
    <t>GROSS DOMESTIC PRODUCT (GDP) PER CAPITA</t>
  </si>
  <si>
    <t>Country</t>
  </si>
  <si>
    <t>Maturity</t>
  </si>
  <si>
    <t>1/1/2008</t>
  </si>
  <si>
    <t>1/1/2009</t>
  </si>
  <si>
    <t>1/1/2010</t>
  </si>
  <si>
    <t>1/1/2011</t>
  </si>
  <si>
    <t>1/1/2012</t>
  </si>
  <si>
    <t>1/1/2013</t>
  </si>
  <si>
    <t>1/1/2014</t>
  </si>
  <si>
    <t>1/1/2015</t>
  </si>
  <si>
    <t>1/1/2016</t>
  </si>
  <si>
    <t>1/1/2017</t>
  </si>
  <si>
    <t>1/1/2018</t>
  </si>
  <si>
    <t>1/1/2019</t>
  </si>
  <si>
    <t>1/1/2020</t>
  </si>
  <si>
    <t>1/1/2021</t>
  </si>
  <si>
    <t>Total</t>
  </si>
  <si>
    <t>Growth rate</t>
  </si>
  <si>
    <t>Input</t>
  </si>
  <si>
    <t>Calculations</t>
  </si>
  <si>
    <t>Output</t>
  </si>
  <si>
    <t>Inflation factor</t>
  </si>
  <si>
    <t>USD to Euro</t>
  </si>
  <si>
    <t>Euro to USD</t>
  </si>
  <si>
    <t>USD to DBL</t>
  </si>
  <si>
    <t xml:space="preserve"> </t>
  </si>
  <si>
    <t>Barcelona</t>
  </si>
  <si>
    <t>Euro to DBL</t>
  </si>
  <si>
    <t>Manchester United</t>
  </si>
  <si>
    <t>Juventus</t>
  </si>
  <si>
    <t>Average of the 3 teams (Nominal)</t>
  </si>
  <si>
    <t>Cumulative Inflationary Discount</t>
  </si>
  <si>
    <t>Real amount (Beginning of 2016)</t>
  </si>
  <si>
    <t>Real Growth Rate</t>
  </si>
  <si>
    <t>Inflationary cumulative growth factor</t>
  </si>
  <si>
    <t>Projected amount (Nominal)</t>
  </si>
  <si>
    <t>Tournament Percentage</t>
  </si>
  <si>
    <t>Haircut on sponsorship (reflecting lag before full capital gains realised)</t>
  </si>
  <si>
    <t>Sponsorship Cashflows</t>
  </si>
  <si>
    <t>Rosie's Calcs</t>
  </si>
  <si>
    <t>10 year inflation</t>
  </si>
  <si>
    <t>&lt;- these are the expected sponsorship amounts after 5 years (ranking top 10)</t>
  </si>
  <si>
    <t>Projected Revenue</t>
  </si>
  <si>
    <t>Tournament Only</t>
  </si>
  <si>
    <t>First 5 years yearly increase</t>
  </si>
  <si>
    <t>Rarita Population</t>
  </si>
  <si>
    <t>Total Revenue</t>
  </si>
  <si>
    <t>Tournament adjustment</t>
  </si>
  <si>
    <t>Total Expenses</t>
  </si>
  <si>
    <t>Adjusted Tournament expenses</t>
  </si>
  <si>
    <t>Inflated tournament expense</t>
  </si>
  <si>
    <t>Assumptions</t>
  </si>
  <si>
    <t>no. of players</t>
  </si>
  <si>
    <t>Salary adjustment</t>
  </si>
  <si>
    <t>salary inflation = cost inflation</t>
  </si>
  <si>
    <t xml:space="preserve">Players </t>
  </si>
  <si>
    <t>Salary inflation cumulative</t>
  </si>
  <si>
    <t>Player</t>
  </si>
  <si>
    <t>Annualized_Salary</t>
  </si>
  <si>
    <t>Expected_Salary</t>
  </si>
  <si>
    <t>Pos_new</t>
  </si>
  <si>
    <t>Salary_Ratio</t>
  </si>
  <si>
    <t>F. Akumu</t>
  </si>
  <si>
    <t>GK</t>
  </si>
  <si>
    <t>J. Turyasingura</t>
  </si>
  <si>
    <t>F. Ithungu</t>
  </si>
  <si>
    <t>U. Arthur</t>
  </si>
  <si>
    <t>DF</t>
  </si>
  <si>
    <t>M. Beck</t>
  </si>
  <si>
    <t>C. Baluka</t>
  </si>
  <si>
    <t>Q. Sano</t>
  </si>
  <si>
    <t>N. Tamura</t>
  </si>
  <si>
    <t>O. Balog</t>
  </si>
  <si>
    <t>P. Chi</t>
  </si>
  <si>
    <t>J. Namirembe</t>
  </si>
  <si>
    <t>MF</t>
  </si>
  <si>
    <t>G. Jankowski</t>
  </si>
  <si>
    <t>D. Bengtsson</t>
  </si>
  <si>
    <t>Q. Gruber</t>
  </si>
  <si>
    <t>L. Leibowitz</t>
  </si>
  <si>
    <t>S. Barman</t>
  </si>
  <si>
    <t>S. Nabasa</t>
  </si>
  <si>
    <t>A. Kyarikunda</t>
  </si>
  <si>
    <t>FW</t>
  </si>
  <si>
    <t>B. Elbaz</t>
  </si>
  <si>
    <t>Z. Zziwa</t>
  </si>
  <si>
    <t>K. Kazlo?</t>
  </si>
  <si>
    <t>E. Mudzingwa</t>
  </si>
  <si>
    <t xml:space="preserve">tournanement adjusted </t>
  </si>
  <si>
    <t>Financial Data of Football Clubs</t>
  </si>
  <si>
    <t>Company Name</t>
  </si>
  <si>
    <t>Market Capitalisation (€ million)</t>
  </si>
  <si>
    <t>Proportion of Total Market Capitalisation</t>
  </si>
  <si>
    <t>Unlevered Beta</t>
  </si>
  <si>
    <t>Juventus Football Club S.p.A</t>
  </si>
  <si>
    <t>Olympique Lyonnais Groupe</t>
  </si>
  <si>
    <t>Arsenal</t>
  </si>
  <si>
    <t>Borussia Dortmund</t>
  </si>
  <si>
    <t>Galatasaray</t>
  </si>
  <si>
    <t>Fenerbahce</t>
  </si>
  <si>
    <t>WACC</t>
  </si>
  <si>
    <t>Industry</t>
  </si>
  <si>
    <t>Description</t>
  </si>
  <si>
    <t>Industry unlevered beta</t>
  </si>
  <si>
    <t>Apply a weighted average based on market capitilisation to account for the different sizes in the comparable companies. An arithmetic average would skew the weighting towards the smaller companies. This may not accurately quantify the business risk.</t>
  </si>
  <si>
    <t>Risk-free rate</t>
  </si>
  <si>
    <t>10-year USD treasury bill rate used as a proxy for the risk-free rate since it is liquid and its term to maturity matches the desired time horizon (assumes company is a going concern). Source: Factset</t>
  </si>
  <si>
    <t>Market risk premium</t>
  </si>
  <si>
    <t>Implied market risk premium in Europe on March 2021. Source: Market-Risk-Premia.com</t>
  </si>
  <si>
    <t>Assume no debt in chosen structure</t>
  </si>
  <si>
    <t>FIFA revenue assumption</t>
  </si>
  <si>
    <t>No. of teams</t>
  </si>
  <si>
    <t xml:space="preserve">Investment into football </t>
  </si>
  <si>
    <t>projection for 2023</t>
  </si>
  <si>
    <t>world cup 2014</t>
  </si>
  <si>
    <t>total asset</t>
  </si>
  <si>
    <t>total investment in 2021</t>
  </si>
  <si>
    <t>total expense</t>
  </si>
  <si>
    <t>investment in development and education</t>
  </si>
  <si>
    <t>profits</t>
  </si>
  <si>
    <t>fifa forward programme</t>
  </si>
  <si>
    <t>Conversion to yearly tournament</t>
  </si>
  <si>
    <t>unit cost 2018</t>
  </si>
  <si>
    <t>Tournament support</t>
  </si>
  <si>
    <t>Unit cost 2014</t>
  </si>
  <si>
    <t>unit</t>
  </si>
  <si>
    <t xml:space="preserve">Total cost </t>
  </si>
  <si>
    <t>percentage</t>
  </si>
  <si>
    <t>conversion to yearly tournament</t>
  </si>
  <si>
    <t>Fixed revenue for Rarita</t>
  </si>
  <si>
    <t>Variable revenue for Rarita</t>
  </si>
  <si>
    <t>inflated to 2022</t>
  </si>
  <si>
    <t>Price pool</t>
  </si>
  <si>
    <t>Winner</t>
  </si>
  <si>
    <t xml:space="preserve">Runner up </t>
  </si>
  <si>
    <t>3rd</t>
  </si>
  <si>
    <t>4th</t>
  </si>
  <si>
    <t>5th-8th</t>
  </si>
  <si>
    <t>9th-16th</t>
  </si>
  <si>
    <t>eliminated groups</t>
  </si>
  <si>
    <t>participation</t>
  </si>
  <si>
    <t>clubs with player</t>
  </si>
  <si>
    <t>Other</t>
  </si>
  <si>
    <t>Total RFL player non-GK salary 2020</t>
  </si>
  <si>
    <t>Total Staff cost 2020</t>
  </si>
  <si>
    <t>non-football player salary %</t>
  </si>
  <si>
    <t>Expenses as  % of revenue</t>
  </si>
  <si>
    <t>Total league revenue</t>
  </si>
  <si>
    <t>Other league expenses</t>
  </si>
  <si>
    <t>League staff cost</t>
  </si>
  <si>
    <t>League non football player %</t>
  </si>
  <si>
    <t>Cost as % of revenue</t>
  </si>
  <si>
    <t xml:space="preserve">Growth rate for Prize pool </t>
  </si>
  <si>
    <t>base year</t>
  </si>
  <si>
    <t>Revenue</t>
  </si>
  <si>
    <t>Expenses</t>
  </si>
  <si>
    <t>Cash injection</t>
  </si>
  <si>
    <t>Adjusted tournament support USD</t>
  </si>
  <si>
    <t>Inflated &amp; adjusted tournament support DBL</t>
  </si>
  <si>
    <t>Sponsorship</t>
  </si>
  <si>
    <t>Inflated League Expense</t>
  </si>
  <si>
    <t>Inflated Expense using cost %</t>
  </si>
  <si>
    <t>player salary</t>
  </si>
  <si>
    <t>Net cashflow</t>
  </si>
  <si>
    <t>NPV Analysis</t>
  </si>
  <si>
    <t>Player Salary</t>
  </si>
  <si>
    <t>Expenses (staff and other costs)</t>
  </si>
  <si>
    <t>Tournament Support</t>
  </si>
  <si>
    <t>Free Cash Flow</t>
  </si>
  <si>
    <t>Discount Factor</t>
  </si>
  <si>
    <t>Discounted Cash Flow</t>
  </si>
  <si>
    <t>Worst Case Scenario (-995m NPV)</t>
  </si>
  <si>
    <t>0 NPV</t>
  </si>
  <si>
    <t>Haircut to Sponsorship Money</t>
  </si>
  <si>
    <t>Adjustment to Player Salary</t>
  </si>
  <si>
    <t>IRR</t>
  </si>
  <si>
    <t>NPV</t>
  </si>
  <si>
    <t>Funding</t>
  </si>
  <si>
    <t xml:space="preserve">Remaining Funding </t>
  </si>
  <si>
    <t>Prize pool growth rate</t>
  </si>
  <si>
    <t>Haircut to Sponsorhip money</t>
  </si>
  <si>
    <t>FIFA World Cup 2018</t>
  </si>
  <si>
    <t>FSA Tournament 2022</t>
  </si>
  <si>
    <t xml:space="preserve">FSA tournament </t>
  </si>
  <si>
    <t>FSA 2022</t>
  </si>
  <si>
    <t>FSA 2022 doubloon</t>
  </si>
  <si>
    <t>Total price pool</t>
  </si>
  <si>
    <t xml:space="preserve">Runner-up </t>
  </si>
  <si>
    <t>Eliminated groups</t>
  </si>
  <si>
    <t>Participation</t>
  </si>
  <si>
    <t>Operational Expenses</t>
  </si>
  <si>
    <t>Cashflows</t>
  </si>
  <si>
    <t>Player salaries</t>
  </si>
  <si>
    <t xml:space="preserve">  </t>
  </si>
  <si>
    <t>Free cashflows</t>
  </si>
  <si>
    <t>Discount factor</t>
  </si>
  <si>
    <t>Discounted cashflows</t>
  </si>
  <si>
    <t>Adjustments</t>
  </si>
  <si>
    <t>Reserve Requirement</t>
  </si>
  <si>
    <t>10 Year Cashflows</t>
  </si>
  <si>
    <t>Tournament as % of  League</t>
  </si>
  <si>
    <t>$</t>
  </si>
  <si>
    <t>Exchange rate projections</t>
  </si>
  <si>
    <t>Inflation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</si>
</sst>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4" formatCode="_(&quot;$&quot;* #,##0.00_);_(&quot;$&quot;* \(#,##0.00\);_(&quot;$&quot;* &quot;-&quot;??_);_(@_)"/>
    <numFmt numFmtId="164" formatCode="_-* #,##0.00_-;\-* #,##0.00_-;_-* &quot;-&quot;??_-;_-@_-"/>
    <numFmt numFmtId="165" formatCode="0.0"/>
    <numFmt numFmtId="166" formatCode="&quot;∂ &quot;#,##0"/>
    <numFmt numFmtId="167" formatCode="0.000"/>
    <numFmt numFmtId="168" formatCode="0.0000"/>
    <numFmt numFmtId="169" formatCode="_(&quot;$&quot;* #,##0_);_(&quot;$&quot;* \(#,##0\);_(&quot;$&quot;* &quot;-&quot;??_);_(@_)"/>
    <numFmt numFmtId="170" formatCode="_-[$€-2]\ * #,##0_-;\-[$€-2]\ * #,##0_-;_-[$€-2]\ * &quot;-&quot;??_-;_-@_-"/>
    <numFmt numFmtId="171" formatCode="_-* #,##0_-;\-* #,##0_-;_-* &quot;-&quot;??_-;_-@_-"/>
    <numFmt numFmtId="172" formatCode="0.0000%"/>
    <numFmt numFmtId="173" formatCode="_-* #,##0.0000_-;\-* #,##0.0000_-;_-* &quot;-&quot;??_-;_-@_-"/>
    <numFmt numFmtId="174" formatCode="0.000%"/>
    <numFmt numFmtId="175" formatCode="\∂#,##0.00;\∂\(#,##0.00\)"/>
    <numFmt numFmtId="176" formatCode="_(\∂* #,##0_);_(\∂* \(#,##0\);_(\∂* &quot;-&quot;??_);_(@_)"/>
    <numFmt numFmtId="177" formatCode="_([$€-2]\ * #,##0.00_);_([$€-2]\ * \(#,##0.00\);_([$€-2]\ * &quot;-&quot;??_);_(@_)"/>
    <numFmt numFmtId="178" formatCode="_(&quot;$&quot;* #,##0.000_);_(&quot;$&quot;* \(#,##0.000\);_(&quot;$&quot;* &quot;-&quot;??_);_(@_)"/>
  </numFmts>
  <fonts count="23" x14ac:knownFonts="1">
    <font>
      <sz val="11"/>
      <color theme="1"/>
      <name val="Calibri"/>
      <family val="2"/>
      <scheme val="minor"/>
    </font>
    <font>
      <sz val="12"/>
      <color theme="1"/>
      <name val="Calibri"/>
      <family val="2"/>
      <scheme val="minor"/>
    </font>
    <font>
      <sz val="11"/>
      <color theme="1"/>
      <name val="Calibri"/>
      <family val="2"/>
      <scheme val="minor"/>
    </font>
    <font>
      <b/>
      <sz val="12"/>
      <color theme="0"/>
      <name val="Calibri"/>
      <family val="2"/>
      <scheme val="minor"/>
    </font>
    <font>
      <sz val="11"/>
      <color indexed="8"/>
      <name val="Calibri Light"/>
      <family val="2"/>
      <scheme val="major"/>
    </font>
    <font>
      <sz val="11"/>
      <color theme="1"/>
      <name val="Calibri Light"/>
      <family val="2"/>
      <scheme val="major"/>
    </font>
    <font>
      <sz val="11"/>
      <color theme="4"/>
      <name val="Calibri Light"/>
      <family val="2"/>
      <scheme val="major"/>
    </font>
    <font>
      <sz val="11"/>
      <name val="Calibri Light"/>
      <family val="2"/>
      <scheme val="major"/>
    </font>
    <font>
      <b/>
      <sz val="12"/>
      <color theme="0"/>
      <name val="Calibri Light"/>
      <family val="2"/>
    </font>
    <font>
      <b/>
      <sz val="12"/>
      <color theme="0"/>
      <name val="Calibri"/>
      <family val="2"/>
    </font>
    <font>
      <i/>
      <sz val="9"/>
      <name val="Calibri Light"/>
      <family val="2"/>
      <scheme val="major"/>
    </font>
    <font>
      <b/>
      <sz val="11"/>
      <color theme="1"/>
      <name val="Calibri"/>
      <family val="2"/>
      <scheme val="minor"/>
    </font>
    <font>
      <sz val="11"/>
      <color theme="2" tint="-9.9978637043366805E-2"/>
      <name val="Calibri"/>
      <family val="2"/>
      <scheme val="minor"/>
    </font>
    <font>
      <b/>
      <sz val="11"/>
      <color theme="2" tint="-9.9978637043366805E-2"/>
      <name val="Calibri"/>
      <family val="2"/>
      <scheme val="minor"/>
    </font>
    <font>
      <sz val="8"/>
      <color rgb="FFFFFFFF"/>
      <name val="Segoe UI"/>
      <family val="2"/>
    </font>
    <font>
      <sz val="8"/>
      <color theme="1"/>
      <name val="Segoe UI"/>
      <family val="2"/>
    </font>
    <font>
      <sz val="11"/>
      <color rgb="FF0070C0"/>
      <name val="Calibri"/>
      <family val="2"/>
      <scheme val="minor"/>
    </font>
    <font>
      <sz val="11"/>
      <name val="Calibri"/>
      <family val="2"/>
      <scheme val="minor"/>
    </font>
    <font>
      <b/>
      <sz val="12"/>
      <color theme="1"/>
      <name val="Calibri"/>
      <family val="2"/>
      <scheme val="minor"/>
    </font>
    <font>
      <sz val="8"/>
      <color theme="1"/>
      <name val="Segoe UI"/>
    </font>
    <font>
      <sz val="8"/>
      <color rgb="FFFFFFFF"/>
      <name val="Segoe UI"/>
    </font>
    <font>
      <b/>
      <sz val="11"/>
      <color theme="0"/>
      <name val="Calibri"/>
      <family val="2"/>
      <scheme val="minor"/>
    </font>
    <font>
      <b/>
      <sz val="14"/>
      <color theme="4"/>
      <name val="Calibri"/>
      <family val="2"/>
      <scheme val="minor"/>
    </font>
  </fonts>
  <fills count="15">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rgb="FF4E5C68"/>
        <bgColor indexed="64"/>
      </patternFill>
    </fill>
    <fill>
      <patternFill patternType="solid">
        <fgColor theme="0" tint="-4.9989318521683403E-2"/>
        <bgColor indexed="64"/>
      </patternFill>
    </fill>
    <fill>
      <patternFill patternType="solid">
        <fgColor theme="0"/>
        <bgColor indexed="64"/>
      </patternFill>
    </fill>
    <fill>
      <patternFill patternType="solid">
        <fgColor theme="4"/>
        <bgColor theme="4"/>
      </patternFill>
    </fill>
  </fills>
  <borders count="55">
    <border>
      <left/>
      <right/>
      <top/>
      <bottom/>
      <diagonal/>
    </border>
    <border>
      <left style="thin">
        <color indexed="64"/>
      </left>
      <right/>
      <top/>
      <bottom style="thin">
        <color theme="0" tint="-4.9989318521683403E-2"/>
      </bottom>
      <diagonal/>
    </border>
    <border>
      <left/>
      <right/>
      <top/>
      <bottom style="thin">
        <color theme="0" tint="-4.9989318521683403E-2"/>
      </bottom>
      <diagonal/>
    </border>
    <border>
      <left/>
      <right style="thin">
        <color indexed="64"/>
      </right>
      <top/>
      <bottom style="thin">
        <color theme="0" tint="-4.9989318521683403E-2"/>
      </bottom>
      <diagonal/>
    </border>
    <border>
      <left style="thin">
        <color indexed="64"/>
      </left>
      <right/>
      <top/>
      <bottom/>
      <diagonal/>
    </border>
    <border>
      <left/>
      <right style="thin">
        <color indexed="64"/>
      </right>
      <top/>
      <bottom/>
      <diagonal/>
    </border>
    <border>
      <left/>
      <right/>
      <top/>
      <bottom style="thin">
        <color theme="0" tint="-0.14996795556505021"/>
      </bottom>
      <diagonal/>
    </border>
    <border>
      <left/>
      <right/>
      <top/>
      <bottom style="thin">
        <color theme="0" tint="-0.24994659260841701"/>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rgb="FF000000"/>
      </top>
      <bottom/>
      <diagonal/>
    </border>
    <border>
      <left style="thin">
        <color indexed="64"/>
      </left>
      <right/>
      <top style="thin">
        <color indexed="64"/>
      </top>
      <bottom/>
      <diagonal/>
    </border>
    <border>
      <left/>
      <right style="medium">
        <color rgb="FF0C1F30"/>
      </right>
      <top/>
      <bottom/>
      <diagonal/>
    </border>
    <border>
      <left/>
      <right style="medium">
        <color rgb="FF0C1F30"/>
      </right>
      <top/>
      <bottom style="medium">
        <color rgb="FF0C1F30"/>
      </bottom>
      <diagonal/>
    </border>
    <border>
      <left style="medium">
        <color rgb="FF0C1F30"/>
      </left>
      <right style="medium">
        <color rgb="FF0C1F30"/>
      </right>
      <top/>
      <bottom/>
      <diagonal/>
    </border>
    <border>
      <left style="thin">
        <color indexed="64"/>
      </left>
      <right/>
      <top style="mediumDashed">
        <color rgb="FFC00000"/>
      </top>
      <bottom/>
      <diagonal/>
    </border>
    <border>
      <left/>
      <right/>
      <top style="mediumDashed">
        <color rgb="FFC00000"/>
      </top>
      <bottom/>
      <diagonal/>
    </border>
    <border>
      <left/>
      <right style="medium">
        <color indexed="64"/>
      </right>
      <top style="medium">
        <color indexed="64"/>
      </top>
      <bottom style="medium">
        <color indexed="64"/>
      </bottom>
      <diagonal/>
    </border>
    <border>
      <left style="thin">
        <color indexed="64"/>
      </left>
      <right style="thin">
        <color indexed="64"/>
      </right>
      <top style="mediumDashed">
        <color rgb="FFC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thin">
        <color theme="3" tint="0.39997558519241921"/>
      </top>
      <bottom style="thin">
        <color theme="3" tint="0.39997558519241921"/>
      </bottom>
      <diagonal/>
    </border>
    <border>
      <left style="thin">
        <color theme="1"/>
      </left>
      <right style="thin">
        <color theme="1"/>
      </right>
      <top style="thin">
        <color theme="1"/>
      </top>
      <bottom style="thin">
        <color theme="1"/>
      </bottom>
      <diagonal/>
    </border>
    <border>
      <left/>
      <right style="thin">
        <color theme="1"/>
      </right>
      <top style="thin">
        <color theme="1"/>
      </top>
      <bottom style="thin">
        <color theme="1"/>
      </bottom>
      <diagonal/>
    </border>
    <border>
      <left/>
      <right style="thin">
        <color theme="1"/>
      </right>
      <top/>
      <bottom/>
      <diagonal/>
    </border>
    <border>
      <left/>
      <right/>
      <top/>
      <bottom style="thin">
        <color theme="1"/>
      </bottom>
      <diagonal/>
    </border>
    <border>
      <left/>
      <right style="thin">
        <color theme="1"/>
      </right>
      <top/>
      <bottom style="thin">
        <color theme="1"/>
      </bottom>
      <diagonal/>
    </border>
    <border>
      <left style="thin">
        <color theme="1"/>
      </left>
      <right style="thin">
        <color theme="1"/>
      </right>
      <top/>
      <bottom/>
      <diagonal/>
    </border>
    <border>
      <left style="thin">
        <color theme="1"/>
      </left>
      <right style="thin">
        <color theme="1"/>
      </right>
      <top/>
      <bottom style="thin">
        <color theme="1"/>
      </bottom>
      <diagonal/>
    </border>
    <border>
      <left/>
      <right/>
      <top style="thin">
        <color theme="1"/>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style="thin">
        <color theme="1"/>
      </left>
      <right/>
      <top/>
      <bottom style="thin">
        <color theme="1"/>
      </bottom>
      <diagonal/>
    </border>
    <border>
      <left/>
      <right/>
      <top style="thin">
        <color theme="1"/>
      </top>
      <bottom/>
      <diagonal/>
    </border>
    <border>
      <left style="thin">
        <color theme="1"/>
      </left>
      <right/>
      <top style="thin">
        <color theme="1"/>
      </top>
      <bottom style="thin">
        <color theme="1"/>
      </bottom>
      <diagonal/>
    </border>
  </borders>
  <cellStyleXfs count="4">
    <xf numFmtId="0" fontId="0" fillId="0" borderId="0"/>
    <xf numFmtId="9" fontId="2" fillId="0" borderId="0" applyFont="0" applyFill="0" applyBorder="0" applyAlignment="0" applyProtection="0"/>
    <xf numFmtId="44" fontId="2" fillId="0" borderId="0" applyFont="0" applyFill="0" applyBorder="0" applyAlignment="0" applyProtection="0"/>
    <xf numFmtId="164" fontId="2" fillId="0" borderId="0" applyFont="0" applyFill="0" applyBorder="0" applyAlignment="0" applyProtection="0"/>
  </cellStyleXfs>
  <cellXfs count="310">
    <xf numFmtId="0" fontId="0" fillId="0" borderId="0" xfId="0"/>
    <xf numFmtId="0" fontId="4" fillId="0" borderId="0" xfId="0" applyFont="1"/>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3" fillId="2" borderId="3" xfId="0" applyFont="1" applyFill="1" applyBorder="1" applyAlignment="1">
      <alignment horizontal="center" wrapText="1"/>
    </xf>
    <xf numFmtId="0" fontId="3" fillId="3" borderId="2" xfId="0" applyFont="1" applyFill="1" applyBorder="1" applyAlignment="1">
      <alignment horizontal="center" wrapText="1"/>
    </xf>
    <xf numFmtId="0" fontId="3" fillId="2" borderId="0" xfId="0" applyFont="1" applyFill="1" applyAlignment="1">
      <alignment horizontal="center"/>
    </xf>
    <xf numFmtId="0" fontId="3" fillId="2" borderId="4" xfId="0" applyFont="1" applyFill="1" applyBorder="1" applyAlignment="1">
      <alignment horizontal="center" wrapText="1"/>
    </xf>
    <xf numFmtId="0" fontId="3" fillId="2" borderId="0" xfId="0" applyFont="1" applyFill="1" applyAlignment="1">
      <alignment horizontal="center" wrapText="1"/>
    </xf>
    <xf numFmtId="0" fontId="3" fillId="2" borderId="5" xfId="0" applyFont="1" applyFill="1" applyBorder="1" applyAlignment="1">
      <alignment horizontal="center" wrapText="1"/>
    </xf>
    <xf numFmtId="0" fontId="3" fillId="3" borderId="0" xfId="0" applyFont="1" applyFill="1" applyAlignment="1">
      <alignment horizontal="center" wrapText="1"/>
    </xf>
    <xf numFmtId="0" fontId="5" fillId="0" borderId="0" xfId="0" applyFont="1"/>
    <xf numFmtId="4" fontId="5" fillId="0" borderId="4" xfId="0" applyNumberFormat="1" applyFont="1" applyBorder="1"/>
    <xf numFmtId="4" fontId="5" fillId="0" borderId="0" xfId="0" applyNumberFormat="1" applyFont="1"/>
    <xf numFmtId="4" fontId="5" fillId="0" borderId="5" xfId="0" applyNumberFormat="1" applyFont="1" applyBorder="1"/>
    <xf numFmtId="14" fontId="3" fillId="2" borderId="0" xfId="0" applyNumberFormat="1" applyFont="1" applyFill="1" applyAlignment="1">
      <alignment horizontal="center"/>
    </xf>
    <xf numFmtId="1" fontId="5" fillId="0" borderId="0" xfId="0" applyNumberFormat="1" applyFont="1" applyAlignment="1">
      <alignment horizontal="center"/>
    </xf>
    <xf numFmtId="10" fontId="5" fillId="0" borderId="0" xfId="1" applyNumberFormat="1" applyFont="1" applyFill="1" applyBorder="1" applyAlignment="1">
      <alignment horizontal="center"/>
    </xf>
    <xf numFmtId="165" fontId="5" fillId="0" borderId="0" xfId="0" applyNumberFormat="1" applyFont="1" applyAlignment="1">
      <alignment horizontal="center"/>
    </xf>
    <xf numFmtId="166" fontId="5" fillId="0" borderId="0" xfId="0" applyNumberFormat="1" applyFont="1"/>
    <xf numFmtId="0" fontId="6" fillId="0" borderId="0" xfId="0" applyFont="1"/>
    <xf numFmtId="0" fontId="7" fillId="0" borderId="0" xfId="0" applyFont="1"/>
    <xf numFmtId="0" fontId="3" fillId="2" borderId="0" xfId="0" applyFont="1" applyFill="1" applyAlignment="1">
      <alignment horizontal="center" vertical="center" wrapText="1"/>
    </xf>
    <xf numFmtId="0" fontId="7" fillId="0" borderId="0" xfId="0" applyFont="1" applyAlignment="1">
      <alignment horizontal="center"/>
    </xf>
    <xf numFmtId="166" fontId="7" fillId="0" borderId="0" xfId="0" applyNumberFormat="1" applyFont="1"/>
    <xf numFmtId="0" fontId="7" fillId="0" borderId="6" xfId="0" applyFont="1" applyBorder="1" applyAlignment="1">
      <alignment horizontal="center"/>
    </xf>
    <xf numFmtId="166" fontId="7" fillId="0" borderId="6" xfId="0" applyNumberFormat="1" applyFont="1" applyBorder="1"/>
    <xf numFmtId="37" fontId="7" fillId="0" borderId="0" xfId="0" applyNumberFormat="1" applyFont="1"/>
    <xf numFmtId="0" fontId="7" fillId="0" borderId="7" xfId="0" applyFont="1" applyBorder="1" applyAlignment="1">
      <alignment horizontal="center"/>
    </xf>
    <xf numFmtId="37" fontId="7" fillId="0" borderId="7" xfId="0" applyNumberFormat="1" applyFont="1" applyBorder="1"/>
    <xf numFmtId="167" fontId="7" fillId="0" borderId="0" xfId="0" applyNumberFormat="1" applyFont="1" applyAlignment="1">
      <alignment horizontal="center"/>
    </xf>
    <xf numFmtId="0" fontId="10" fillId="0" borderId="0" xfId="0" applyFont="1"/>
    <xf numFmtId="0" fontId="0" fillId="4" borderId="0" xfId="0" applyFill="1"/>
    <xf numFmtId="0" fontId="0" fillId="5" borderId="0" xfId="0" applyFill="1"/>
    <xf numFmtId="0" fontId="11" fillId="0" borderId="0" xfId="0" applyFont="1"/>
    <xf numFmtId="0" fontId="0" fillId="6" borderId="0" xfId="0" applyFill="1"/>
    <xf numFmtId="1" fontId="0" fillId="4" borderId="0" xfId="0" applyNumberFormat="1" applyFill="1"/>
    <xf numFmtId="10" fontId="0" fillId="6" borderId="4" xfId="1" applyNumberFormat="1" applyFont="1" applyFill="1" applyBorder="1"/>
    <xf numFmtId="10" fontId="0" fillId="6" borderId="0" xfId="1" applyNumberFormat="1" applyFont="1" applyFill="1" applyBorder="1"/>
    <xf numFmtId="10" fontId="0" fillId="6" borderId="5" xfId="1" applyNumberFormat="1" applyFont="1" applyFill="1" applyBorder="1"/>
    <xf numFmtId="10" fontId="0" fillId="6" borderId="9" xfId="1" applyNumberFormat="1" applyFont="1" applyFill="1" applyBorder="1"/>
    <xf numFmtId="10" fontId="0" fillId="6" borderId="10" xfId="1" applyNumberFormat="1" applyFont="1" applyFill="1" applyBorder="1"/>
    <xf numFmtId="10" fontId="0" fillId="6" borderId="11" xfId="1" applyNumberFormat="1" applyFont="1" applyFill="1" applyBorder="1"/>
    <xf numFmtId="1" fontId="0" fillId="4" borderId="10" xfId="0" applyNumberFormat="1" applyFill="1" applyBorder="1"/>
    <xf numFmtId="0" fontId="11" fillId="0" borderId="13" xfId="0" applyFont="1" applyBorder="1"/>
    <xf numFmtId="0" fontId="0" fillId="5" borderId="10" xfId="0" applyFill="1" applyBorder="1"/>
    <xf numFmtId="0" fontId="11" fillId="0" borderId="8" xfId="0" applyFont="1" applyBorder="1"/>
    <xf numFmtId="0" fontId="0" fillId="5" borderId="15" xfId="0" applyFill="1" applyBorder="1"/>
    <xf numFmtId="0" fontId="0" fillId="5" borderId="16" xfId="0" applyFill="1" applyBorder="1"/>
    <xf numFmtId="1" fontId="0" fillId="4" borderId="15" xfId="0" applyNumberFormat="1" applyFill="1" applyBorder="1"/>
    <xf numFmtId="1" fontId="0" fillId="4" borderId="16" xfId="0" applyNumberFormat="1" applyFill="1" applyBorder="1"/>
    <xf numFmtId="0" fontId="0" fillId="4" borderId="15" xfId="0" applyFill="1" applyBorder="1"/>
    <xf numFmtId="0" fontId="0" fillId="4" borderId="16" xfId="0" applyFill="1" applyBorder="1"/>
    <xf numFmtId="0" fontId="0" fillId="5" borderId="5" xfId="0" applyFill="1" applyBorder="1"/>
    <xf numFmtId="0" fontId="11" fillId="0" borderId="14" xfId="0" applyFont="1" applyBorder="1"/>
    <xf numFmtId="0" fontId="0" fillId="5" borderId="11" xfId="0" applyFill="1" applyBorder="1"/>
    <xf numFmtId="0" fontId="11" fillId="0" borderId="12" xfId="0" applyFont="1" applyBorder="1"/>
    <xf numFmtId="44" fontId="0" fillId="4" borderId="5" xfId="2" applyFont="1" applyFill="1" applyBorder="1"/>
    <xf numFmtId="44" fontId="0" fillId="4" borderId="11" xfId="2" applyFont="1" applyFill="1" applyBorder="1"/>
    <xf numFmtId="0" fontId="0" fillId="6" borderId="15" xfId="0" applyFill="1" applyBorder="1"/>
    <xf numFmtId="0" fontId="0" fillId="6" borderId="16" xfId="0" applyFill="1" applyBorder="1"/>
    <xf numFmtId="1" fontId="0" fillId="6" borderId="15" xfId="0" applyNumberFormat="1" applyFill="1" applyBorder="1"/>
    <xf numFmtId="1" fontId="0" fillId="6" borderId="16" xfId="0" applyNumberFormat="1" applyFill="1" applyBorder="1"/>
    <xf numFmtId="1" fontId="0" fillId="0" borderId="0" xfId="0" applyNumberFormat="1"/>
    <xf numFmtId="0" fontId="0" fillId="6" borderId="5" xfId="0" applyFill="1" applyBorder="1"/>
    <xf numFmtId="0" fontId="0" fillId="6" borderId="10" xfId="0" applyFill="1" applyBorder="1"/>
    <xf numFmtId="0" fontId="0" fillId="6" borderId="11" xfId="0" applyFill="1" applyBorder="1"/>
    <xf numFmtId="0" fontId="0" fillId="6" borderId="17" xfId="0" applyFill="1" applyBorder="1"/>
    <xf numFmtId="1" fontId="0" fillId="5" borderId="15" xfId="0" applyNumberFormat="1" applyFill="1" applyBorder="1"/>
    <xf numFmtId="1" fontId="0" fillId="5" borderId="16" xfId="0" applyNumberFormat="1" applyFill="1" applyBorder="1"/>
    <xf numFmtId="0" fontId="11" fillId="5" borderId="8" xfId="0" applyFont="1" applyFill="1" applyBorder="1"/>
    <xf numFmtId="9" fontId="0" fillId="0" borderId="0" xfId="0" applyNumberFormat="1"/>
    <xf numFmtId="1" fontId="0" fillId="5" borderId="10" xfId="0" applyNumberFormat="1" applyFill="1" applyBorder="1"/>
    <xf numFmtId="1" fontId="0" fillId="5" borderId="11" xfId="0" applyNumberFormat="1" applyFill="1" applyBorder="1"/>
    <xf numFmtId="168" fontId="0" fillId="0" borderId="0" xfId="0" applyNumberFormat="1"/>
    <xf numFmtId="169" fontId="0" fillId="0" borderId="0" xfId="2" applyNumberFormat="1" applyFont="1"/>
    <xf numFmtId="9" fontId="0" fillId="0" borderId="0" xfId="1" applyFont="1"/>
    <xf numFmtId="1" fontId="0" fillId="0" borderId="0" xfId="1" applyNumberFormat="1" applyFont="1"/>
    <xf numFmtId="169" fontId="0" fillId="4" borderId="5" xfId="2" applyNumberFormat="1" applyFont="1" applyFill="1" applyBorder="1" applyAlignment="1">
      <alignment horizontal="left" indent="2"/>
    </xf>
    <xf numFmtId="169" fontId="0" fillId="4" borderId="11" xfId="2" applyNumberFormat="1" applyFont="1" applyFill="1" applyBorder="1" applyAlignment="1">
      <alignment horizontal="left" indent="2"/>
    </xf>
    <xf numFmtId="169" fontId="0" fillId="0" borderId="0" xfId="0" applyNumberFormat="1"/>
    <xf numFmtId="169" fontId="0" fillId="7" borderId="0" xfId="0" applyNumberFormat="1" applyFill="1"/>
    <xf numFmtId="0" fontId="0" fillId="0" borderId="10" xfId="0" applyBorder="1"/>
    <xf numFmtId="169" fontId="0" fillId="0" borderId="10" xfId="2" applyNumberFormat="1" applyFont="1" applyBorder="1"/>
    <xf numFmtId="1" fontId="0" fillId="0" borderId="10" xfId="1" applyNumberFormat="1" applyFont="1" applyBorder="1"/>
    <xf numFmtId="9" fontId="0" fillId="0" borderId="10" xfId="1" applyFont="1" applyBorder="1"/>
    <xf numFmtId="1" fontId="0" fillId="9" borderId="0" xfId="1" applyNumberFormat="1" applyFont="1" applyFill="1"/>
    <xf numFmtId="1" fontId="0" fillId="4" borderId="0" xfId="1" applyNumberFormat="1" applyFont="1" applyFill="1"/>
    <xf numFmtId="169" fontId="0" fillId="4" borderId="0" xfId="2" applyNumberFormat="1" applyFont="1" applyFill="1"/>
    <xf numFmtId="0" fontId="0" fillId="0" borderId="21" xfId="0" applyBorder="1"/>
    <xf numFmtId="1" fontId="0" fillId="0" borderId="17" xfId="2" applyNumberFormat="1" applyFont="1" applyBorder="1"/>
    <xf numFmtId="0" fontId="0" fillId="0" borderId="4" xfId="0" applyBorder="1"/>
    <xf numFmtId="169" fontId="0" fillId="0" borderId="5" xfId="2" applyNumberFormat="1" applyFont="1" applyBorder="1"/>
    <xf numFmtId="0" fontId="0" fillId="0" borderId="9" xfId="0" applyBorder="1"/>
    <xf numFmtId="169" fontId="0" fillId="0" borderId="11" xfId="2" applyNumberFormat="1" applyFont="1" applyBorder="1"/>
    <xf numFmtId="169" fontId="0" fillId="0" borderId="18" xfId="2" applyNumberFormat="1" applyFont="1" applyBorder="1"/>
    <xf numFmtId="0" fontId="0" fillId="0" borderId="18" xfId="0" applyBorder="1"/>
    <xf numFmtId="0" fontId="0" fillId="0" borderId="17" xfId="0" applyBorder="1"/>
    <xf numFmtId="169" fontId="0" fillId="0" borderId="0" xfId="2" applyNumberFormat="1" applyFont="1" applyBorder="1"/>
    <xf numFmtId="0" fontId="0" fillId="0" borderId="5" xfId="0" applyBorder="1"/>
    <xf numFmtId="9" fontId="0" fillId="0" borderId="0" xfId="1" applyFont="1" applyBorder="1"/>
    <xf numFmtId="9" fontId="0" fillId="0" borderId="5" xfId="1" applyFont="1" applyBorder="1"/>
    <xf numFmtId="9" fontId="0" fillId="0" borderId="11" xfId="1" applyFont="1" applyBorder="1"/>
    <xf numFmtId="169" fontId="11" fillId="0" borderId="0" xfId="2" applyNumberFormat="1" applyFont="1"/>
    <xf numFmtId="1" fontId="11" fillId="0" borderId="0" xfId="1" applyNumberFormat="1" applyFont="1"/>
    <xf numFmtId="9" fontId="0" fillId="5" borderId="0" xfId="1" applyFont="1" applyFill="1"/>
    <xf numFmtId="1" fontId="0" fillId="5" borderId="0" xfId="2" applyNumberFormat="1" applyFont="1" applyFill="1"/>
    <xf numFmtId="0" fontId="12" fillId="0" borderId="0" xfId="0" applyFont="1"/>
    <xf numFmtId="0" fontId="13" fillId="5" borderId="8" xfId="0" applyFont="1" applyFill="1" applyBorder="1"/>
    <xf numFmtId="0" fontId="13" fillId="0" borderId="8" xfId="0" applyFont="1" applyBorder="1"/>
    <xf numFmtId="0" fontId="13" fillId="0" borderId="13" xfId="0" applyFont="1" applyBorder="1"/>
    <xf numFmtId="0" fontId="13" fillId="0" borderId="14" xfId="0" applyFont="1" applyBorder="1"/>
    <xf numFmtId="0" fontId="12" fillId="5" borderId="15" xfId="0" applyFont="1" applyFill="1" applyBorder="1"/>
    <xf numFmtId="0" fontId="12" fillId="5" borderId="0" xfId="0" applyFont="1" applyFill="1"/>
    <xf numFmtId="0" fontId="12" fillId="5" borderId="5" xfId="0" applyFont="1" applyFill="1" applyBorder="1"/>
    <xf numFmtId="44" fontId="12" fillId="4" borderId="5" xfId="2" applyFont="1" applyFill="1" applyBorder="1"/>
    <xf numFmtId="0" fontId="12" fillId="5" borderId="16" xfId="0" applyFont="1" applyFill="1" applyBorder="1"/>
    <xf numFmtId="0" fontId="12" fillId="5" borderId="10" xfId="0" applyFont="1" applyFill="1" applyBorder="1"/>
    <xf numFmtId="0" fontId="12" fillId="5" borderId="11" xfId="0" applyFont="1" applyFill="1" applyBorder="1"/>
    <xf numFmtId="44" fontId="12" fillId="4" borderId="11" xfId="2" applyFont="1" applyFill="1" applyBorder="1"/>
    <xf numFmtId="0" fontId="12" fillId="6" borderId="15" xfId="0" applyFont="1" applyFill="1" applyBorder="1"/>
    <xf numFmtId="0" fontId="12" fillId="6" borderId="0" xfId="0" applyFont="1" applyFill="1"/>
    <xf numFmtId="0" fontId="12" fillId="6" borderId="17" xfId="0" applyFont="1" applyFill="1" applyBorder="1"/>
    <xf numFmtId="0" fontId="12" fillId="6" borderId="5" xfId="0" applyFont="1" applyFill="1" applyBorder="1"/>
    <xf numFmtId="0" fontId="12" fillId="6" borderId="16" xfId="0" applyFont="1" applyFill="1" applyBorder="1"/>
    <xf numFmtId="0" fontId="12" fillId="6" borderId="10" xfId="0" applyFont="1" applyFill="1" applyBorder="1"/>
    <xf numFmtId="0" fontId="12" fillId="6" borderId="11" xfId="0" applyFont="1" applyFill="1" applyBorder="1"/>
    <xf numFmtId="0" fontId="12" fillId="6" borderId="19" xfId="0" applyFont="1" applyFill="1" applyBorder="1"/>
    <xf numFmtId="0" fontId="12" fillId="6" borderId="18" xfId="0" applyFont="1" applyFill="1" applyBorder="1"/>
    <xf numFmtId="44" fontId="12" fillId="4" borderId="17" xfId="2" applyFont="1" applyFill="1" applyBorder="1"/>
    <xf numFmtId="0" fontId="0" fillId="10" borderId="0" xfId="0" applyFill="1"/>
    <xf numFmtId="0" fontId="11" fillId="5" borderId="0" xfId="0" applyFont="1" applyFill="1"/>
    <xf numFmtId="14" fontId="0" fillId="0" borderId="0" xfId="0" applyNumberFormat="1"/>
    <xf numFmtId="14" fontId="11" fillId="4" borderId="0" xfId="0" applyNumberFormat="1" applyFont="1" applyFill="1"/>
    <xf numFmtId="1" fontId="0" fillId="0" borderId="18" xfId="1" applyNumberFormat="1" applyFont="1" applyBorder="1"/>
    <xf numFmtId="1" fontId="0" fillId="0" borderId="17" xfId="1" applyNumberFormat="1" applyFont="1" applyBorder="1"/>
    <xf numFmtId="2" fontId="0" fillId="0" borderId="5" xfId="1" applyNumberFormat="1" applyFont="1" applyBorder="1"/>
    <xf numFmtId="2" fontId="0" fillId="0" borderId="11" xfId="1" applyNumberFormat="1" applyFont="1" applyBorder="1"/>
    <xf numFmtId="169" fontId="0" fillId="0" borderId="17" xfId="2" applyNumberFormat="1" applyFont="1" applyBorder="1"/>
    <xf numFmtId="9" fontId="0" fillId="0" borderId="5" xfId="0" applyNumberFormat="1" applyBorder="1"/>
    <xf numFmtId="0" fontId="0" fillId="0" borderId="11" xfId="0" applyBorder="1"/>
    <xf numFmtId="1" fontId="0" fillId="0" borderId="0" xfId="2" applyNumberFormat="1" applyFont="1" applyBorder="1"/>
    <xf numFmtId="169" fontId="0" fillId="5" borderId="0" xfId="2" applyNumberFormat="1" applyFont="1" applyFill="1" applyBorder="1"/>
    <xf numFmtId="169" fontId="0" fillId="9" borderId="0" xfId="2" applyNumberFormat="1" applyFont="1" applyFill="1" applyBorder="1"/>
    <xf numFmtId="169" fontId="0" fillId="4" borderId="0" xfId="0" applyNumberFormat="1" applyFill="1"/>
    <xf numFmtId="0" fontId="14" fillId="11" borderId="23" xfId="0" applyFont="1" applyFill="1" applyBorder="1" applyAlignment="1">
      <alignment horizontal="left" vertical="center" wrapText="1"/>
    </xf>
    <xf numFmtId="0" fontId="14" fillId="11" borderId="22" xfId="0" applyFont="1" applyFill="1" applyBorder="1" applyAlignment="1">
      <alignment horizontal="left" vertical="center" wrapText="1"/>
    </xf>
    <xf numFmtId="0" fontId="14" fillId="11" borderId="23" xfId="0" applyFont="1" applyFill="1" applyBorder="1" applyAlignment="1">
      <alignment horizontal="right" vertical="center"/>
    </xf>
    <xf numFmtId="0" fontId="15" fillId="0" borderId="23" xfId="0" applyFont="1" applyBorder="1" applyAlignment="1">
      <alignment vertical="center"/>
    </xf>
    <xf numFmtId="0" fontId="14" fillId="11" borderId="24" xfId="0" applyFont="1" applyFill="1" applyBorder="1" applyAlignment="1">
      <alignment vertical="center" wrapText="1"/>
    </xf>
    <xf numFmtId="168" fontId="0" fillId="5" borderId="0" xfId="0" applyNumberFormat="1" applyFill="1"/>
    <xf numFmtId="170" fontId="0" fillId="0" borderId="0" xfId="0" applyNumberFormat="1"/>
    <xf numFmtId="170" fontId="0" fillId="8" borderId="0" xfId="0" applyNumberFormat="1" applyFill="1"/>
    <xf numFmtId="170" fontId="0" fillId="8" borderId="10" xfId="0" applyNumberFormat="1" applyFill="1" applyBorder="1"/>
    <xf numFmtId="171" fontId="0" fillId="0" borderId="0" xfId="3" applyNumberFormat="1" applyFont="1"/>
    <xf numFmtId="171" fontId="0" fillId="4" borderId="5" xfId="0" applyNumberFormat="1" applyFill="1" applyBorder="1"/>
    <xf numFmtId="171" fontId="0" fillId="4" borderId="11" xfId="0" applyNumberFormat="1" applyFill="1" applyBorder="1"/>
    <xf numFmtId="171" fontId="0" fillId="4" borderId="0" xfId="0" applyNumberFormat="1" applyFill="1"/>
    <xf numFmtId="171" fontId="0" fillId="4" borderId="10" xfId="0" applyNumberFormat="1" applyFill="1" applyBorder="1"/>
    <xf numFmtId="171" fontId="0" fillId="4" borderId="16" xfId="0" applyNumberFormat="1" applyFill="1" applyBorder="1"/>
    <xf numFmtId="9" fontId="0" fillId="4" borderId="11" xfId="0" applyNumberFormat="1" applyFill="1" applyBorder="1"/>
    <xf numFmtId="171" fontId="0" fillId="4" borderId="15" xfId="0" applyNumberFormat="1" applyFill="1" applyBorder="1"/>
    <xf numFmtId="171" fontId="0" fillId="0" borderId="0" xfId="0" applyNumberFormat="1"/>
    <xf numFmtId="164" fontId="0" fillId="0" borderId="0" xfId="0" applyNumberFormat="1"/>
    <xf numFmtId="0" fontId="0" fillId="12" borderId="4" xfId="0" applyFill="1" applyBorder="1"/>
    <xf numFmtId="0" fontId="0" fillId="4" borderId="4" xfId="0" applyFill="1" applyBorder="1"/>
    <xf numFmtId="0" fontId="0" fillId="4" borderId="9" xfId="0" applyFill="1" applyBorder="1"/>
    <xf numFmtId="0" fontId="0" fillId="12" borderId="21" xfId="0" applyFill="1" applyBorder="1"/>
    <xf numFmtId="172" fontId="0" fillId="0" borderId="0" xfId="0" applyNumberFormat="1"/>
    <xf numFmtId="173" fontId="0" fillId="0" borderId="0" xfId="3" applyNumberFormat="1" applyFont="1" applyFill="1" applyBorder="1"/>
    <xf numFmtId="0" fontId="0" fillId="4" borderId="25" xfId="0" applyFill="1" applyBorder="1"/>
    <xf numFmtId="172" fontId="11" fillId="0" borderId="12" xfId="0" applyNumberFormat="1" applyFont="1" applyBorder="1"/>
    <xf numFmtId="172" fontId="0" fillId="4" borderId="28" xfId="0" applyNumberFormat="1" applyFill="1" applyBorder="1"/>
    <xf numFmtId="173" fontId="0" fillId="4" borderId="28" xfId="3" applyNumberFormat="1" applyFont="1" applyFill="1" applyBorder="1"/>
    <xf numFmtId="172" fontId="0" fillId="4" borderId="15" xfId="0" applyNumberFormat="1" applyFill="1" applyBorder="1"/>
    <xf numFmtId="173" fontId="0" fillId="4" borderId="15" xfId="3" applyNumberFormat="1" applyFont="1" applyFill="1" applyBorder="1"/>
    <xf numFmtId="172" fontId="0" fillId="4" borderId="16" xfId="0" applyNumberFormat="1" applyFill="1" applyBorder="1"/>
    <xf numFmtId="173" fontId="0" fillId="4" borderId="16" xfId="3" applyNumberFormat="1" applyFont="1" applyFill="1" applyBorder="1"/>
    <xf numFmtId="0" fontId="11" fillId="13" borderId="12" xfId="0" applyFont="1" applyFill="1" applyBorder="1"/>
    <xf numFmtId="0" fontId="11" fillId="13" borderId="13" xfId="0" applyFont="1" applyFill="1" applyBorder="1"/>
    <xf numFmtId="172" fontId="0" fillId="12" borderId="19" xfId="0" applyNumberFormat="1" applyFill="1" applyBorder="1"/>
    <xf numFmtId="173" fontId="0" fillId="12" borderId="15" xfId="3" applyNumberFormat="1" applyFont="1" applyFill="1" applyBorder="1"/>
    <xf numFmtId="172" fontId="0" fillId="12" borderId="15" xfId="0" applyNumberFormat="1" applyFill="1" applyBorder="1"/>
    <xf numFmtId="0" fontId="0" fillId="0" borderId="29" xfId="0" applyBorder="1"/>
    <xf numFmtId="0" fontId="0" fillId="0" borderId="30" xfId="0" applyBorder="1"/>
    <xf numFmtId="0" fontId="0" fillId="0" borderId="31" xfId="0" applyBorder="1"/>
    <xf numFmtId="10" fontId="0" fillId="0" borderId="0" xfId="0" applyNumberFormat="1"/>
    <xf numFmtId="9" fontId="16" fillId="0" borderId="33" xfId="0" applyNumberFormat="1" applyFont="1" applyBorder="1"/>
    <xf numFmtId="9" fontId="16" fillId="0" borderId="35" xfId="0" applyNumberFormat="1" applyFont="1" applyBorder="1"/>
    <xf numFmtId="9" fontId="16" fillId="0" borderId="0" xfId="0" applyNumberFormat="1" applyFont="1"/>
    <xf numFmtId="9" fontId="16" fillId="0" borderId="36" xfId="0" applyNumberFormat="1" applyFont="1" applyBorder="1"/>
    <xf numFmtId="172" fontId="11" fillId="0" borderId="38" xfId="0" applyNumberFormat="1" applyFont="1" applyBorder="1"/>
    <xf numFmtId="0" fontId="11" fillId="0" borderId="27" xfId="0" applyFont="1" applyBorder="1"/>
    <xf numFmtId="0" fontId="11" fillId="0" borderId="32" xfId="0" applyFont="1" applyBorder="1"/>
    <xf numFmtId="0" fontId="0" fillId="0" borderId="0" xfId="2" applyNumberFormat="1" applyFont="1"/>
    <xf numFmtId="0" fontId="0" fillId="0" borderId="0" xfId="1" applyNumberFormat="1" applyFont="1"/>
    <xf numFmtId="1" fontId="0" fillId="0" borderId="0" xfId="1" applyNumberFormat="1" applyFont="1" applyFill="1" applyBorder="1"/>
    <xf numFmtId="10" fontId="0" fillId="0" borderId="0" xfId="2" applyNumberFormat="1" applyFont="1"/>
    <xf numFmtId="164" fontId="11" fillId="0" borderId="39" xfId="0" applyNumberFormat="1" applyFont="1" applyBorder="1" applyAlignment="1">
      <alignment wrapText="1"/>
    </xf>
    <xf numFmtId="174" fontId="0" fillId="0" borderId="0" xfId="1" applyNumberFormat="1" applyFont="1"/>
    <xf numFmtId="10" fontId="11" fillId="0" borderId="0" xfId="0" applyNumberFormat="1" applyFont="1"/>
    <xf numFmtId="175" fontId="0" fillId="0" borderId="0" xfId="2" applyNumberFormat="1" applyFont="1"/>
    <xf numFmtId="175" fontId="17" fillId="0" borderId="0" xfId="1" applyNumberFormat="1" applyFont="1"/>
    <xf numFmtId="175" fontId="0" fillId="4" borderId="0" xfId="2" applyNumberFormat="1" applyFont="1" applyFill="1"/>
    <xf numFmtId="175" fontId="0" fillId="10" borderId="0" xfId="2" applyNumberFormat="1" applyFont="1" applyFill="1"/>
    <xf numFmtId="2" fontId="0" fillId="0" borderId="0" xfId="2" applyNumberFormat="1" applyFont="1"/>
    <xf numFmtId="175" fontId="0" fillId="0" borderId="0" xfId="1" applyNumberFormat="1" applyFont="1"/>
    <xf numFmtId="10" fontId="0" fillId="0" borderId="0" xfId="1" applyNumberFormat="1" applyFont="1"/>
    <xf numFmtId="175" fontId="0" fillId="9" borderId="5" xfId="3" applyNumberFormat="1" applyFont="1" applyFill="1" applyBorder="1"/>
    <xf numFmtId="175" fontId="0" fillId="9" borderId="11" xfId="3" applyNumberFormat="1" applyFont="1" applyFill="1" applyBorder="1"/>
    <xf numFmtId="175" fontId="0" fillId="4" borderId="5" xfId="0" applyNumberFormat="1" applyFill="1" applyBorder="1"/>
    <xf numFmtId="175" fontId="0" fillId="4" borderId="11" xfId="0" applyNumberFormat="1" applyFill="1" applyBorder="1"/>
    <xf numFmtId="175" fontId="0" fillId="12" borderId="18" xfId="0" applyNumberFormat="1" applyFill="1" applyBorder="1"/>
    <xf numFmtId="175" fontId="0" fillId="12" borderId="0" xfId="0" applyNumberFormat="1" applyFill="1"/>
    <xf numFmtId="175" fontId="0" fillId="4" borderId="26" xfId="0" applyNumberFormat="1" applyFill="1" applyBorder="1"/>
    <xf numFmtId="175" fontId="0" fillId="4" borderId="0" xfId="0" applyNumberFormat="1" applyFill="1"/>
    <xf numFmtId="175" fontId="0" fillId="4" borderId="10" xfId="0" applyNumberFormat="1" applyFill="1" applyBorder="1"/>
    <xf numFmtId="175" fontId="0" fillId="12" borderId="15" xfId="0" applyNumberFormat="1" applyFill="1" applyBorder="1"/>
    <xf numFmtId="175" fontId="0" fillId="4" borderId="28" xfId="0" applyNumberFormat="1" applyFill="1" applyBorder="1"/>
    <xf numFmtId="175" fontId="0" fillId="4" borderId="15" xfId="0" applyNumberFormat="1" applyFill="1" applyBorder="1"/>
    <xf numFmtId="175" fontId="0" fillId="4" borderId="16" xfId="0" applyNumberFormat="1" applyFill="1" applyBorder="1"/>
    <xf numFmtId="175" fontId="0" fillId="0" borderId="32" xfId="0" applyNumberFormat="1" applyBorder="1"/>
    <xf numFmtId="175" fontId="0" fillId="0" borderId="33" xfId="0" applyNumberFormat="1" applyBorder="1"/>
    <xf numFmtId="175" fontId="0" fillId="0" borderId="35" xfId="0" applyNumberFormat="1" applyBorder="1"/>
    <xf numFmtId="175" fontId="0" fillId="0" borderId="34" xfId="0" applyNumberFormat="1" applyBorder="1"/>
    <xf numFmtId="175" fontId="0" fillId="0" borderId="37" xfId="0" applyNumberFormat="1" applyBorder="1"/>
    <xf numFmtId="44" fontId="0" fillId="9" borderId="0" xfId="2" applyFont="1" applyFill="1"/>
    <xf numFmtId="44" fontId="0" fillId="0" borderId="0" xfId="0" applyNumberFormat="1"/>
    <xf numFmtId="169" fontId="0" fillId="0" borderId="17" xfId="0" applyNumberFormat="1" applyBorder="1"/>
    <xf numFmtId="169" fontId="0" fillId="0" borderId="5" xfId="0" applyNumberFormat="1" applyBorder="1"/>
    <xf numFmtId="176" fontId="0" fillId="0" borderId="5" xfId="0" applyNumberFormat="1" applyBorder="1"/>
    <xf numFmtId="176" fontId="0" fillId="0" borderId="0" xfId="0" applyNumberFormat="1"/>
    <xf numFmtId="177" fontId="0" fillId="0" borderId="0" xfId="2" applyNumberFormat="1" applyFont="1"/>
    <xf numFmtId="175" fontId="0" fillId="0" borderId="0" xfId="0" applyNumberFormat="1"/>
    <xf numFmtId="178" fontId="0" fillId="0" borderId="0" xfId="2" applyNumberFormat="1" applyFont="1"/>
    <xf numFmtId="0" fontId="19" fillId="0" borderId="23" xfId="0" applyFont="1" applyBorder="1" applyAlignment="1">
      <alignment vertical="center"/>
    </xf>
    <xf numFmtId="0" fontId="20" fillId="11" borderId="24" xfId="0" applyFont="1" applyFill="1" applyBorder="1" applyAlignment="1">
      <alignment vertical="center" wrapText="1"/>
    </xf>
    <xf numFmtId="0" fontId="20" fillId="11" borderId="23" xfId="0" applyFont="1" applyFill="1" applyBorder="1" applyAlignment="1">
      <alignment horizontal="left" vertical="center" wrapText="1"/>
    </xf>
    <xf numFmtId="0" fontId="0" fillId="0" borderId="0" xfId="0" applyBorder="1"/>
    <xf numFmtId="176" fontId="0" fillId="0" borderId="0" xfId="0" applyNumberFormat="1" applyBorder="1"/>
    <xf numFmtId="176" fontId="0" fillId="0" borderId="40" xfId="0" applyNumberFormat="1" applyFont="1" applyBorder="1"/>
    <xf numFmtId="0" fontId="0" fillId="0" borderId="40" xfId="0" applyFont="1" applyBorder="1"/>
    <xf numFmtId="44" fontId="0" fillId="0" borderId="0" xfId="0" applyNumberFormat="1" applyBorder="1"/>
    <xf numFmtId="0" fontId="21" fillId="2" borderId="0" xfId="0" applyFont="1" applyFill="1" applyBorder="1" applyAlignment="1">
      <alignment horizontal="left"/>
    </xf>
    <xf numFmtId="169" fontId="21" fillId="2" borderId="0" xfId="2" applyNumberFormat="1" applyFont="1" applyFill="1" applyBorder="1" applyAlignment="1">
      <alignment horizontal="left"/>
    </xf>
    <xf numFmtId="169" fontId="0" fillId="0" borderId="40" xfId="2" applyNumberFormat="1" applyFont="1" applyBorder="1"/>
    <xf numFmtId="0" fontId="3" fillId="14" borderId="0" xfId="0" applyFont="1" applyFill="1" applyBorder="1"/>
    <xf numFmtId="0" fontId="3" fillId="14" borderId="0" xfId="0" applyFont="1" applyFill="1" applyBorder="1" applyAlignment="1">
      <alignment horizontal="center" vertical="center"/>
    </xf>
    <xf numFmtId="0" fontId="18" fillId="0" borderId="0" xfId="0" applyFont="1" applyBorder="1" applyAlignment="1">
      <alignment horizontal="center"/>
    </xf>
    <xf numFmtId="0" fontId="1" fillId="0" borderId="40" xfId="0" applyFont="1" applyBorder="1"/>
    <xf numFmtId="176" fontId="1" fillId="0" borderId="40" xfId="0" applyNumberFormat="1" applyFont="1" applyBorder="1"/>
    <xf numFmtId="0" fontId="1" fillId="0" borderId="0" xfId="0" applyFont="1" applyBorder="1"/>
    <xf numFmtId="2" fontId="1" fillId="0" borderId="40" xfId="0" applyNumberFormat="1" applyFont="1" applyBorder="1"/>
    <xf numFmtId="175" fontId="17" fillId="0" borderId="0" xfId="1" applyNumberFormat="1" applyFont="1" applyBorder="1"/>
    <xf numFmtId="175" fontId="17" fillId="0" borderId="43" xfId="1" applyNumberFormat="1" applyFont="1" applyBorder="1"/>
    <xf numFmtId="175" fontId="17" fillId="0" borderId="44" xfId="1" applyNumberFormat="1" applyFont="1" applyBorder="1"/>
    <xf numFmtId="175" fontId="17" fillId="0" borderId="45" xfId="1" applyNumberFormat="1" applyFont="1" applyBorder="1"/>
    <xf numFmtId="0" fontId="11" fillId="0" borderId="0" xfId="0" applyFont="1" applyFill="1" applyBorder="1"/>
    <xf numFmtId="175" fontId="11" fillId="0" borderId="0" xfId="1" applyNumberFormat="1" applyFont="1" applyFill="1" applyBorder="1"/>
    <xf numFmtId="9" fontId="11" fillId="0" borderId="46" xfId="1" applyFont="1" applyBorder="1"/>
    <xf numFmtId="9" fontId="11" fillId="0" borderId="47" xfId="1" applyFont="1" applyBorder="1"/>
    <xf numFmtId="0" fontId="11" fillId="0" borderId="41" xfId="0" applyFont="1" applyBorder="1"/>
    <xf numFmtId="9" fontId="11" fillId="0" borderId="48" xfId="0" applyNumberFormat="1" applyFont="1" applyBorder="1"/>
    <xf numFmtId="9" fontId="11" fillId="0" borderId="42" xfId="0" applyNumberFormat="1" applyFont="1" applyBorder="1"/>
    <xf numFmtId="0" fontId="11" fillId="5" borderId="41" xfId="0" applyFont="1" applyFill="1" applyBorder="1"/>
    <xf numFmtId="0" fontId="0" fillId="5" borderId="49" xfId="0" applyFill="1" applyBorder="1"/>
    <xf numFmtId="169" fontId="0" fillId="5" borderId="50" xfId="2" applyNumberFormat="1" applyFont="1" applyFill="1" applyBorder="1"/>
    <xf numFmtId="0" fontId="0" fillId="5" borderId="51" xfId="0" applyFill="1" applyBorder="1"/>
    <xf numFmtId="169" fontId="0" fillId="5" borderId="43" xfId="2" applyNumberFormat="1" applyFont="1" applyFill="1" applyBorder="1"/>
    <xf numFmtId="0" fontId="0" fillId="5" borderId="52" xfId="0" applyFill="1" applyBorder="1"/>
    <xf numFmtId="9" fontId="0" fillId="5" borderId="45" xfId="1" applyFont="1" applyFill="1" applyBorder="1"/>
    <xf numFmtId="0" fontId="22" fillId="0" borderId="0" xfId="0" applyFont="1"/>
    <xf numFmtId="0" fontId="11" fillId="0" borderId="49" xfId="0" applyFont="1" applyBorder="1"/>
    <xf numFmtId="0" fontId="11" fillId="0" borderId="53" xfId="0" applyFont="1" applyBorder="1"/>
    <xf numFmtId="0" fontId="11" fillId="0" borderId="50" xfId="0" applyFont="1" applyBorder="1"/>
    <xf numFmtId="0" fontId="0" fillId="0" borderId="51" xfId="0" applyBorder="1"/>
    <xf numFmtId="0" fontId="0" fillId="0" borderId="52" xfId="0" applyBorder="1"/>
    <xf numFmtId="0" fontId="0" fillId="0" borderId="45" xfId="0" applyBorder="1" applyAlignment="1">
      <alignment wrapText="1"/>
    </xf>
    <xf numFmtId="2" fontId="0" fillId="0" borderId="43" xfId="0" applyNumberFormat="1" applyBorder="1"/>
    <xf numFmtId="0" fontId="0" fillId="0" borderId="43" xfId="0" applyBorder="1"/>
    <xf numFmtId="167" fontId="0" fillId="0" borderId="0" xfId="0" applyNumberFormat="1" applyBorder="1"/>
    <xf numFmtId="167" fontId="0" fillId="0" borderId="44" xfId="0" applyNumberFormat="1" applyBorder="1"/>
    <xf numFmtId="0" fontId="0" fillId="0" borderId="45" xfId="0" applyBorder="1"/>
    <xf numFmtId="0" fontId="0" fillId="0" borderId="50" xfId="0" applyBorder="1" applyAlignment="1">
      <alignment wrapText="1"/>
    </xf>
    <xf numFmtId="0" fontId="0" fillId="0" borderId="49" xfId="0" applyBorder="1" applyAlignment="1">
      <alignment horizontal="center" vertical="center"/>
    </xf>
    <xf numFmtId="0" fontId="0" fillId="0" borderId="52" xfId="0" applyBorder="1" applyAlignment="1">
      <alignment horizontal="center" vertical="center"/>
    </xf>
    <xf numFmtId="2" fontId="0" fillId="0" borderId="53" xfId="0" applyNumberFormat="1" applyBorder="1" applyAlignment="1">
      <alignment horizontal="center" vertical="center"/>
    </xf>
    <xf numFmtId="2" fontId="0" fillId="0" borderId="44" xfId="1" applyNumberFormat="1" applyFont="1" applyBorder="1" applyAlignment="1">
      <alignment horizontal="center" vertical="center"/>
    </xf>
    <xf numFmtId="0" fontId="0" fillId="0" borderId="54" xfId="0" applyBorder="1" applyAlignment="1">
      <alignment horizontal="center" vertical="center"/>
    </xf>
    <xf numFmtId="2" fontId="0" fillId="0" borderId="48" xfId="0" applyNumberFormat="1" applyBorder="1" applyAlignment="1">
      <alignment horizontal="center" vertical="center"/>
    </xf>
    <xf numFmtId="0" fontId="0" fillId="0" borderId="42" xfId="0" applyBorder="1" applyAlignment="1">
      <alignment wrapText="1"/>
    </xf>
    <xf numFmtId="1" fontId="11" fillId="0" borderId="0" xfId="1" applyNumberFormat="1" applyFont="1" applyBorder="1" applyAlignment="1">
      <alignment horizontal="center"/>
    </xf>
    <xf numFmtId="0" fontId="11" fillId="0" borderId="0" xfId="0" applyFont="1" applyBorder="1" applyAlignment="1">
      <alignment horizontal="center" vertical="center" wrapText="1"/>
    </xf>
    <xf numFmtId="0" fontId="3" fillId="14" borderId="0" xfId="0" applyFont="1" applyFill="1" applyBorder="1" applyAlignment="1">
      <alignment horizontal="center"/>
    </xf>
    <xf numFmtId="0" fontId="11" fillId="0" borderId="8" xfId="0" applyFont="1" applyFill="1" applyBorder="1"/>
    <xf numFmtId="0" fontId="0" fillId="0" borderId="15" xfId="0" applyFill="1" applyBorder="1"/>
    <xf numFmtId="167" fontId="0" fillId="0" borderId="15" xfId="0" applyNumberFormat="1" applyFill="1" applyBorder="1"/>
    <xf numFmtId="0" fontId="0" fillId="0" borderId="20" xfId="0" applyFill="1" applyBorder="1"/>
    <xf numFmtId="167" fontId="0" fillId="0" borderId="20" xfId="0" applyNumberFormat="1" applyFill="1" applyBorder="1"/>
    <xf numFmtId="1" fontId="0" fillId="0" borderId="20" xfId="0" applyNumberFormat="1" applyFill="1" applyBorder="1"/>
    <xf numFmtId="1" fontId="0" fillId="0" borderId="15" xfId="0" applyNumberFormat="1" applyFill="1" applyBorder="1"/>
    <xf numFmtId="0" fontId="0" fillId="0" borderId="16" xfId="0" applyFill="1" applyBorder="1"/>
    <xf numFmtId="167" fontId="0" fillId="0" borderId="16" xfId="0" applyNumberFormat="1" applyFill="1" applyBorder="1"/>
    <xf numFmtId="1" fontId="0" fillId="0" borderId="16" xfId="0" applyNumberFormat="1" applyFill="1" applyBorder="1"/>
    <xf numFmtId="0" fontId="0" fillId="0" borderId="0" xfId="0" applyFill="1"/>
    <xf numFmtId="0" fontId="11" fillId="0" borderId="0" xfId="0" applyFont="1" applyFill="1"/>
    <xf numFmtId="0" fontId="11" fillId="0" borderId="14" xfId="0" applyFont="1" applyFill="1" applyBorder="1"/>
    <xf numFmtId="0" fontId="0" fillId="0" borderId="5" xfId="0" applyFill="1" applyBorder="1"/>
    <xf numFmtId="168" fontId="0" fillId="0" borderId="11" xfId="0" applyNumberFormat="1" applyFill="1" applyBorder="1"/>
    <xf numFmtId="168" fontId="0" fillId="0" borderId="5" xfId="0" applyNumberFormat="1" applyFill="1" applyBorder="1"/>
  </cellXfs>
  <cellStyles count="4">
    <cellStyle name="Comma" xfId="3" builtinId="3"/>
    <cellStyle name="Currency" xfId="2" builtinId="4"/>
    <cellStyle name="Normal" xfId="0" builtinId="0"/>
    <cellStyle name="Per cent" xfId="1" builtinId="5"/>
  </cellStyles>
  <dxfs count="29">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Medium9"/>
  <colors>
    <mruColors>
      <color rgb="FF91D6FF"/>
      <color rgb="FF7BA6FF"/>
      <color rgb="FF6589CD"/>
      <color rgb="FF90AA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Population</a:t>
            </a:r>
            <a:r>
              <a:rPr lang="en-GB" baseline="0"/>
              <a:t> Projection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'Population projection'!$C$2</c:f>
              <c:strCache>
                <c:ptCount val="1"/>
                <c:pt idx="0">
                  <c:v>East Rarita</c:v>
                </c:pt>
              </c:strCache>
            </c:strRef>
          </c:tx>
          <c:spPr>
            <a:ln w="28575" cap="rnd">
              <a:solidFill>
                <a:schemeClr val="accent2"/>
              </a:solidFill>
              <a:round/>
            </a:ln>
            <a:effectLst/>
          </c:spPr>
          <c:marker>
            <c:symbol val="none"/>
          </c:marker>
          <c:val>
            <c:numRef>
              <c:f>'Population projection'!$C$3:$C$23</c:f>
              <c:numCache>
                <c:formatCode>General</c:formatCode>
                <c:ptCount val="21"/>
                <c:pt idx="0">
                  <c:v>1830487</c:v>
                </c:pt>
                <c:pt idx="1">
                  <c:v>1839177</c:v>
                </c:pt>
                <c:pt idx="2">
                  <c:v>1848062</c:v>
                </c:pt>
                <c:pt idx="3">
                  <c:v>1859198</c:v>
                </c:pt>
                <c:pt idx="4">
                  <c:v>1872389</c:v>
                </c:pt>
                <c:pt idx="5">
                  <c:v>1888325</c:v>
                </c:pt>
                <c:pt idx="6">
                  <c:v>1904969</c:v>
                </c:pt>
                <c:pt idx="7">
                  <c:v>1920728</c:v>
                </c:pt>
                <c:pt idx="8">
                  <c:v>1936433</c:v>
                </c:pt>
                <c:pt idx="9">
                  <c:v>1943215</c:v>
                </c:pt>
                <c:pt idx="10" formatCode="0">
                  <c:v>1957989.449158052</c:v>
                </c:pt>
                <c:pt idx="11" formatCode="0">
                  <c:v>1973243.9866517105</c:v>
                </c:pt>
                <c:pt idx="12" formatCode="0">
                  <c:v>1988987.9929652298</c:v>
                </c:pt>
                <c:pt idx="13" formatCode="0">
                  <c:v>2005231.1957050911</c:v>
                </c:pt>
                <c:pt idx="14" formatCode="0">
                  <c:v>2021983.6795475036</c:v>
                </c:pt>
                <c:pt idx="15" formatCode="0">
                  <c:v>2039255.8965968697</c:v>
                </c:pt>
                <c:pt idx="16" formatCode="0">
                  <c:v>2057058.6771700131</c:v>
                </c:pt>
                <c:pt idx="17" formatCode="0">
                  <c:v>2075403.2410216336</c:v>
                </c:pt>
                <c:pt idx="18" formatCode="0">
                  <c:v>2094301.2090271662</c:v>
                </c:pt>
                <c:pt idx="19" formatCode="0">
                  <c:v>2113764.6153399437</c:v>
                </c:pt>
                <c:pt idx="20" formatCode="0">
                  <c:v>2114157.974704803</c:v>
                </c:pt>
              </c:numCache>
            </c:numRef>
          </c:val>
          <c:smooth val="0"/>
          <c:extLst>
            <c:ext xmlns:c16="http://schemas.microsoft.com/office/drawing/2014/chart" uri="{C3380CC4-5D6E-409C-BE32-E72D297353CC}">
              <c16:uniqueId val="{00000001-17DB-6345-AB44-B2D95F64CF93}"/>
            </c:ext>
          </c:extLst>
        </c:ser>
        <c:ser>
          <c:idx val="2"/>
          <c:order val="1"/>
          <c:tx>
            <c:strRef>
              <c:f>'Population projection'!$D$2</c:f>
              <c:strCache>
                <c:ptCount val="1"/>
                <c:pt idx="0">
                  <c:v>Central Rarita</c:v>
                </c:pt>
              </c:strCache>
            </c:strRef>
          </c:tx>
          <c:spPr>
            <a:ln w="28575" cap="rnd">
              <a:solidFill>
                <a:schemeClr val="accent3"/>
              </a:solidFill>
              <a:round/>
            </a:ln>
            <a:effectLst/>
          </c:spPr>
          <c:marker>
            <c:symbol val="none"/>
          </c:marker>
          <c:val>
            <c:numRef>
              <c:f>'Population projection'!$D$3:$D$23</c:f>
              <c:numCache>
                <c:formatCode>General</c:formatCode>
                <c:ptCount val="21"/>
                <c:pt idx="0">
                  <c:v>3030693</c:v>
                </c:pt>
                <c:pt idx="1">
                  <c:v>3031099</c:v>
                </c:pt>
                <c:pt idx="2">
                  <c:v>3019905</c:v>
                </c:pt>
                <c:pt idx="3">
                  <c:v>3010270</c:v>
                </c:pt>
                <c:pt idx="4">
                  <c:v>3006228</c:v>
                </c:pt>
                <c:pt idx="5">
                  <c:v>3007362</c:v>
                </c:pt>
                <c:pt idx="6">
                  <c:v>3011351</c:v>
                </c:pt>
                <c:pt idx="7">
                  <c:v>3021994</c:v>
                </c:pt>
                <c:pt idx="8">
                  <c:v>3043234</c:v>
                </c:pt>
                <c:pt idx="9">
                  <c:v>3020190</c:v>
                </c:pt>
                <c:pt idx="10" formatCode="0">
                  <c:v>3023443.6932886005</c:v>
                </c:pt>
                <c:pt idx="11" formatCode="0">
                  <c:v>3027580.6441818518</c:v>
                </c:pt>
                <c:pt idx="12" formatCode="0">
                  <c:v>3032604.2117401459</c:v>
                </c:pt>
                <c:pt idx="13" formatCode="0">
                  <c:v>3038518.5325976177</c:v>
                </c:pt>
                <c:pt idx="14" formatCode="0">
                  <c:v>3045328.5266144932</c:v>
                </c:pt>
                <c:pt idx="15" formatCode="0">
                  <c:v>3053039.9036750374</c:v>
                </c:pt>
                <c:pt idx="16" formatCode="0">
                  <c:v>3061659.1716441903</c:v>
                </c:pt>
                <c:pt idx="17" formatCode="0">
                  <c:v>3071193.6454983815</c:v>
                </c:pt>
                <c:pt idx="18" formatCode="0">
                  <c:v>3081651.4576484035</c:v>
                </c:pt>
                <c:pt idx="19" formatCode="0">
                  <c:v>3093041.569474692</c:v>
                </c:pt>
                <c:pt idx="20" formatCode="0">
                  <c:v>3093938.2589460709</c:v>
                </c:pt>
              </c:numCache>
            </c:numRef>
          </c:val>
          <c:smooth val="0"/>
          <c:extLst>
            <c:ext xmlns:c16="http://schemas.microsoft.com/office/drawing/2014/chart" uri="{C3380CC4-5D6E-409C-BE32-E72D297353CC}">
              <c16:uniqueId val="{00000002-17DB-6345-AB44-B2D95F64CF93}"/>
            </c:ext>
          </c:extLst>
        </c:ser>
        <c:ser>
          <c:idx val="3"/>
          <c:order val="2"/>
          <c:tx>
            <c:strRef>
              <c:f>'Population projection'!$E$2</c:f>
              <c:strCache>
                <c:ptCount val="1"/>
                <c:pt idx="0">
                  <c:v>West Rarita</c:v>
                </c:pt>
              </c:strCache>
            </c:strRef>
          </c:tx>
          <c:spPr>
            <a:ln w="28575" cap="rnd">
              <a:solidFill>
                <a:schemeClr val="accent4"/>
              </a:solidFill>
              <a:round/>
            </a:ln>
            <a:effectLst/>
          </c:spPr>
          <c:marker>
            <c:symbol val="none"/>
          </c:marker>
          <c:val>
            <c:numRef>
              <c:f>'Population projection'!$E$3:$E$23</c:f>
              <c:numCache>
                <c:formatCode>General</c:formatCode>
                <c:ptCount val="21"/>
                <c:pt idx="0">
                  <c:v>7226446</c:v>
                </c:pt>
                <c:pt idx="1">
                  <c:v>7267257</c:v>
                </c:pt>
                <c:pt idx="2">
                  <c:v>7307914</c:v>
                </c:pt>
                <c:pt idx="3">
                  <c:v>7352123</c:v>
                </c:pt>
                <c:pt idx="4">
                  <c:v>7394062</c:v>
                </c:pt>
                <c:pt idx="5">
                  <c:v>7435584</c:v>
                </c:pt>
                <c:pt idx="6">
                  <c:v>7476687</c:v>
                </c:pt>
                <c:pt idx="7">
                  <c:v>7520631</c:v>
                </c:pt>
                <c:pt idx="8">
                  <c:v>7569121</c:v>
                </c:pt>
                <c:pt idx="9">
                  <c:v>7606067</c:v>
                </c:pt>
                <c:pt idx="10" formatCode="0">
                  <c:v>7648809.375193581</c:v>
                </c:pt>
                <c:pt idx="11" formatCode="0">
                  <c:v>7691661.0810990501</c:v>
                </c:pt>
                <c:pt idx="12" formatCode="0">
                  <c:v>7734621.2658349527</c:v>
                </c:pt>
                <c:pt idx="13" formatCode="0">
                  <c:v>7777689.0671649147</c:v>
                </c:pt>
                <c:pt idx="14" formatCode="0">
                  <c:v>7820863.6124984501</c:v>
                </c:pt>
                <c:pt idx="15" formatCode="0">
                  <c:v>7864144.0188926775</c:v>
                </c:pt>
                <c:pt idx="16" formatCode="0">
                  <c:v>7907529.3930549137</c:v>
                </c:pt>
                <c:pt idx="17" formatCode="0">
                  <c:v>7951018.8313461849</c:v>
                </c:pt>
                <c:pt idx="18" formatCode="0">
                  <c:v>7994611.419785629</c:v>
                </c:pt>
                <c:pt idx="19" formatCode="0">
                  <c:v>8038306.2340558097</c:v>
                </c:pt>
                <c:pt idx="20" formatCode="0">
                  <c:v>8038169.4573376719</c:v>
                </c:pt>
              </c:numCache>
            </c:numRef>
          </c:val>
          <c:smooth val="0"/>
          <c:extLst>
            <c:ext xmlns:c16="http://schemas.microsoft.com/office/drawing/2014/chart" uri="{C3380CC4-5D6E-409C-BE32-E72D297353CC}">
              <c16:uniqueId val="{00000003-17DB-6345-AB44-B2D95F64CF93}"/>
            </c:ext>
          </c:extLst>
        </c:ser>
        <c:dLbls>
          <c:showLegendKey val="0"/>
          <c:showVal val="0"/>
          <c:showCatName val="0"/>
          <c:showSerName val="0"/>
          <c:showPercent val="0"/>
          <c:showBubbleSize val="0"/>
        </c:dLbls>
        <c:smooth val="0"/>
        <c:axId val="448474175"/>
        <c:axId val="510391503"/>
      </c:lineChart>
      <c:catAx>
        <c:axId val="4484741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391503"/>
        <c:crosses val="autoZero"/>
        <c:auto val="1"/>
        <c:lblAlgn val="ctr"/>
        <c:lblOffset val="100"/>
        <c:noMultiLvlLbl val="0"/>
      </c:catAx>
      <c:valAx>
        <c:axId val="510391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4741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Population Growth - Linear Forecast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East Rarita</c:v>
          </c:tx>
          <c:spPr>
            <a:ln w="28575" cap="rnd">
              <a:solidFill>
                <a:schemeClr val="accent1"/>
              </a:solidFill>
              <a:round/>
            </a:ln>
            <a:effectLst/>
          </c:spPr>
          <c:marker>
            <c:symbol val="none"/>
          </c:marker>
          <c:val>
            <c:numRef>
              <c:f>'Population projection'!$H$4:$H$23</c:f>
              <c:numCache>
                <c:formatCode>0.00%</c:formatCode>
                <c:ptCount val="20"/>
                <c:pt idx="0">
                  <c:v>4.7473705085039342E-3</c:v>
                </c:pt>
                <c:pt idx="1">
                  <c:v>4.8309651545228594E-3</c:v>
                </c:pt>
                <c:pt idx="2">
                  <c:v>6.025771862632423E-3</c:v>
                </c:pt>
                <c:pt idx="3">
                  <c:v>7.094994723531256E-3</c:v>
                </c:pt>
                <c:pt idx="4">
                  <c:v>8.5110519235052084E-3</c:v>
                </c:pt>
                <c:pt idx="5">
                  <c:v>8.814160697973028E-3</c:v>
                </c:pt>
                <c:pt idx="6">
                  <c:v>8.2725755642216736E-3</c:v>
                </c:pt>
                <c:pt idx="7">
                  <c:v>8.1765872106827064E-3</c:v>
                </c:pt>
                <c:pt idx="8">
                  <c:v>3.5023158560094636E-3</c:v>
                </c:pt>
                <c:pt idx="9">
                  <c:v>7.6030954670748829E-3</c:v>
                </c:pt>
                <c:pt idx="10">
                  <c:v>7.7909191493436003E-3</c:v>
                </c:pt>
                <c:pt idx="11">
                  <c:v>7.9787428316122622E-3</c:v>
                </c:pt>
                <c:pt idx="12">
                  <c:v>8.1665665138809795E-3</c:v>
                </c:pt>
                <c:pt idx="13">
                  <c:v>8.3543901961496969E-3</c:v>
                </c:pt>
                <c:pt idx="14">
                  <c:v>8.5422138784183588E-3</c:v>
                </c:pt>
                <c:pt idx="15">
                  <c:v>8.7300375606870761E-3</c:v>
                </c:pt>
                <c:pt idx="16">
                  <c:v>8.9178612429557935E-3</c:v>
                </c:pt>
                <c:pt idx="17">
                  <c:v>9.1056849252244554E-3</c:v>
                </c:pt>
                <c:pt idx="18">
                  <c:v>9.2935086074931728E-3</c:v>
                </c:pt>
                <c:pt idx="19">
                  <c:v>9.4813322897618901E-3</c:v>
                </c:pt>
              </c:numCache>
            </c:numRef>
          </c:val>
          <c:smooth val="0"/>
          <c:extLst>
            <c:ext xmlns:c16="http://schemas.microsoft.com/office/drawing/2014/chart" uri="{C3380CC4-5D6E-409C-BE32-E72D297353CC}">
              <c16:uniqueId val="{00000000-CFAE-ED4B-84A2-5B8396514497}"/>
            </c:ext>
          </c:extLst>
        </c:ser>
        <c:ser>
          <c:idx val="1"/>
          <c:order val="1"/>
          <c:tx>
            <c:v>Central Rarita</c:v>
          </c:tx>
          <c:spPr>
            <a:ln w="28575" cap="rnd">
              <a:solidFill>
                <a:schemeClr val="accent2"/>
              </a:solidFill>
              <a:round/>
            </a:ln>
            <a:effectLst/>
          </c:spPr>
          <c:marker>
            <c:symbol val="none"/>
          </c:marker>
          <c:val>
            <c:numRef>
              <c:f>'Population projection'!$I$4:$I$23</c:f>
              <c:numCache>
                <c:formatCode>0.00%</c:formatCode>
                <c:ptCount val="20"/>
                <c:pt idx="0">
                  <c:v>1.339627603322846E-4</c:v>
                </c:pt>
                <c:pt idx="1">
                  <c:v>-3.6930499465704925E-3</c:v>
                </c:pt>
                <c:pt idx="2">
                  <c:v>-3.1904977143321078E-3</c:v>
                </c:pt>
                <c:pt idx="3">
                  <c:v>-1.3427366980370836E-3</c:v>
                </c:pt>
                <c:pt idx="4">
                  <c:v>3.7721689772030054E-4</c:v>
                </c:pt>
                <c:pt idx="5">
                  <c:v>1.3264116524716041E-3</c:v>
                </c:pt>
                <c:pt idx="6">
                  <c:v>3.5342940759812702E-3</c:v>
                </c:pt>
                <c:pt idx="7">
                  <c:v>7.0284719294610998E-3</c:v>
                </c:pt>
                <c:pt idx="8">
                  <c:v>-7.5722077237569962E-3</c:v>
                </c:pt>
                <c:pt idx="9">
                  <c:v>1.0773141056027447E-3</c:v>
                </c:pt>
                <c:pt idx="10">
                  <c:v>1.3682910326506814E-3</c:v>
                </c:pt>
                <c:pt idx="11">
                  <c:v>1.6592679596985072E-3</c:v>
                </c:pt>
                <c:pt idx="12">
                  <c:v>1.9502448867464439E-3</c:v>
                </c:pt>
                <c:pt idx="13">
                  <c:v>2.2412218137942697E-3</c:v>
                </c:pt>
                <c:pt idx="14">
                  <c:v>2.5321987408422064E-3</c:v>
                </c:pt>
                <c:pt idx="15">
                  <c:v>2.8231756678900322E-3</c:v>
                </c:pt>
                <c:pt idx="16">
                  <c:v>3.1141525949378579E-3</c:v>
                </c:pt>
                <c:pt idx="17">
                  <c:v>3.4051295219857947E-3</c:v>
                </c:pt>
                <c:pt idx="18">
                  <c:v>3.6961064490337314E-3</c:v>
                </c:pt>
                <c:pt idx="19">
                  <c:v>3.9870833760815572E-3</c:v>
                </c:pt>
              </c:numCache>
            </c:numRef>
          </c:val>
          <c:smooth val="0"/>
          <c:extLst>
            <c:ext xmlns:c16="http://schemas.microsoft.com/office/drawing/2014/chart" uri="{C3380CC4-5D6E-409C-BE32-E72D297353CC}">
              <c16:uniqueId val="{00000001-CFAE-ED4B-84A2-5B8396514497}"/>
            </c:ext>
          </c:extLst>
        </c:ser>
        <c:ser>
          <c:idx val="2"/>
          <c:order val="2"/>
          <c:tx>
            <c:v>West Rarita</c:v>
          </c:tx>
          <c:spPr>
            <a:ln w="28575" cap="rnd">
              <a:solidFill>
                <a:schemeClr val="accent3"/>
              </a:solidFill>
              <a:round/>
            </a:ln>
            <a:effectLst/>
          </c:spPr>
          <c:marker>
            <c:symbol val="none"/>
          </c:marker>
          <c:val>
            <c:numRef>
              <c:f>'Population projection'!$J$4:$J$23</c:f>
              <c:numCache>
                <c:formatCode>0.00%</c:formatCode>
                <c:ptCount val="20"/>
                <c:pt idx="0">
                  <c:v>5.6474510430162272E-3</c:v>
                </c:pt>
                <c:pt idx="1">
                  <c:v>5.5945455073351802E-3</c:v>
                </c:pt>
                <c:pt idx="2">
                  <c:v>6.0494691097896514E-3</c:v>
                </c:pt>
                <c:pt idx="3">
                  <c:v>5.7043387331794371E-3</c:v>
                </c:pt>
                <c:pt idx="4">
                  <c:v>5.6155872103857973E-3</c:v>
                </c:pt>
                <c:pt idx="5">
                  <c:v>5.5278778371679049E-3</c:v>
                </c:pt>
                <c:pt idx="6">
                  <c:v>5.8774695262755472E-3</c:v>
                </c:pt>
                <c:pt idx="7">
                  <c:v>6.4475972827280348E-3</c:v>
                </c:pt>
                <c:pt idx="8">
                  <c:v>4.881148022339632E-3</c:v>
                </c:pt>
                <c:pt idx="9">
                  <c:v>5.6195107397268643E-3</c:v>
                </c:pt>
                <c:pt idx="10">
                  <c:v>5.6024021260674059E-3</c:v>
                </c:pt>
                <c:pt idx="11">
                  <c:v>5.5852935124079406E-3</c:v>
                </c:pt>
                <c:pt idx="12">
                  <c:v>5.5681848987484892E-3</c:v>
                </c:pt>
                <c:pt idx="13">
                  <c:v>5.5510762850890308E-3</c:v>
                </c:pt>
                <c:pt idx="14">
                  <c:v>5.5339676714295655E-3</c:v>
                </c:pt>
                <c:pt idx="15">
                  <c:v>5.516859057770114E-3</c:v>
                </c:pt>
                <c:pt idx="16">
                  <c:v>5.4997504441106487E-3</c:v>
                </c:pt>
                <c:pt idx="17">
                  <c:v>5.4826418304511904E-3</c:v>
                </c:pt>
                <c:pt idx="18">
                  <c:v>5.465533216791732E-3</c:v>
                </c:pt>
                <c:pt idx="19">
                  <c:v>5.4484246031322736E-3</c:v>
                </c:pt>
              </c:numCache>
            </c:numRef>
          </c:val>
          <c:smooth val="0"/>
          <c:extLst>
            <c:ext xmlns:c16="http://schemas.microsoft.com/office/drawing/2014/chart" uri="{C3380CC4-5D6E-409C-BE32-E72D297353CC}">
              <c16:uniqueId val="{00000002-CFAE-ED4B-84A2-5B8396514497}"/>
            </c:ext>
          </c:extLst>
        </c:ser>
        <c:dLbls>
          <c:showLegendKey val="0"/>
          <c:showVal val="0"/>
          <c:showCatName val="0"/>
          <c:showSerName val="0"/>
          <c:showPercent val="0"/>
          <c:showBubbleSize val="0"/>
        </c:dLbls>
        <c:smooth val="0"/>
        <c:axId val="524779823"/>
        <c:axId val="521847215"/>
      </c:lineChart>
      <c:catAx>
        <c:axId val="5247798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847215"/>
        <c:crosses val="autoZero"/>
        <c:auto val="1"/>
        <c:lblAlgn val="ctr"/>
        <c:lblOffset val="100"/>
        <c:noMultiLvlLbl val="0"/>
      </c:catAx>
      <c:valAx>
        <c:axId val="52184721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779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Inflation Rates - Exponential Smoothing on 10 Year HIstorical Inflation Rates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solidFill>
                <a:schemeClr val="accent2"/>
              </a:solidFill>
              <a:round/>
            </a:ln>
            <a:effectLst/>
          </c:spPr>
          <c:marker>
            <c:symbol val="none"/>
          </c:marker>
          <c:val>
            <c:numRef>
              <c:f>'Inflation projection'!$C$6:$C$45</c:f>
              <c:numCache>
                <c:formatCode>0.0000</c:formatCode>
                <c:ptCount val="9"/>
                <c:pt idx="0">
                  <c:v>2.3539085352791238E-2</c:v>
                </c:pt>
                <c:pt idx="1">
                  <c:v>1.9552079375366967E-2</c:v>
                </c:pt>
                <c:pt idx="2">
                  <c:v>1.9397028973291434E-2</c:v>
                </c:pt>
                <c:pt idx="3">
                  <c:v>1.9426721441149913E-2</c:v>
                </c:pt>
                <c:pt idx="4">
                  <c:v>1.843079100150969E-2</c:v>
                </c:pt>
                <c:pt idx="5">
                  <c:v>2.5599727533889852E-2</c:v>
                </c:pt>
                <c:pt idx="6">
                  <c:v>2.2057813810299934E-2</c:v>
                </c:pt>
                <c:pt idx="7">
                  <c:v>2.487318008510617E-2</c:v>
                </c:pt>
                <c:pt idx="8">
                  <c:v>2.4607623383051124E-2</c:v>
                </c:pt>
              </c:numCache>
            </c:numRef>
          </c:val>
          <c:smooth val="0"/>
          <c:extLst>
            <c:ext xmlns:c16="http://schemas.microsoft.com/office/drawing/2014/chart" uri="{C3380CC4-5D6E-409C-BE32-E72D297353CC}">
              <c16:uniqueId val="{00000001-20EC-B845-A0AA-CC519B111E73}"/>
            </c:ext>
          </c:extLst>
        </c:ser>
        <c:dLbls>
          <c:showLegendKey val="0"/>
          <c:showVal val="0"/>
          <c:showCatName val="0"/>
          <c:showSerName val="0"/>
          <c:showPercent val="0"/>
          <c:showBubbleSize val="0"/>
        </c:dLbls>
        <c:smooth val="0"/>
        <c:axId val="358531391"/>
        <c:axId val="391810303"/>
      </c:lineChart>
      <c:catAx>
        <c:axId val="35853139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810303"/>
        <c:crosses val="autoZero"/>
        <c:auto val="1"/>
        <c:lblAlgn val="ctr"/>
        <c:lblOffset val="100"/>
        <c:noMultiLvlLbl val="0"/>
      </c:catAx>
      <c:valAx>
        <c:axId val="391810303"/>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531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yearly sponsorship revenue (real 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numRef>
              <c:f>'Sponsorship Projection'!$B$27:$B$32</c:f>
              <c:numCache>
                <c:formatCode>General</c:formatCode>
                <c:ptCount val="6"/>
                <c:pt idx="0">
                  <c:v>2016</c:v>
                </c:pt>
                <c:pt idx="1">
                  <c:v>2017</c:v>
                </c:pt>
                <c:pt idx="2">
                  <c:v>2018</c:v>
                </c:pt>
                <c:pt idx="3">
                  <c:v>2019</c:v>
                </c:pt>
                <c:pt idx="4">
                  <c:v>2020</c:v>
                </c:pt>
                <c:pt idx="5">
                  <c:v>2021</c:v>
                </c:pt>
              </c:numCache>
            </c:numRef>
          </c:cat>
          <c:val>
            <c:numRef>
              <c:f>'Sponsorship Projection'!$E$27:$E$32</c:f>
              <c:numCache>
                <c:formatCode>_-* #,##0_-;\-* #,##0_-;_-* "-"??_-;_-@_-</c:formatCode>
                <c:ptCount val="6"/>
                <c:pt idx="0">
                  <c:v>160103289.53867429</c:v>
                </c:pt>
                <c:pt idx="1">
                  <c:v>159287294.81796721</c:v>
                </c:pt>
                <c:pt idx="2" formatCode="_-* #,##0.00_-;\-* #,##0.00_-;_-* &quot;-&quot;??_-;_-@_-">
                  <c:v>175476404.10630336</c:v>
                </c:pt>
                <c:pt idx="3" formatCode="_-* #,##0.00_-;\-* #,##0.00_-;_-* &quot;-&quot;??_-;_-@_-">
                  <c:v>165780360.64752245</c:v>
                </c:pt>
                <c:pt idx="4" formatCode="_-* #,##0.00_-;\-* #,##0.00_-;_-* &quot;-&quot;??_-;_-@_-">
                  <c:v>190736490.98565599</c:v>
                </c:pt>
                <c:pt idx="5" formatCode="_-* #,##0.00_-;\-* #,##0.00_-;_-* &quot;-&quot;??_-;_-@_-">
                  <c:v>174068305.66420966</c:v>
                </c:pt>
              </c:numCache>
            </c:numRef>
          </c:val>
          <c:extLst>
            <c:ext xmlns:c16="http://schemas.microsoft.com/office/drawing/2014/chart" uri="{C3380CC4-5D6E-409C-BE32-E72D297353CC}">
              <c16:uniqueId val="{00000000-E30C-4D10-9662-6BD66F373560}"/>
            </c:ext>
          </c:extLst>
        </c:ser>
        <c:dLbls>
          <c:showLegendKey val="0"/>
          <c:showVal val="0"/>
          <c:showCatName val="0"/>
          <c:showSerName val="0"/>
          <c:showPercent val="0"/>
          <c:showBubbleSize val="0"/>
        </c:dLbls>
        <c:gapWidth val="219"/>
        <c:overlap val="-27"/>
        <c:axId val="40571679"/>
        <c:axId val="40568767"/>
      </c:barChart>
      <c:catAx>
        <c:axId val="40571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68767"/>
        <c:crosses val="autoZero"/>
        <c:auto val="1"/>
        <c:lblAlgn val="ctr"/>
        <c:lblOffset val="100"/>
        <c:noMultiLvlLbl val="0"/>
      </c:catAx>
      <c:valAx>
        <c:axId val="40568767"/>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71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Sponsorship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'Sponsorship Projection'!$F$53:$F$62</c:f>
              <c:numCache>
                <c:formatCode>\∂#,##0.00;\∂\(#,##0.00\)</c:formatCode>
                <c:ptCount val="10"/>
                <c:pt idx="0">
                  <c:v>27283038.954801373</c:v>
                </c:pt>
                <c:pt idx="1">
                  <c:v>36916699.009116046</c:v>
                </c:pt>
                <c:pt idx="2">
                  <c:v>45311282.928812183</c:v>
                </c:pt>
                <c:pt idx="3">
                  <c:v>53050837.577793695</c:v>
                </c:pt>
                <c:pt idx="4">
                  <c:v>58973816.019025974</c:v>
                </c:pt>
                <c:pt idx="5">
                  <c:v>61746803.199922003</c:v>
                </c:pt>
                <c:pt idx="6">
                  <c:v>61681918.513945505</c:v>
                </c:pt>
                <c:pt idx="7">
                  <c:v>64536491.581198819</c:v>
                </c:pt>
                <c:pt idx="8">
                  <c:v>64445811.148284808</c:v>
                </c:pt>
                <c:pt idx="9">
                  <c:v>65801904.84296874</c:v>
                </c:pt>
              </c:numCache>
            </c:numRef>
          </c:val>
          <c:smooth val="0"/>
          <c:extLst>
            <c:ext xmlns:c16="http://schemas.microsoft.com/office/drawing/2014/chart" uri="{C3380CC4-5D6E-409C-BE32-E72D297353CC}">
              <c16:uniqueId val="{00000000-D72B-4AD3-B8CE-936962AFCE0C}"/>
            </c:ext>
          </c:extLst>
        </c:ser>
        <c:dLbls>
          <c:showLegendKey val="0"/>
          <c:showVal val="0"/>
          <c:showCatName val="0"/>
          <c:showSerName val="0"/>
          <c:showPercent val="0"/>
          <c:showBubbleSize val="0"/>
        </c:dLbls>
        <c:smooth val="0"/>
        <c:axId val="42925791"/>
        <c:axId val="42924959"/>
      </c:lineChart>
      <c:catAx>
        <c:axId val="429257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24959"/>
        <c:crosses val="autoZero"/>
        <c:auto val="1"/>
        <c:lblAlgn val="ctr"/>
        <c:lblOffset val="100"/>
        <c:noMultiLvlLbl val="0"/>
      </c:catAx>
      <c:valAx>
        <c:axId val="429249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Sponsorship</a:t>
                </a:r>
                <a:r>
                  <a:rPr lang="en-AU" baseline="0"/>
                  <a:t> Revenue (</a:t>
                </a:r>
                <a:r>
                  <a:rPr lang="en-AU" sz="1000" b="0" i="0" u="none" strike="noStrike" baseline="0">
                    <a:effectLst/>
                  </a:rPr>
                  <a:t>∂)</a:t>
                </a:r>
                <a:r>
                  <a:rPr lang="en-AU" baseline="0"/>
                  <a:t>    </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257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'Revenue projection'!$B$2</c:f>
          <c:strCache>
            <c:ptCount val="1"/>
            <c:pt idx="0">
              <c:v>Per Capita
Total Revenue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0914785651793527E-2"/>
          <c:y val="9.9976247030878859E-2"/>
          <c:w val="0.96486299212598425"/>
          <c:h val="0.72585837993528723"/>
        </c:manualLayout>
      </c:layout>
      <c:lineChart>
        <c:grouping val="standard"/>
        <c:varyColors val="0"/>
        <c:ser>
          <c:idx val="0"/>
          <c:order val="0"/>
          <c:tx>
            <c:strRef>
              <c:f>'Revenue projection'!$C$4</c:f>
              <c:strCache>
                <c:ptCount val="1"/>
                <c:pt idx="0">
                  <c:v>Bernepamar</c:v>
                </c:pt>
              </c:strCache>
            </c:strRef>
          </c:tx>
          <c:spPr>
            <a:ln w="28575" cap="rnd">
              <a:solidFill>
                <a:schemeClr val="accent1"/>
              </a:solidFill>
              <a:round/>
            </a:ln>
            <a:effectLst/>
          </c:spPr>
          <c:marker>
            <c:symbol val="none"/>
          </c:marker>
          <c:val>
            <c:numRef>
              <c:f>'Revenue projection'!$C$5:$C$20</c:f>
            </c:numRef>
          </c:val>
          <c:smooth val="0"/>
          <c:extLst>
            <c:ext xmlns:c16="http://schemas.microsoft.com/office/drawing/2014/chart" uri="{C3380CC4-5D6E-409C-BE32-E72D297353CC}">
              <c16:uniqueId val="{00000000-2720-5742-945C-92EB96D5E103}"/>
            </c:ext>
          </c:extLst>
        </c:ser>
        <c:ser>
          <c:idx val="1"/>
          <c:order val="1"/>
          <c:tx>
            <c:strRef>
              <c:f>'Revenue projection'!$D$4</c:f>
              <c:strCache>
                <c:ptCount val="1"/>
                <c:pt idx="0">
                  <c:v>Byasier Pujan</c:v>
                </c:pt>
              </c:strCache>
            </c:strRef>
          </c:tx>
          <c:spPr>
            <a:ln w="28575" cap="rnd">
              <a:solidFill>
                <a:schemeClr val="accent2"/>
              </a:solidFill>
              <a:round/>
            </a:ln>
            <a:effectLst/>
          </c:spPr>
          <c:marker>
            <c:symbol val="none"/>
          </c:marker>
          <c:val>
            <c:numRef>
              <c:f>'Revenue projection'!$D$5:$D$20</c:f>
            </c:numRef>
          </c:val>
          <c:smooth val="0"/>
          <c:extLst>
            <c:ext xmlns:c16="http://schemas.microsoft.com/office/drawing/2014/chart" uri="{C3380CC4-5D6E-409C-BE32-E72D297353CC}">
              <c16:uniqueId val="{00000001-2720-5742-945C-92EB96D5E103}"/>
            </c:ext>
          </c:extLst>
        </c:ser>
        <c:ser>
          <c:idx val="2"/>
          <c:order val="2"/>
          <c:tx>
            <c:strRef>
              <c:f>'Revenue projection'!$E$4</c:f>
              <c:strCache>
                <c:ptCount val="1"/>
                <c:pt idx="0">
                  <c:v>Cuandbo</c:v>
                </c:pt>
              </c:strCache>
            </c:strRef>
          </c:tx>
          <c:spPr>
            <a:ln w="28575" cap="rnd">
              <a:solidFill>
                <a:schemeClr val="accent3"/>
              </a:solidFill>
              <a:round/>
            </a:ln>
            <a:effectLst/>
          </c:spPr>
          <c:marker>
            <c:symbol val="none"/>
          </c:marker>
          <c:val>
            <c:numRef>
              <c:f>'Revenue projection'!$E$5:$E$20</c:f>
            </c:numRef>
          </c:val>
          <c:smooth val="0"/>
          <c:extLst>
            <c:ext xmlns:c16="http://schemas.microsoft.com/office/drawing/2014/chart" uri="{C3380CC4-5D6E-409C-BE32-E72D297353CC}">
              <c16:uniqueId val="{00000002-2720-5742-945C-92EB96D5E103}"/>
            </c:ext>
          </c:extLst>
        </c:ser>
        <c:ser>
          <c:idx val="3"/>
          <c:order val="3"/>
          <c:tx>
            <c:strRef>
              <c:f>'Revenue projection'!$F$4</c:f>
              <c:strCache>
                <c:ptCount val="1"/>
                <c:pt idx="0">
                  <c:v>Djipines</c:v>
                </c:pt>
              </c:strCache>
            </c:strRef>
          </c:tx>
          <c:spPr>
            <a:ln w="28575" cap="rnd">
              <a:solidFill>
                <a:schemeClr val="accent4"/>
              </a:solidFill>
              <a:round/>
            </a:ln>
            <a:effectLst/>
          </c:spPr>
          <c:marker>
            <c:symbol val="none"/>
          </c:marker>
          <c:val>
            <c:numRef>
              <c:f>'Revenue projection'!$F$5:$F$20</c:f>
            </c:numRef>
          </c:val>
          <c:smooth val="0"/>
          <c:extLst>
            <c:ext xmlns:c16="http://schemas.microsoft.com/office/drawing/2014/chart" uri="{C3380CC4-5D6E-409C-BE32-E72D297353CC}">
              <c16:uniqueId val="{00000003-2720-5742-945C-92EB96D5E103}"/>
            </c:ext>
          </c:extLst>
        </c:ser>
        <c:ser>
          <c:idx val="4"/>
          <c:order val="4"/>
          <c:tx>
            <c:strRef>
              <c:f>'Revenue projection'!$G$4</c:f>
              <c:strCache>
                <c:ptCount val="1"/>
                <c:pt idx="0">
                  <c:v>Dosqaly</c:v>
                </c:pt>
              </c:strCache>
            </c:strRef>
          </c:tx>
          <c:spPr>
            <a:ln w="28575" cap="rnd">
              <a:solidFill>
                <a:schemeClr val="accent5"/>
              </a:solidFill>
              <a:round/>
            </a:ln>
            <a:effectLst/>
          </c:spPr>
          <c:marker>
            <c:symbol val="none"/>
          </c:marker>
          <c:val>
            <c:numRef>
              <c:f>'Revenue projection'!$G$5:$G$20</c:f>
            </c:numRef>
          </c:val>
          <c:smooth val="0"/>
          <c:extLst>
            <c:ext xmlns:c16="http://schemas.microsoft.com/office/drawing/2014/chart" uri="{C3380CC4-5D6E-409C-BE32-E72D297353CC}">
              <c16:uniqueId val="{00000004-2720-5742-945C-92EB96D5E103}"/>
            </c:ext>
          </c:extLst>
        </c:ser>
        <c:ser>
          <c:idx val="5"/>
          <c:order val="5"/>
          <c:tx>
            <c:strRef>
              <c:f>'Revenue projection'!$H$4</c:f>
              <c:strCache>
                <c:ptCount val="1"/>
                <c:pt idx="0">
                  <c:v>Eastern Sleboube</c:v>
                </c:pt>
              </c:strCache>
            </c:strRef>
          </c:tx>
          <c:spPr>
            <a:ln w="28575" cap="rnd">
              <a:solidFill>
                <a:schemeClr val="accent6"/>
              </a:solidFill>
              <a:round/>
            </a:ln>
            <a:effectLst/>
          </c:spPr>
          <c:marker>
            <c:symbol val="none"/>
          </c:marker>
          <c:val>
            <c:numRef>
              <c:f>'Revenue projection'!$H$5:$H$20</c:f>
            </c:numRef>
          </c:val>
          <c:smooth val="0"/>
          <c:extLst>
            <c:ext xmlns:c16="http://schemas.microsoft.com/office/drawing/2014/chart" uri="{C3380CC4-5D6E-409C-BE32-E72D297353CC}">
              <c16:uniqueId val="{00000005-2720-5742-945C-92EB96D5E103}"/>
            </c:ext>
          </c:extLst>
        </c:ser>
        <c:ser>
          <c:idx val="6"/>
          <c:order val="6"/>
          <c:tx>
            <c:strRef>
              <c:f>'Revenue projection'!$I$4</c:f>
              <c:strCache>
                <c:ptCount val="1"/>
                <c:pt idx="0">
                  <c:v>Esia</c:v>
                </c:pt>
              </c:strCache>
            </c:strRef>
          </c:tx>
          <c:spPr>
            <a:ln w="28575" cap="rnd">
              <a:solidFill>
                <a:schemeClr val="accent1">
                  <a:lumMod val="60000"/>
                </a:schemeClr>
              </a:solidFill>
              <a:round/>
            </a:ln>
            <a:effectLst/>
          </c:spPr>
          <c:marker>
            <c:symbol val="none"/>
          </c:marker>
          <c:val>
            <c:numRef>
              <c:f>'Revenue projection'!$I$5:$I$20</c:f>
            </c:numRef>
          </c:val>
          <c:smooth val="0"/>
          <c:extLst>
            <c:ext xmlns:c16="http://schemas.microsoft.com/office/drawing/2014/chart" uri="{C3380CC4-5D6E-409C-BE32-E72D297353CC}">
              <c16:uniqueId val="{00000006-2720-5742-945C-92EB96D5E103}"/>
            </c:ext>
          </c:extLst>
        </c:ser>
        <c:ser>
          <c:idx val="7"/>
          <c:order val="7"/>
          <c:tx>
            <c:strRef>
              <c:f>'Revenue projection'!$J$4</c:f>
              <c:strCache>
                <c:ptCount val="1"/>
                <c:pt idx="0">
                  <c:v>Galamily</c:v>
                </c:pt>
              </c:strCache>
            </c:strRef>
          </c:tx>
          <c:spPr>
            <a:ln w="28575" cap="rnd">
              <a:solidFill>
                <a:schemeClr val="accent2">
                  <a:lumMod val="60000"/>
                </a:schemeClr>
              </a:solidFill>
              <a:round/>
            </a:ln>
            <a:effectLst/>
          </c:spPr>
          <c:marker>
            <c:symbol val="none"/>
          </c:marker>
          <c:val>
            <c:numRef>
              <c:f>'Revenue projection'!$J$5:$J$20</c:f>
            </c:numRef>
          </c:val>
          <c:smooth val="0"/>
          <c:extLst>
            <c:ext xmlns:c16="http://schemas.microsoft.com/office/drawing/2014/chart" uri="{C3380CC4-5D6E-409C-BE32-E72D297353CC}">
              <c16:uniqueId val="{00000007-2720-5742-945C-92EB96D5E103}"/>
            </c:ext>
          </c:extLst>
        </c:ser>
        <c:ser>
          <c:idx val="8"/>
          <c:order val="8"/>
          <c:tx>
            <c:strRef>
              <c:f>'Revenue projection'!$K$4</c:f>
              <c:strCache>
                <c:ptCount val="1"/>
                <c:pt idx="0">
                  <c:v>Giumle Lizeibon</c:v>
                </c:pt>
              </c:strCache>
            </c:strRef>
          </c:tx>
          <c:spPr>
            <a:ln w="28575" cap="rnd">
              <a:solidFill>
                <a:schemeClr val="accent3">
                  <a:lumMod val="60000"/>
                </a:schemeClr>
              </a:solidFill>
              <a:round/>
            </a:ln>
            <a:effectLst/>
          </c:spPr>
          <c:marker>
            <c:symbol val="none"/>
          </c:marker>
          <c:val>
            <c:numRef>
              <c:f>'Revenue projection'!$K$5:$K$20</c:f>
            </c:numRef>
          </c:val>
          <c:smooth val="0"/>
          <c:extLst>
            <c:ext xmlns:c16="http://schemas.microsoft.com/office/drawing/2014/chart" uri="{C3380CC4-5D6E-409C-BE32-E72D297353CC}">
              <c16:uniqueId val="{00000008-2720-5742-945C-92EB96D5E103}"/>
            </c:ext>
          </c:extLst>
        </c:ser>
        <c:ser>
          <c:idx val="9"/>
          <c:order val="9"/>
          <c:tx>
            <c:strRef>
              <c:f>'Revenue projection'!$L$4</c:f>
              <c:strCache>
                <c:ptCount val="1"/>
                <c:pt idx="0">
                  <c:v>Greri Landmoslands</c:v>
                </c:pt>
              </c:strCache>
            </c:strRef>
          </c:tx>
          <c:spPr>
            <a:ln w="28575" cap="rnd">
              <a:solidFill>
                <a:schemeClr val="accent4">
                  <a:lumMod val="60000"/>
                </a:schemeClr>
              </a:solidFill>
              <a:round/>
            </a:ln>
            <a:effectLst/>
          </c:spPr>
          <c:marker>
            <c:symbol val="none"/>
          </c:marker>
          <c:val>
            <c:numRef>
              <c:f>'Revenue projection'!$L$5:$L$20</c:f>
            </c:numRef>
          </c:val>
          <c:smooth val="0"/>
          <c:extLst>
            <c:ext xmlns:c16="http://schemas.microsoft.com/office/drawing/2014/chart" uri="{C3380CC4-5D6E-409C-BE32-E72D297353CC}">
              <c16:uniqueId val="{00000009-2720-5742-945C-92EB96D5E103}"/>
            </c:ext>
          </c:extLst>
        </c:ser>
        <c:ser>
          <c:idx val="10"/>
          <c:order val="10"/>
          <c:tx>
            <c:strRef>
              <c:f>'Revenue projection'!$M$4</c:f>
              <c:strCache>
                <c:ptCount val="1"/>
                <c:pt idx="0">
                  <c:v>Manlisgamncent</c:v>
                </c:pt>
              </c:strCache>
            </c:strRef>
          </c:tx>
          <c:spPr>
            <a:ln w="28575" cap="rnd">
              <a:solidFill>
                <a:schemeClr val="accent5">
                  <a:lumMod val="60000"/>
                </a:schemeClr>
              </a:solidFill>
              <a:round/>
            </a:ln>
            <a:effectLst/>
          </c:spPr>
          <c:marker>
            <c:symbol val="none"/>
          </c:marker>
          <c:val>
            <c:numRef>
              <c:f>'Revenue projection'!$M$5:$M$20</c:f>
            </c:numRef>
          </c:val>
          <c:smooth val="0"/>
          <c:extLst>
            <c:ext xmlns:c16="http://schemas.microsoft.com/office/drawing/2014/chart" uri="{C3380CC4-5D6E-409C-BE32-E72D297353CC}">
              <c16:uniqueId val="{0000000A-2720-5742-945C-92EB96D5E103}"/>
            </c:ext>
          </c:extLst>
        </c:ser>
        <c:ser>
          <c:idx val="11"/>
          <c:order val="11"/>
          <c:tx>
            <c:strRef>
              <c:f>'Revenue projection'!$N$4</c:f>
              <c:strCache>
                <c:ptCount val="1"/>
                <c:pt idx="0">
                  <c:v>Mico</c:v>
                </c:pt>
              </c:strCache>
            </c:strRef>
          </c:tx>
          <c:spPr>
            <a:ln w="28575" cap="rnd">
              <a:solidFill>
                <a:schemeClr val="accent6">
                  <a:lumMod val="60000"/>
                </a:schemeClr>
              </a:solidFill>
              <a:round/>
            </a:ln>
            <a:effectLst/>
          </c:spPr>
          <c:marker>
            <c:symbol val="none"/>
          </c:marker>
          <c:val>
            <c:numRef>
              <c:f>'Revenue projection'!$N$5:$N$20</c:f>
            </c:numRef>
          </c:val>
          <c:smooth val="0"/>
          <c:extLst>
            <c:ext xmlns:c16="http://schemas.microsoft.com/office/drawing/2014/chart" uri="{C3380CC4-5D6E-409C-BE32-E72D297353CC}">
              <c16:uniqueId val="{0000000B-2720-5742-945C-92EB96D5E103}"/>
            </c:ext>
          </c:extLst>
        </c:ser>
        <c:ser>
          <c:idx val="12"/>
          <c:order val="12"/>
          <c:tx>
            <c:strRef>
              <c:f>'Revenue projection'!$O$4</c:f>
              <c:strCache>
                <c:ptCount val="1"/>
                <c:pt idx="0">
                  <c:v>Nganion</c:v>
                </c:pt>
              </c:strCache>
            </c:strRef>
          </c:tx>
          <c:spPr>
            <a:ln w="28575" cap="rnd">
              <a:solidFill>
                <a:schemeClr val="accent1">
                  <a:lumMod val="80000"/>
                  <a:lumOff val="20000"/>
                </a:schemeClr>
              </a:solidFill>
              <a:round/>
            </a:ln>
            <a:effectLst/>
          </c:spPr>
          <c:marker>
            <c:symbol val="none"/>
          </c:marker>
          <c:val>
            <c:numRef>
              <c:f>'Revenue projection'!$O$5:$O$20</c:f>
            </c:numRef>
          </c:val>
          <c:smooth val="0"/>
          <c:extLst>
            <c:ext xmlns:c16="http://schemas.microsoft.com/office/drawing/2014/chart" uri="{C3380CC4-5D6E-409C-BE32-E72D297353CC}">
              <c16:uniqueId val="{0000000C-2720-5742-945C-92EB96D5E103}"/>
            </c:ext>
          </c:extLst>
        </c:ser>
        <c:ser>
          <c:idx val="13"/>
          <c:order val="13"/>
          <c:tx>
            <c:strRef>
              <c:f>'Revenue projection'!$P$4</c:f>
              <c:strCache>
                <c:ptCount val="1"/>
                <c:pt idx="0">
                  <c:v>Nkasland Cronestan</c:v>
                </c:pt>
              </c:strCache>
            </c:strRef>
          </c:tx>
          <c:spPr>
            <a:ln w="28575" cap="rnd">
              <a:solidFill>
                <a:schemeClr val="accent2">
                  <a:lumMod val="80000"/>
                  <a:lumOff val="20000"/>
                </a:schemeClr>
              </a:solidFill>
              <a:round/>
            </a:ln>
            <a:effectLst/>
          </c:spPr>
          <c:marker>
            <c:symbol val="none"/>
          </c:marker>
          <c:val>
            <c:numRef>
              <c:f>'Revenue projection'!$P$5:$P$20</c:f>
            </c:numRef>
          </c:val>
          <c:smooth val="0"/>
          <c:extLst>
            <c:ext xmlns:c16="http://schemas.microsoft.com/office/drawing/2014/chart" uri="{C3380CC4-5D6E-409C-BE32-E72D297353CC}">
              <c16:uniqueId val="{0000000D-2720-5742-945C-92EB96D5E103}"/>
            </c:ext>
          </c:extLst>
        </c:ser>
        <c:ser>
          <c:idx val="14"/>
          <c:order val="14"/>
          <c:tx>
            <c:strRef>
              <c:f>'Revenue projection'!$Q$4</c:f>
              <c:strCache>
                <c:ptCount val="1"/>
                <c:pt idx="0">
                  <c:v>People's Land of Maneau</c:v>
                </c:pt>
              </c:strCache>
            </c:strRef>
          </c:tx>
          <c:spPr>
            <a:ln w="28575" cap="rnd">
              <a:solidFill>
                <a:schemeClr val="accent3">
                  <a:lumMod val="80000"/>
                  <a:lumOff val="20000"/>
                </a:schemeClr>
              </a:solidFill>
              <a:round/>
            </a:ln>
            <a:effectLst/>
          </c:spPr>
          <c:marker>
            <c:symbol val="none"/>
          </c:marker>
          <c:val>
            <c:numRef>
              <c:f>'Revenue projection'!$Q$5:$Q$20</c:f>
            </c:numRef>
          </c:val>
          <c:smooth val="0"/>
          <c:extLst>
            <c:ext xmlns:c16="http://schemas.microsoft.com/office/drawing/2014/chart" uri="{C3380CC4-5D6E-409C-BE32-E72D297353CC}">
              <c16:uniqueId val="{0000000E-2720-5742-945C-92EB96D5E103}"/>
            </c:ext>
          </c:extLst>
        </c:ser>
        <c:ser>
          <c:idx val="15"/>
          <c:order val="15"/>
          <c:tx>
            <c:strRef>
              <c:f>'Revenue projection'!$R$4</c:f>
              <c:strCache>
                <c:ptCount val="1"/>
                <c:pt idx="0">
                  <c:v>Quewenia</c:v>
                </c:pt>
              </c:strCache>
            </c:strRef>
          </c:tx>
          <c:spPr>
            <a:ln w="28575" cap="rnd">
              <a:solidFill>
                <a:schemeClr val="accent4">
                  <a:lumMod val="80000"/>
                  <a:lumOff val="20000"/>
                </a:schemeClr>
              </a:solidFill>
              <a:round/>
            </a:ln>
            <a:effectLst/>
          </c:spPr>
          <c:marker>
            <c:symbol val="none"/>
          </c:marker>
          <c:val>
            <c:numRef>
              <c:f>'Revenue projection'!$R$5:$R$20</c:f>
            </c:numRef>
          </c:val>
          <c:smooth val="0"/>
          <c:extLst>
            <c:ext xmlns:c16="http://schemas.microsoft.com/office/drawing/2014/chart" uri="{C3380CC4-5D6E-409C-BE32-E72D297353CC}">
              <c16:uniqueId val="{0000000F-2720-5742-945C-92EB96D5E103}"/>
            </c:ext>
          </c:extLst>
        </c:ser>
        <c:ser>
          <c:idx val="16"/>
          <c:order val="16"/>
          <c:tx>
            <c:strRef>
              <c:f>'Revenue projection'!$S$4</c:f>
              <c:strCache>
                <c:ptCount val="1"/>
                <c:pt idx="0">
                  <c:v>Rarita</c:v>
                </c:pt>
              </c:strCache>
            </c:strRef>
          </c:tx>
          <c:spPr>
            <a:ln w="28575" cap="rnd">
              <a:solidFill>
                <a:schemeClr val="accent5">
                  <a:lumMod val="80000"/>
                  <a:lumOff val="20000"/>
                </a:schemeClr>
              </a:solidFill>
              <a:round/>
            </a:ln>
            <a:effectLst/>
          </c:spPr>
          <c:marker>
            <c:symbol val="none"/>
          </c:marker>
          <c:val>
            <c:numRef>
              <c:f>'Revenue projection'!$S$5:$S$20</c:f>
              <c:numCache>
                <c:formatCode>General</c:formatCode>
                <c:ptCount val="16"/>
                <c:pt idx="0">
                  <c:v>146.24</c:v>
                </c:pt>
                <c:pt idx="1">
                  <c:v>155.81</c:v>
                </c:pt>
                <c:pt idx="2">
                  <c:v>163.81</c:v>
                </c:pt>
                <c:pt idx="3">
                  <c:v>183.93</c:v>
                </c:pt>
                <c:pt idx="4">
                  <c:v>163.13</c:v>
                </c:pt>
                <c:pt idx="5">
                  <c:v>181.15400000000227</c:v>
                </c:pt>
                <c:pt idx="6">
                  <c:v>187.34400000000096</c:v>
                </c:pt>
                <c:pt idx="7">
                  <c:v>193.53400000000147</c:v>
                </c:pt>
                <c:pt idx="8">
                  <c:v>199.72400000000198</c:v>
                </c:pt>
                <c:pt idx="9">
                  <c:v>205.91400000000067</c:v>
                </c:pt>
                <c:pt idx="10">
                  <c:v>212.104000000003</c:v>
                </c:pt>
                <c:pt idx="11">
                  <c:v>218.29400000000169</c:v>
                </c:pt>
                <c:pt idx="12">
                  <c:v>224.4840000000022</c:v>
                </c:pt>
                <c:pt idx="13">
                  <c:v>230.67400000000271</c:v>
                </c:pt>
                <c:pt idx="14">
                  <c:v>236.86400000000322</c:v>
                </c:pt>
                <c:pt idx="15">
                  <c:v>243.05400000000373</c:v>
                </c:pt>
              </c:numCache>
            </c:numRef>
          </c:val>
          <c:smooth val="0"/>
          <c:extLst>
            <c:ext xmlns:c16="http://schemas.microsoft.com/office/drawing/2014/chart" uri="{C3380CC4-5D6E-409C-BE32-E72D297353CC}">
              <c16:uniqueId val="{00000010-2720-5742-945C-92EB96D5E103}"/>
            </c:ext>
          </c:extLst>
        </c:ser>
        <c:ser>
          <c:idx val="17"/>
          <c:order val="17"/>
          <c:tx>
            <c:strRef>
              <c:f>'Revenue projection'!$T$4</c:f>
              <c:strCache>
                <c:ptCount val="1"/>
                <c:pt idx="0">
                  <c:v>Sobianitedrucy</c:v>
                </c:pt>
              </c:strCache>
            </c:strRef>
          </c:tx>
          <c:spPr>
            <a:ln w="28575" cap="rnd">
              <a:solidFill>
                <a:schemeClr val="accent6">
                  <a:lumMod val="80000"/>
                  <a:lumOff val="20000"/>
                </a:schemeClr>
              </a:solidFill>
              <a:round/>
            </a:ln>
            <a:effectLst/>
          </c:spPr>
          <c:marker>
            <c:symbol val="none"/>
          </c:marker>
          <c:val>
            <c:numRef>
              <c:f>'Revenue projection'!$T$5:$T$20</c:f>
            </c:numRef>
          </c:val>
          <c:smooth val="0"/>
          <c:extLst>
            <c:ext xmlns:c16="http://schemas.microsoft.com/office/drawing/2014/chart" uri="{C3380CC4-5D6E-409C-BE32-E72D297353CC}">
              <c16:uniqueId val="{00000011-2720-5742-945C-92EB96D5E103}"/>
            </c:ext>
          </c:extLst>
        </c:ser>
        <c:ser>
          <c:idx val="18"/>
          <c:order val="18"/>
          <c:tx>
            <c:strRef>
              <c:f>'Revenue projection'!$U$4</c:f>
              <c:strCache>
                <c:ptCount val="1"/>
                <c:pt idx="0">
                  <c:v>Southern Ristan</c:v>
                </c:pt>
              </c:strCache>
            </c:strRef>
          </c:tx>
          <c:spPr>
            <a:ln w="28575" cap="rnd">
              <a:solidFill>
                <a:schemeClr val="accent1">
                  <a:lumMod val="80000"/>
                </a:schemeClr>
              </a:solidFill>
              <a:round/>
            </a:ln>
            <a:effectLst/>
          </c:spPr>
          <c:marker>
            <c:symbol val="none"/>
          </c:marker>
          <c:val>
            <c:numRef>
              <c:f>'Revenue projection'!$U$5:$U$20</c:f>
            </c:numRef>
          </c:val>
          <c:smooth val="0"/>
          <c:extLst>
            <c:ext xmlns:c16="http://schemas.microsoft.com/office/drawing/2014/chart" uri="{C3380CC4-5D6E-409C-BE32-E72D297353CC}">
              <c16:uniqueId val="{00000012-2720-5742-945C-92EB96D5E103}"/>
            </c:ext>
          </c:extLst>
        </c:ser>
        <c:ser>
          <c:idx val="19"/>
          <c:order val="19"/>
          <c:tx>
            <c:strRef>
              <c:f>'Revenue projection'!$V$4</c:f>
              <c:strCache>
                <c:ptCount val="1"/>
                <c:pt idx="0">
                  <c:v>Unicorporated Tiagascar</c:v>
                </c:pt>
              </c:strCache>
            </c:strRef>
          </c:tx>
          <c:spPr>
            <a:ln w="28575" cap="rnd">
              <a:solidFill>
                <a:schemeClr val="accent2">
                  <a:lumMod val="80000"/>
                </a:schemeClr>
              </a:solidFill>
              <a:round/>
            </a:ln>
            <a:effectLst/>
          </c:spPr>
          <c:marker>
            <c:symbol val="none"/>
          </c:marker>
          <c:val>
            <c:numRef>
              <c:f>'Revenue projection'!$V$5:$V$20</c:f>
            </c:numRef>
          </c:val>
          <c:smooth val="0"/>
          <c:extLst>
            <c:ext xmlns:c16="http://schemas.microsoft.com/office/drawing/2014/chart" uri="{C3380CC4-5D6E-409C-BE32-E72D297353CC}">
              <c16:uniqueId val="{00000013-2720-5742-945C-92EB96D5E103}"/>
            </c:ext>
          </c:extLst>
        </c:ser>
        <c:ser>
          <c:idx val="20"/>
          <c:order val="20"/>
          <c:tx>
            <c:strRef>
              <c:f>'Revenue projection'!$W$4</c:f>
              <c:strCache>
                <c:ptCount val="1"/>
                <c:pt idx="0">
                  <c:v>Xikong</c:v>
                </c:pt>
              </c:strCache>
            </c:strRef>
          </c:tx>
          <c:spPr>
            <a:ln w="28575" cap="rnd">
              <a:solidFill>
                <a:schemeClr val="accent3">
                  <a:lumMod val="80000"/>
                </a:schemeClr>
              </a:solidFill>
              <a:round/>
            </a:ln>
            <a:effectLst/>
          </c:spPr>
          <c:marker>
            <c:symbol val="none"/>
          </c:marker>
          <c:val>
            <c:numRef>
              <c:f>'Revenue projection'!$W$5:$W$20</c:f>
            </c:numRef>
          </c:val>
          <c:smooth val="0"/>
          <c:extLst>
            <c:ext xmlns:c16="http://schemas.microsoft.com/office/drawing/2014/chart" uri="{C3380CC4-5D6E-409C-BE32-E72D297353CC}">
              <c16:uniqueId val="{00000014-2720-5742-945C-92EB96D5E103}"/>
            </c:ext>
          </c:extLst>
        </c:ser>
        <c:dLbls>
          <c:showLegendKey val="0"/>
          <c:showVal val="0"/>
          <c:showCatName val="0"/>
          <c:showSerName val="0"/>
          <c:showPercent val="0"/>
          <c:showBubbleSize val="0"/>
        </c:dLbls>
        <c:smooth val="0"/>
        <c:axId val="75129295"/>
        <c:axId val="75339871"/>
      </c:lineChart>
      <c:catAx>
        <c:axId val="7512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39871"/>
        <c:crosses val="autoZero"/>
        <c:auto val="1"/>
        <c:lblAlgn val="ctr"/>
        <c:lblOffset val="100"/>
        <c:noMultiLvlLbl val="0"/>
      </c:catAx>
      <c:valAx>
        <c:axId val="75339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292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'Expense projection'!$B$6</c:f>
          <c:strCache>
            <c:ptCount val="1"/>
            <c:pt idx="0">
              <c:v>Per Capita
Other
Expenses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0914785651793527E-2"/>
          <c:y val="9.9976247030878859E-2"/>
          <c:w val="0.96486299212598425"/>
          <c:h val="0.72585837993528723"/>
        </c:manualLayout>
      </c:layout>
      <c:lineChart>
        <c:grouping val="standard"/>
        <c:varyColors val="0"/>
        <c:ser>
          <c:idx val="0"/>
          <c:order val="0"/>
          <c:tx>
            <c:strRef>
              <c:f>'Expense projection'!$C$8</c:f>
              <c:strCache>
                <c:ptCount val="1"/>
                <c:pt idx="0">
                  <c:v>Bernepamar</c:v>
                </c:pt>
              </c:strCache>
            </c:strRef>
          </c:tx>
          <c:spPr>
            <a:ln w="28575" cap="rnd">
              <a:solidFill>
                <a:schemeClr val="accent1"/>
              </a:solidFill>
              <a:round/>
            </a:ln>
            <a:effectLst/>
          </c:spPr>
          <c:marker>
            <c:symbol val="none"/>
          </c:marker>
          <c:val>
            <c:numRef>
              <c:f>'Expense projection'!$C$9:$C$24</c:f>
            </c:numRef>
          </c:val>
          <c:smooth val="0"/>
          <c:extLst>
            <c:ext xmlns:c16="http://schemas.microsoft.com/office/drawing/2014/chart" uri="{C3380CC4-5D6E-409C-BE32-E72D297353CC}">
              <c16:uniqueId val="{00000000-DEBD-FA4D-AAD0-C35D0CCEE1D3}"/>
            </c:ext>
          </c:extLst>
        </c:ser>
        <c:ser>
          <c:idx val="1"/>
          <c:order val="1"/>
          <c:tx>
            <c:strRef>
              <c:f>'Expense projection'!$D$8</c:f>
              <c:strCache>
                <c:ptCount val="1"/>
                <c:pt idx="0">
                  <c:v>Byasier Pujan</c:v>
                </c:pt>
              </c:strCache>
            </c:strRef>
          </c:tx>
          <c:spPr>
            <a:ln w="28575" cap="rnd">
              <a:solidFill>
                <a:schemeClr val="accent2"/>
              </a:solidFill>
              <a:round/>
            </a:ln>
            <a:effectLst/>
          </c:spPr>
          <c:marker>
            <c:symbol val="none"/>
          </c:marker>
          <c:val>
            <c:numRef>
              <c:f>'Expense projection'!$D$9:$D$24</c:f>
            </c:numRef>
          </c:val>
          <c:smooth val="0"/>
          <c:extLst>
            <c:ext xmlns:c16="http://schemas.microsoft.com/office/drawing/2014/chart" uri="{C3380CC4-5D6E-409C-BE32-E72D297353CC}">
              <c16:uniqueId val="{00000001-DEBD-FA4D-AAD0-C35D0CCEE1D3}"/>
            </c:ext>
          </c:extLst>
        </c:ser>
        <c:ser>
          <c:idx val="2"/>
          <c:order val="2"/>
          <c:tx>
            <c:strRef>
              <c:f>'Expense projection'!$E$8</c:f>
              <c:strCache>
                <c:ptCount val="1"/>
                <c:pt idx="0">
                  <c:v>Cuandbo</c:v>
                </c:pt>
              </c:strCache>
            </c:strRef>
          </c:tx>
          <c:spPr>
            <a:ln w="28575" cap="rnd">
              <a:solidFill>
                <a:schemeClr val="accent3"/>
              </a:solidFill>
              <a:round/>
            </a:ln>
            <a:effectLst/>
          </c:spPr>
          <c:marker>
            <c:symbol val="none"/>
          </c:marker>
          <c:val>
            <c:numRef>
              <c:f>'Expense projection'!$E$9:$E$24</c:f>
            </c:numRef>
          </c:val>
          <c:smooth val="0"/>
          <c:extLst>
            <c:ext xmlns:c16="http://schemas.microsoft.com/office/drawing/2014/chart" uri="{C3380CC4-5D6E-409C-BE32-E72D297353CC}">
              <c16:uniqueId val="{00000002-DEBD-FA4D-AAD0-C35D0CCEE1D3}"/>
            </c:ext>
          </c:extLst>
        </c:ser>
        <c:ser>
          <c:idx val="3"/>
          <c:order val="3"/>
          <c:tx>
            <c:strRef>
              <c:f>'Expense projection'!$F$8</c:f>
              <c:strCache>
                <c:ptCount val="1"/>
                <c:pt idx="0">
                  <c:v>Djipines</c:v>
                </c:pt>
              </c:strCache>
            </c:strRef>
          </c:tx>
          <c:spPr>
            <a:ln w="28575" cap="rnd">
              <a:solidFill>
                <a:schemeClr val="accent4"/>
              </a:solidFill>
              <a:round/>
            </a:ln>
            <a:effectLst/>
          </c:spPr>
          <c:marker>
            <c:symbol val="none"/>
          </c:marker>
          <c:val>
            <c:numRef>
              <c:f>'Expense projection'!$F$9:$F$24</c:f>
            </c:numRef>
          </c:val>
          <c:smooth val="0"/>
          <c:extLst>
            <c:ext xmlns:c16="http://schemas.microsoft.com/office/drawing/2014/chart" uri="{C3380CC4-5D6E-409C-BE32-E72D297353CC}">
              <c16:uniqueId val="{00000003-DEBD-FA4D-AAD0-C35D0CCEE1D3}"/>
            </c:ext>
          </c:extLst>
        </c:ser>
        <c:ser>
          <c:idx val="4"/>
          <c:order val="4"/>
          <c:tx>
            <c:strRef>
              <c:f>'Expense projection'!$G$8</c:f>
              <c:strCache>
                <c:ptCount val="1"/>
                <c:pt idx="0">
                  <c:v>Dosqaly</c:v>
                </c:pt>
              </c:strCache>
            </c:strRef>
          </c:tx>
          <c:spPr>
            <a:ln w="28575" cap="rnd">
              <a:solidFill>
                <a:schemeClr val="accent5"/>
              </a:solidFill>
              <a:round/>
            </a:ln>
            <a:effectLst/>
          </c:spPr>
          <c:marker>
            <c:symbol val="none"/>
          </c:marker>
          <c:val>
            <c:numRef>
              <c:f>'Expense projection'!$G$9:$G$24</c:f>
            </c:numRef>
          </c:val>
          <c:smooth val="0"/>
          <c:extLst>
            <c:ext xmlns:c16="http://schemas.microsoft.com/office/drawing/2014/chart" uri="{C3380CC4-5D6E-409C-BE32-E72D297353CC}">
              <c16:uniqueId val="{00000004-DEBD-FA4D-AAD0-C35D0CCEE1D3}"/>
            </c:ext>
          </c:extLst>
        </c:ser>
        <c:ser>
          <c:idx val="5"/>
          <c:order val="5"/>
          <c:tx>
            <c:strRef>
              <c:f>'Expense projection'!$H$8</c:f>
              <c:strCache>
                <c:ptCount val="1"/>
                <c:pt idx="0">
                  <c:v>Eastern Sleboube</c:v>
                </c:pt>
              </c:strCache>
            </c:strRef>
          </c:tx>
          <c:spPr>
            <a:ln w="28575" cap="rnd">
              <a:solidFill>
                <a:schemeClr val="accent6"/>
              </a:solidFill>
              <a:round/>
            </a:ln>
            <a:effectLst/>
          </c:spPr>
          <c:marker>
            <c:symbol val="none"/>
          </c:marker>
          <c:val>
            <c:numRef>
              <c:f>'Expense projection'!$H$9:$H$24</c:f>
            </c:numRef>
          </c:val>
          <c:smooth val="0"/>
          <c:extLst>
            <c:ext xmlns:c16="http://schemas.microsoft.com/office/drawing/2014/chart" uri="{C3380CC4-5D6E-409C-BE32-E72D297353CC}">
              <c16:uniqueId val="{00000006-DEBD-FA4D-AAD0-C35D0CCEE1D3}"/>
            </c:ext>
          </c:extLst>
        </c:ser>
        <c:ser>
          <c:idx val="6"/>
          <c:order val="6"/>
          <c:tx>
            <c:strRef>
              <c:f>'Expense projection'!$I$8</c:f>
              <c:strCache>
                <c:ptCount val="1"/>
                <c:pt idx="0">
                  <c:v>Esia</c:v>
                </c:pt>
              </c:strCache>
            </c:strRef>
          </c:tx>
          <c:spPr>
            <a:ln w="28575" cap="rnd">
              <a:solidFill>
                <a:schemeClr val="accent1">
                  <a:lumMod val="60000"/>
                </a:schemeClr>
              </a:solidFill>
              <a:round/>
            </a:ln>
            <a:effectLst/>
          </c:spPr>
          <c:marker>
            <c:symbol val="none"/>
          </c:marker>
          <c:val>
            <c:numRef>
              <c:f>'Expense projection'!$I$9:$I$24</c:f>
            </c:numRef>
          </c:val>
          <c:smooth val="0"/>
          <c:extLst>
            <c:ext xmlns:c16="http://schemas.microsoft.com/office/drawing/2014/chart" uri="{C3380CC4-5D6E-409C-BE32-E72D297353CC}">
              <c16:uniqueId val="{00000007-DEBD-FA4D-AAD0-C35D0CCEE1D3}"/>
            </c:ext>
          </c:extLst>
        </c:ser>
        <c:ser>
          <c:idx val="7"/>
          <c:order val="7"/>
          <c:tx>
            <c:strRef>
              <c:f>'Expense projection'!$J$8</c:f>
              <c:strCache>
                <c:ptCount val="1"/>
                <c:pt idx="0">
                  <c:v>Galamily</c:v>
                </c:pt>
              </c:strCache>
            </c:strRef>
          </c:tx>
          <c:spPr>
            <a:ln w="28575" cap="rnd">
              <a:solidFill>
                <a:schemeClr val="accent2">
                  <a:lumMod val="60000"/>
                </a:schemeClr>
              </a:solidFill>
              <a:round/>
            </a:ln>
            <a:effectLst/>
          </c:spPr>
          <c:marker>
            <c:symbol val="none"/>
          </c:marker>
          <c:val>
            <c:numRef>
              <c:f>'Expense projection'!$J$9:$J$24</c:f>
            </c:numRef>
          </c:val>
          <c:smooth val="0"/>
          <c:extLst>
            <c:ext xmlns:c16="http://schemas.microsoft.com/office/drawing/2014/chart" uri="{C3380CC4-5D6E-409C-BE32-E72D297353CC}">
              <c16:uniqueId val="{00000008-DEBD-FA4D-AAD0-C35D0CCEE1D3}"/>
            </c:ext>
          </c:extLst>
        </c:ser>
        <c:ser>
          <c:idx val="8"/>
          <c:order val="8"/>
          <c:tx>
            <c:strRef>
              <c:f>'Expense projection'!$K$8</c:f>
              <c:strCache>
                <c:ptCount val="1"/>
                <c:pt idx="0">
                  <c:v>Giumle Lizeibon</c:v>
                </c:pt>
              </c:strCache>
            </c:strRef>
          </c:tx>
          <c:spPr>
            <a:ln w="28575" cap="rnd">
              <a:solidFill>
                <a:schemeClr val="accent3">
                  <a:lumMod val="60000"/>
                </a:schemeClr>
              </a:solidFill>
              <a:round/>
            </a:ln>
            <a:effectLst/>
          </c:spPr>
          <c:marker>
            <c:symbol val="none"/>
          </c:marker>
          <c:val>
            <c:numRef>
              <c:f>'Expense projection'!$K$9:$K$24</c:f>
            </c:numRef>
          </c:val>
          <c:smooth val="0"/>
          <c:extLst>
            <c:ext xmlns:c16="http://schemas.microsoft.com/office/drawing/2014/chart" uri="{C3380CC4-5D6E-409C-BE32-E72D297353CC}">
              <c16:uniqueId val="{00000009-DEBD-FA4D-AAD0-C35D0CCEE1D3}"/>
            </c:ext>
          </c:extLst>
        </c:ser>
        <c:ser>
          <c:idx val="9"/>
          <c:order val="9"/>
          <c:tx>
            <c:strRef>
              <c:f>'Expense projection'!$L$8</c:f>
              <c:strCache>
                <c:ptCount val="1"/>
                <c:pt idx="0">
                  <c:v>Greri Landmoslands</c:v>
                </c:pt>
              </c:strCache>
            </c:strRef>
          </c:tx>
          <c:spPr>
            <a:ln w="28575" cap="rnd">
              <a:solidFill>
                <a:schemeClr val="accent4">
                  <a:lumMod val="60000"/>
                </a:schemeClr>
              </a:solidFill>
              <a:round/>
            </a:ln>
            <a:effectLst/>
          </c:spPr>
          <c:marker>
            <c:symbol val="none"/>
          </c:marker>
          <c:val>
            <c:numRef>
              <c:f>'Expense projection'!$L$9:$L$24</c:f>
            </c:numRef>
          </c:val>
          <c:smooth val="0"/>
          <c:extLst>
            <c:ext xmlns:c16="http://schemas.microsoft.com/office/drawing/2014/chart" uri="{C3380CC4-5D6E-409C-BE32-E72D297353CC}">
              <c16:uniqueId val="{0000000A-DEBD-FA4D-AAD0-C35D0CCEE1D3}"/>
            </c:ext>
          </c:extLst>
        </c:ser>
        <c:ser>
          <c:idx val="10"/>
          <c:order val="10"/>
          <c:tx>
            <c:strRef>
              <c:f>'Expense projection'!$M$8</c:f>
              <c:strCache>
                <c:ptCount val="1"/>
                <c:pt idx="0">
                  <c:v>Manlisgamncent</c:v>
                </c:pt>
              </c:strCache>
            </c:strRef>
          </c:tx>
          <c:spPr>
            <a:ln w="28575" cap="rnd">
              <a:solidFill>
                <a:schemeClr val="accent5">
                  <a:lumMod val="60000"/>
                </a:schemeClr>
              </a:solidFill>
              <a:round/>
            </a:ln>
            <a:effectLst/>
          </c:spPr>
          <c:marker>
            <c:symbol val="none"/>
          </c:marker>
          <c:val>
            <c:numRef>
              <c:f>'Expense projection'!$M$9:$M$24</c:f>
            </c:numRef>
          </c:val>
          <c:smooth val="0"/>
          <c:extLst>
            <c:ext xmlns:c16="http://schemas.microsoft.com/office/drawing/2014/chart" uri="{C3380CC4-5D6E-409C-BE32-E72D297353CC}">
              <c16:uniqueId val="{0000000B-DEBD-FA4D-AAD0-C35D0CCEE1D3}"/>
            </c:ext>
          </c:extLst>
        </c:ser>
        <c:ser>
          <c:idx val="11"/>
          <c:order val="11"/>
          <c:tx>
            <c:strRef>
              <c:f>'Expense projection'!$N$8</c:f>
              <c:strCache>
                <c:ptCount val="1"/>
                <c:pt idx="0">
                  <c:v>Mico</c:v>
                </c:pt>
              </c:strCache>
            </c:strRef>
          </c:tx>
          <c:spPr>
            <a:ln w="28575" cap="rnd">
              <a:solidFill>
                <a:schemeClr val="accent6">
                  <a:lumMod val="60000"/>
                </a:schemeClr>
              </a:solidFill>
              <a:round/>
            </a:ln>
            <a:effectLst/>
          </c:spPr>
          <c:marker>
            <c:symbol val="none"/>
          </c:marker>
          <c:val>
            <c:numRef>
              <c:f>'Expense projection'!$N$9:$N$24</c:f>
            </c:numRef>
          </c:val>
          <c:smooth val="0"/>
          <c:extLst>
            <c:ext xmlns:c16="http://schemas.microsoft.com/office/drawing/2014/chart" uri="{C3380CC4-5D6E-409C-BE32-E72D297353CC}">
              <c16:uniqueId val="{0000000C-DEBD-FA4D-AAD0-C35D0CCEE1D3}"/>
            </c:ext>
          </c:extLst>
        </c:ser>
        <c:ser>
          <c:idx val="12"/>
          <c:order val="12"/>
          <c:tx>
            <c:strRef>
              <c:f>'Expense projection'!$O$8</c:f>
              <c:strCache>
                <c:ptCount val="1"/>
                <c:pt idx="0">
                  <c:v>Nganion</c:v>
                </c:pt>
              </c:strCache>
            </c:strRef>
          </c:tx>
          <c:spPr>
            <a:ln w="28575" cap="rnd">
              <a:solidFill>
                <a:schemeClr val="accent1">
                  <a:lumMod val="80000"/>
                  <a:lumOff val="20000"/>
                </a:schemeClr>
              </a:solidFill>
              <a:round/>
            </a:ln>
            <a:effectLst/>
          </c:spPr>
          <c:marker>
            <c:symbol val="none"/>
          </c:marker>
          <c:val>
            <c:numRef>
              <c:f>'Expense projection'!$O$9:$O$24</c:f>
            </c:numRef>
          </c:val>
          <c:smooth val="0"/>
          <c:extLst>
            <c:ext xmlns:c16="http://schemas.microsoft.com/office/drawing/2014/chart" uri="{C3380CC4-5D6E-409C-BE32-E72D297353CC}">
              <c16:uniqueId val="{0000000D-DEBD-FA4D-AAD0-C35D0CCEE1D3}"/>
            </c:ext>
          </c:extLst>
        </c:ser>
        <c:ser>
          <c:idx val="13"/>
          <c:order val="13"/>
          <c:tx>
            <c:strRef>
              <c:f>'Expense projection'!$P$8</c:f>
              <c:strCache>
                <c:ptCount val="1"/>
                <c:pt idx="0">
                  <c:v>Nkasland Cronestan</c:v>
                </c:pt>
              </c:strCache>
            </c:strRef>
          </c:tx>
          <c:spPr>
            <a:ln w="28575" cap="rnd">
              <a:solidFill>
                <a:schemeClr val="accent2">
                  <a:lumMod val="80000"/>
                  <a:lumOff val="20000"/>
                </a:schemeClr>
              </a:solidFill>
              <a:round/>
            </a:ln>
            <a:effectLst/>
          </c:spPr>
          <c:marker>
            <c:symbol val="none"/>
          </c:marker>
          <c:val>
            <c:numRef>
              <c:f>'Expense projection'!$P$9:$P$24</c:f>
            </c:numRef>
          </c:val>
          <c:smooth val="0"/>
          <c:extLst>
            <c:ext xmlns:c16="http://schemas.microsoft.com/office/drawing/2014/chart" uri="{C3380CC4-5D6E-409C-BE32-E72D297353CC}">
              <c16:uniqueId val="{0000000E-DEBD-FA4D-AAD0-C35D0CCEE1D3}"/>
            </c:ext>
          </c:extLst>
        </c:ser>
        <c:ser>
          <c:idx val="14"/>
          <c:order val="14"/>
          <c:tx>
            <c:strRef>
              <c:f>'Expense projection'!$Q$8</c:f>
              <c:strCache>
                <c:ptCount val="1"/>
                <c:pt idx="0">
                  <c:v>People's Land of Maneau</c:v>
                </c:pt>
              </c:strCache>
            </c:strRef>
          </c:tx>
          <c:spPr>
            <a:ln w="28575" cap="rnd">
              <a:solidFill>
                <a:schemeClr val="accent3">
                  <a:lumMod val="80000"/>
                  <a:lumOff val="20000"/>
                </a:schemeClr>
              </a:solidFill>
              <a:round/>
            </a:ln>
            <a:effectLst/>
          </c:spPr>
          <c:marker>
            <c:symbol val="none"/>
          </c:marker>
          <c:val>
            <c:numRef>
              <c:f>'Expense projection'!$Q$9:$Q$24</c:f>
            </c:numRef>
          </c:val>
          <c:smooth val="0"/>
          <c:extLst>
            <c:ext xmlns:c16="http://schemas.microsoft.com/office/drawing/2014/chart" uri="{C3380CC4-5D6E-409C-BE32-E72D297353CC}">
              <c16:uniqueId val="{0000000F-DEBD-FA4D-AAD0-C35D0CCEE1D3}"/>
            </c:ext>
          </c:extLst>
        </c:ser>
        <c:ser>
          <c:idx val="15"/>
          <c:order val="15"/>
          <c:tx>
            <c:strRef>
              <c:f>'Expense projection'!$R$8</c:f>
              <c:strCache>
                <c:ptCount val="1"/>
                <c:pt idx="0">
                  <c:v>Quewenia</c:v>
                </c:pt>
              </c:strCache>
            </c:strRef>
          </c:tx>
          <c:spPr>
            <a:ln w="28575" cap="rnd">
              <a:solidFill>
                <a:schemeClr val="accent4">
                  <a:lumMod val="80000"/>
                  <a:lumOff val="20000"/>
                </a:schemeClr>
              </a:solidFill>
              <a:round/>
            </a:ln>
            <a:effectLst/>
          </c:spPr>
          <c:marker>
            <c:symbol val="none"/>
          </c:marker>
          <c:val>
            <c:numRef>
              <c:f>'Expense projection'!$R$9:$R$24</c:f>
            </c:numRef>
          </c:val>
          <c:smooth val="0"/>
          <c:extLst>
            <c:ext xmlns:c16="http://schemas.microsoft.com/office/drawing/2014/chart" uri="{C3380CC4-5D6E-409C-BE32-E72D297353CC}">
              <c16:uniqueId val="{00000010-DEBD-FA4D-AAD0-C35D0CCEE1D3}"/>
            </c:ext>
          </c:extLst>
        </c:ser>
        <c:ser>
          <c:idx val="16"/>
          <c:order val="16"/>
          <c:tx>
            <c:strRef>
              <c:f>'Expense projection'!$S$8</c:f>
              <c:strCache>
                <c:ptCount val="1"/>
                <c:pt idx="0">
                  <c:v>Rarita</c:v>
                </c:pt>
              </c:strCache>
            </c:strRef>
          </c:tx>
          <c:spPr>
            <a:ln w="28575" cap="rnd">
              <a:solidFill>
                <a:schemeClr val="accent5">
                  <a:lumMod val="80000"/>
                  <a:lumOff val="20000"/>
                </a:schemeClr>
              </a:solidFill>
              <a:round/>
            </a:ln>
            <a:effectLst/>
          </c:spPr>
          <c:marker>
            <c:symbol val="none"/>
          </c:marker>
          <c:val>
            <c:numRef>
              <c:f>'Expense projection'!$S$9:$S$24</c:f>
              <c:numCache>
                <c:formatCode>General</c:formatCode>
                <c:ptCount val="16"/>
                <c:pt idx="0">
                  <c:v>36.5</c:v>
                </c:pt>
                <c:pt idx="1">
                  <c:v>38.11</c:v>
                </c:pt>
                <c:pt idx="2">
                  <c:v>47.94</c:v>
                </c:pt>
                <c:pt idx="3">
                  <c:v>52.83</c:v>
                </c:pt>
                <c:pt idx="4">
                  <c:v>50.44</c:v>
                </c:pt>
                <c:pt idx="5">
                  <c:v>57.943999999999505</c:v>
                </c:pt>
                <c:pt idx="6">
                  <c:v>62.203999999999724</c:v>
                </c:pt>
                <c:pt idx="7">
                  <c:v>66.463999999998123</c:v>
                </c:pt>
                <c:pt idx="8">
                  <c:v>70.723999999998341</c:v>
                </c:pt>
                <c:pt idx="9">
                  <c:v>74.983999999998559</c:v>
                </c:pt>
                <c:pt idx="10">
                  <c:v>79.243999999998778</c:v>
                </c:pt>
                <c:pt idx="11">
                  <c:v>83.503999999998996</c:v>
                </c:pt>
                <c:pt idx="12">
                  <c:v>87.763999999997395</c:v>
                </c:pt>
                <c:pt idx="13">
                  <c:v>92.023999999997613</c:v>
                </c:pt>
                <c:pt idx="14">
                  <c:v>96.283999999997832</c:v>
                </c:pt>
                <c:pt idx="15">
                  <c:v>100.54399999999805</c:v>
                </c:pt>
              </c:numCache>
            </c:numRef>
          </c:val>
          <c:smooth val="0"/>
          <c:extLst>
            <c:ext xmlns:c16="http://schemas.microsoft.com/office/drawing/2014/chart" uri="{C3380CC4-5D6E-409C-BE32-E72D297353CC}">
              <c16:uniqueId val="{00000011-DEBD-FA4D-AAD0-C35D0CCEE1D3}"/>
            </c:ext>
          </c:extLst>
        </c:ser>
        <c:ser>
          <c:idx val="17"/>
          <c:order val="17"/>
          <c:tx>
            <c:strRef>
              <c:f>'Expense projection'!$T$8</c:f>
              <c:strCache>
                <c:ptCount val="1"/>
                <c:pt idx="0">
                  <c:v>Sobianitedrucy</c:v>
                </c:pt>
              </c:strCache>
            </c:strRef>
          </c:tx>
          <c:spPr>
            <a:ln w="28575" cap="rnd">
              <a:solidFill>
                <a:schemeClr val="accent6">
                  <a:lumMod val="80000"/>
                  <a:lumOff val="20000"/>
                </a:schemeClr>
              </a:solidFill>
              <a:round/>
            </a:ln>
            <a:effectLst/>
          </c:spPr>
          <c:marker>
            <c:symbol val="none"/>
          </c:marker>
          <c:val>
            <c:numRef>
              <c:f>'Expense projection'!$T$9:$T$24</c:f>
            </c:numRef>
          </c:val>
          <c:smooth val="0"/>
          <c:extLst>
            <c:ext xmlns:c16="http://schemas.microsoft.com/office/drawing/2014/chart" uri="{C3380CC4-5D6E-409C-BE32-E72D297353CC}">
              <c16:uniqueId val="{00000012-DEBD-FA4D-AAD0-C35D0CCEE1D3}"/>
            </c:ext>
          </c:extLst>
        </c:ser>
        <c:ser>
          <c:idx val="18"/>
          <c:order val="18"/>
          <c:tx>
            <c:strRef>
              <c:f>'Expense projection'!$U$8</c:f>
              <c:strCache>
                <c:ptCount val="1"/>
                <c:pt idx="0">
                  <c:v>Southern Ristan</c:v>
                </c:pt>
              </c:strCache>
            </c:strRef>
          </c:tx>
          <c:spPr>
            <a:ln w="28575" cap="rnd">
              <a:solidFill>
                <a:schemeClr val="accent1">
                  <a:lumMod val="80000"/>
                </a:schemeClr>
              </a:solidFill>
              <a:round/>
            </a:ln>
            <a:effectLst/>
          </c:spPr>
          <c:marker>
            <c:symbol val="none"/>
          </c:marker>
          <c:val>
            <c:numRef>
              <c:f>'Expense projection'!$U$9:$U$24</c:f>
            </c:numRef>
          </c:val>
          <c:smooth val="0"/>
          <c:extLst>
            <c:ext xmlns:c16="http://schemas.microsoft.com/office/drawing/2014/chart" uri="{C3380CC4-5D6E-409C-BE32-E72D297353CC}">
              <c16:uniqueId val="{00000013-DEBD-FA4D-AAD0-C35D0CCEE1D3}"/>
            </c:ext>
          </c:extLst>
        </c:ser>
        <c:ser>
          <c:idx val="19"/>
          <c:order val="19"/>
          <c:tx>
            <c:strRef>
              <c:f>'Expense projection'!$V$8</c:f>
              <c:strCache>
                <c:ptCount val="1"/>
                <c:pt idx="0">
                  <c:v>Unicorporated Tiagascar</c:v>
                </c:pt>
              </c:strCache>
            </c:strRef>
          </c:tx>
          <c:spPr>
            <a:ln w="28575" cap="rnd">
              <a:solidFill>
                <a:schemeClr val="accent2">
                  <a:lumMod val="80000"/>
                </a:schemeClr>
              </a:solidFill>
              <a:round/>
            </a:ln>
            <a:effectLst/>
          </c:spPr>
          <c:marker>
            <c:symbol val="none"/>
          </c:marker>
          <c:val>
            <c:numRef>
              <c:f>'Expense projection'!$V$9:$V$24</c:f>
            </c:numRef>
          </c:val>
          <c:smooth val="0"/>
          <c:extLst>
            <c:ext xmlns:c16="http://schemas.microsoft.com/office/drawing/2014/chart" uri="{C3380CC4-5D6E-409C-BE32-E72D297353CC}">
              <c16:uniqueId val="{00000014-DEBD-FA4D-AAD0-C35D0CCEE1D3}"/>
            </c:ext>
          </c:extLst>
        </c:ser>
        <c:ser>
          <c:idx val="20"/>
          <c:order val="20"/>
          <c:tx>
            <c:strRef>
              <c:f>'Expense projection'!$W$8</c:f>
              <c:strCache>
                <c:ptCount val="1"/>
                <c:pt idx="0">
                  <c:v>Xikong</c:v>
                </c:pt>
              </c:strCache>
            </c:strRef>
          </c:tx>
          <c:spPr>
            <a:ln w="28575" cap="rnd">
              <a:solidFill>
                <a:schemeClr val="accent3">
                  <a:lumMod val="80000"/>
                </a:schemeClr>
              </a:solidFill>
              <a:round/>
            </a:ln>
            <a:effectLst/>
          </c:spPr>
          <c:marker>
            <c:symbol val="none"/>
          </c:marker>
          <c:val>
            <c:numRef>
              <c:f>'Expense projection'!$W$9:$W$24</c:f>
            </c:numRef>
          </c:val>
          <c:smooth val="0"/>
          <c:extLst>
            <c:ext xmlns:c16="http://schemas.microsoft.com/office/drawing/2014/chart" uri="{C3380CC4-5D6E-409C-BE32-E72D297353CC}">
              <c16:uniqueId val="{00000015-DEBD-FA4D-AAD0-C35D0CCEE1D3}"/>
            </c:ext>
          </c:extLst>
        </c:ser>
        <c:dLbls>
          <c:showLegendKey val="0"/>
          <c:showVal val="0"/>
          <c:showCatName val="0"/>
          <c:showSerName val="0"/>
          <c:showPercent val="0"/>
          <c:showBubbleSize val="0"/>
        </c:dLbls>
        <c:smooth val="0"/>
        <c:axId val="75129295"/>
        <c:axId val="75339871"/>
      </c:lineChart>
      <c:catAx>
        <c:axId val="7512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39871"/>
        <c:crosses val="autoZero"/>
        <c:auto val="1"/>
        <c:lblAlgn val="ctr"/>
        <c:lblOffset val="100"/>
        <c:noMultiLvlLbl val="0"/>
      </c:catAx>
      <c:valAx>
        <c:axId val="75339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292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Cashflows!$K$64</c:f>
              <c:strCache>
                <c:ptCount val="1"/>
                <c:pt idx="0">
                  <c:v>10 Year Cashflows</c:v>
                </c:pt>
              </c:strCache>
            </c:strRef>
          </c:tx>
          <c:spPr>
            <a:solidFill>
              <a:schemeClr val="accent1"/>
            </a:solidFill>
            <a:ln>
              <a:noFill/>
            </a:ln>
            <a:effectLst/>
          </c:spPr>
          <c:invertIfNegative val="0"/>
          <c:cat>
            <c:numRef>
              <c:f>Cashflows!$B$65:$B$74</c:f>
              <c:numCache>
                <c:formatCode>General</c:formatCode>
                <c:ptCount val="10"/>
                <c:pt idx="0">
                  <c:v>2022</c:v>
                </c:pt>
                <c:pt idx="1">
                  <c:v>2023</c:v>
                </c:pt>
                <c:pt idx="2">
                  <c:v>2024</c:v>
                </c:pt>
                <c:pt idx="3">
                  <c:v>2025</c:v>
                </c:pt>
                <c:pt idx="4">
                  <c:v>2026</c:v>
                </c:pt>
                <c:pt idx="5">
                  <c:v>2027</c:v>
                </c:pt>
                <c:pt idx="6">
                  <c:v>2028</c:v>
                </c:pt>
                <c:pt idx="7">
                  <c:v>2029</c:v>
                </c:pt>
                <c:pt idx="8">
                  <c:v>2030</c:v>
                </c:pt>
                <c:pt idx="9">
                  <c:v>2031</c:v>
                </c:pt>
              </c:numCache>
            </c:numRef>
          </c:cat>
          <c:val>
            <c:numRef>
              <c:f>Cashflows!$K$65:$K$74</c:f>
              <c:numCache>
                <c:formatCode>_(\∂* #,##0_);_(\∂* \(#,##0\);_(\∂* "-"??_);_(@_)</c:formatCode>
                <c:ptCount val="10"/>
                <c:pt idx="0">
                  <c:v>-18845927.937351443</c:v>
                </c:pt>
                <c:pt idx="1">
                  <c:v>-10046928.085255861</c:v>
                </c:pt>
                <c:pt idx="2">
                  <c:v>-3230989.8660043916</c:v>
                </c:pt>
                <c:pt idx="3">
                  <c:v>2308333.3166707386</c:v>
                </c:pt>
                <c:pt idx="4">
                  <c:v>5912239.8474724256</c:v>
                </c:pt>
                <c:pt idx="5">
                  <c:v>6590821.4474528385</c:v>
                </c:pt>
                <c:pt idx="6">
                  <c:v>5397721.1430239221</c:v>
                </c:pt>
                <c:pt idx="7">
                  <c:v>6032118.091003364</c:v>
                </c:pt>
                <c:pt idx="8">
                  <c:v>4828559.208289085</c:v>
                </c:pt>
                <c:pt idx="9">
                  <c:v>4517464.5182619765</c:v>
                </c:pt>
              </c:numCache>
            </c:numRef>
          </c:val>
          <c:extLst>
            <c:ext xmlns:c16="http://schemas.microsoft.com/office/drawing/2014/chart" uri="{C3380CC4-5D6E-409C-BE32-E72D297353CC}">
              <c16:uniqueId val="{00000000-EEEA-594D-A60B-35B33256A8CD}"/>
            </c:ext>
          </c:extLst>
        </c:ser>
        <c:dLbls>
          <c:showLegendKey val="0"/>
          <c:showVal val="0"/>
          <c:showCatName val="0"/>
          <c:showSerName val="0"/>
          <c:showPercent val="0"/>
          <c:showBubbleSize val="0"/>
        </c:dLbls>
        <c:gapWidth val="57"/>
        <c:overlap val="-27"/>
        <c:axId val="69788127"/>
        <c:axId val="48263071"/>
      </c:barChart>
      <c:catAx>
        <c:axId val="69788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8263071"/>
        <c:crosses val="autoZero"/>
        <c:auto val="1"/>
        <c:lblAlgn val="ctr"/>
        <c:lblOffset val="100"/>
        <c:noMultiLvlLbl val="0"/>
      </c:catAx>
      <c:valAx>
        <c:axId val="48263071"/>
        <c:scaling>
          <c:orientation val="minMax"/>
          <c:min val="-2000000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88127"/>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Cashflows!$J$64</c:f>
          <c:strCache>
            <c:ptCount val="1"/>
            <c:pt idx="0">
              <c:v> Reserve Requirement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Cashflows!$B$65:$B$74</c:f>
              <c:numCache>
                <c:formatCode>General</c:formatCode>
                <c:ptCount val="10"/>
                <c:pt idx="0">
                  <c:v>2022</c:v>
                </c:pt>
                <c:pt idx="1">
                  <c:v>2023</c:v>
                </c:pt>
                <c:pt idx="2">
                  <c:v>2024</c:v>
                </c:pt>
                <c:pt idx="3">
                  <c:v>2025</c:v>
                </c:pt>
                <c:pt idx="4">
                  <c:v>2026</c:v>
                </c:pt>
                <c:pt idx="5">
                  <c:v>2027</c:v>
                </c:pt>
                <c:pt idx="6">
                  <c:v>2028</c:v>
                </c:pt>
                <c:pt idx="7">
                  <c:v>2029</c:v>
                </c:pt>
                <c:pt idx="8">
                  <c:v>2030</c:v>
                </c:pt>
                <c:pt idx="9">
                  <c:v>2031</c:v>
                </c:pt>
              </c:numCache>
            </c:numRef>
          </c:cat>
          <c:val>
            <c:numRef>
              <c:f>Cashflows!$J$65:$J$74</c:f>
              <c:numCache>
                <c:formatCode>_(\∂* #,##0_);_(\∂* \(#,##0\);_(\∂* "-"??_);_(@_)</c:formatCode>
                <c:ptCount val="10"/>
                <c:pt idx="0">
                  <c:v>151659250.52250493</c:v>
                </c:pt>
                <c:pt idx="1">
                  <c:v>125506374.00941038</c:v>
                </c:pt>
                <c:pt idx="2">
                  <c:v>104362176.90556832</c:v>
                </c:pt>
                <c:pt idx="3">
                  <c:v>87520481.749034181</c:v>
                </c:pt>
                <c:pt idx="4">
                  <c:v>74683845.610895574</c:v>
                </c:pt>
                <c:pt idx="5">
                  <c:v>64695359.569290966</c:v>
                </c:pt>
                <c:pt idx="6">
                  <c:v>54718493.31105835</c:v>
                </c:pt>
                <c:pt idx="7">
                  <c:v>42686734.695719004</c:v>
                </c:pt>
                <c:pt idx="8">
                  <c:v>30583136.037335049</c:v>
                </c:pt>
                <c:pt idx="9">
                  <c:v>16040129.973687213</c:v>
                </c:pt>
              </c:numCache>
            </c:numRef>
          </c:val>
          <c:extLst>
            <c:ext xmlns:c16="http://schemas.microsoft.com/office/drawing/2014/chart" uri="{C3380CC4-5D6E-409C-BE32-E72D297353CC}">
              <c16:uniqueId val="{00000000-BE17-354A-83B1-BE2C924CA4A7}"/>
            </c:ext>
          </c:extLst>
        </c:ser>
        <c:dLbls>
          <c:showLegendKey val="0"/>
          <c:showVal val="0"/>
          <c:showCatName val="0"/>
          <c:showSerName val="0"/>
          <c:showPercent val="0"/>
          <c:showBubbleSize val="0"/>
        </c:dLbls>
        <c:gapWidth val="57"/>
        <c:overlap val="-27"/>
        <c:axId val="3041247"/>
        <c:axId val="73705455"/>
      </c:barChart>
      <c:catAx>
        <c:axId val="3041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05455"/>
        <c:crosses val="autoZero"/>
        <c:auto val="1"/>
        <c:lblAlgn val="ctr"/>
        <c:lblOffset val="100"/>
        <c:noMultiLvlLbl val="0"/>
      </c:catAx>
      <c:valAx>
        <c:axId val="7370545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41247"/>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Cashflows!$K$64</c:f>
          <c:strCache>
            <c:ptCount val="1"/>
            <c:pt idx="0">
              <c:v>10 Year Cashflows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10 Year Cashflows</c:v>
          </c:tx>
          <c:spPr>
            <a:solidFill>
              <a:schemeClr val="accent1"/>
            </a:solidFill>
            <a:ln>
              <a:noFill/>
            </a:ln>
            <a:effectLst/>
          </c:spPr>
          <c:invertIfNegative val="0"/>
          <c:cat>
            <c:numRef>
              <c:f>Cashflows!$B$65:$B$74</c:f>
              <c:numCache>
                <c:formatCode>General</c:formatCode>
                <c:ptCount val="10"/>
                <c:pt idx="0">
                  <c:v>2022</c:v>
                </c:pt>
                <c:pt idx="1">
                  <c:v>2023</c:v>
                </c:pt>
                <c:pt idx="2">
                  <c:v>2024</c:v>
                </c:pt>
                <c:pt idx="3">
                  <c:v>2025</c:v>
                </c:pt>
                <c:pt idx="4">
                  <c:v>2026</c:v>
                </c:pt>
                <c:pt idx="5">
                  <c:v>2027</c:v>
                </c:pt>
                <c:pt idx="6">
                  <c:v>2028</c:v>
                </c:pt>
                <c:pt idx="7">
                  <c:v>2029</c:v>
                </c:pt>
                <c:pt idx="8">
                  <c:v>2030</c:v>
                </c:pt>
                <c:pt idx="9">
                  <c:v>2031</c:v>
                </c:pt>
              </c:numCache>
            </c:numRef>
          </c:cat>
          <c:val>
            <c:numRef>
              <c:f>Cashflows!$K$65:$K$74</c:f>
              <c:numCache>
                <c:formatCode>_(\∂* #,##0_);_(\∂* \(#,##0\);_(\∂* "-"??_);_(@_)</c:formatCode>
                <c:ptCount val="10"/>
                <c:pt idx="0">
                  <c:v>-18845927.937351443</c:v>
                </c:pt>
                <c:pt idx="1">
                  <c:v>-10046928.085255861</c:v>
                </c:pt>
                <c:pt idx="2">
                  <c:v>-3230989.8660043916</c:v>
                </c:pt>
                <c:pt idx="3">
                  <c:v>2308333.3166707386</c:v>
                </c:pt>
                <c:pt idx="4">
                  <c:v>5912239.8474724256</c:v>
                </c:pt>
                <c:pt idx="5">
                  <c:v>6590821.4474528385</c:v>
                </c:pt>
                <c:pt idx="6">
                  <c:v>5397721.1430239221</c:v>
                </c:pt>
                <c:pt idx="7">
                  <c:v>6032118.091003364</c:v>
                </c:pt>
                <c:pt idx="8">
                  <c:v>4828559.208289085</c:v>
                </c:pt>
                <c:pt idx="9">
                  <c:v>4517464.5182619765</c:v>
                </c:pt>
              </c:numCache>
            </c:numRef>
          </c:val>
          <c:extLst>
            <c:ext xmlns:c16="http://schemas.microsoft.com/office/drawing/2014/chart" uri="{C3380CC4-5D6E-409C-BE32-E72D297353CC}">
              <c16:uniqueId val="{00000004-39C4-4A0E-8FA4-CCA0E7FA36DC}"/>
            </c:ext>
          </c:extLst>
        </c:ser>
        <c:dLbls>
          <c:showLegendKey val="0"/>
          <c:showVal val="0"/>
          <c:showCatName val="0"/>
          <c:showSerName val="0"/>
          <c:showPercent val="0"/>
          <c:showBubbleSize val="0"/>
        </c:dLbls>
        <c:gapWidth val="33"/>
        <c:overlap val="-30"/>
        <c:axId val="1564431496"/>
        <c:axId val="1429465880"/>
      </c:barChart>
      <c:catAx>
        <c:axId val="1564431496"/>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465880"/>
        <c:crosses val="autoZero"/>
        <c:auto val="1"/>
        <c:lblAlgn val="ctr"/>
        <c:lblOffset val="100"/>
        <c:noMultiLvlLbl val="0"/>
      </c:catAx>
      <c:valAx>
        <c:axId val="14294658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10 Year Cashflows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4431496"/>
        <c:crosses val="autoZero"/>
        <c:crossBetween val="between"/>
        <c:dispUnits>
          <c:builtInUnit val="millions"/>
          <c:dispUnitsLbl>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11</xdr:col>
      <xdr:colOff>0</xdr:colOff>
      <xdr:row>25</xdr:row>
      <xdr:rowOff>0</xdr:rowOff>
    </xdr:from>
    <xdr:to>
      <xdr:col>18</xdr:col>
      <xdr:colOff>0</xdr:colOff>
      <xdr:row>43</xdr:row>
      <xdr:rowOff>0</xdr:rowOff>
    </xdr:to>
    <xdr:graphicFrame macro="">
      <xdr:nvGraphicFramePr>
        <xdr:cNvPr id="3" name="Chart 2">
          <a:extLst>
            <a:ext uri="{FF2B5EF4-FFF2-40B4-BE49-F238E27FC236}">
              <a16:creationId xmlns:a16="http://schemas.microsoft.com/office/drawing/2014/main" id="{D923F424-F8B6-064C-A3AA-9553805E50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3</xdr:row>
      <xdr:rowOff>0</xdr:rowOff>
    </xdr:from>
    <xdr:to>
      <xdr:col>18</xdr:col>
      <xdr:colOff>0</xdr:colOff>
      <xdr:row>24</xdr:row>
      <xdr:rowOff>0</xdr:rowOff>
    </xdr:to>
    <xdr:graphicFrame macro="">
      <xdr:nvGraphicFramePr>
        <xdr:cNvPr id="4" name="Chart 3">
          <a:extLst>
            <a:ext uri="{FF2B5EF4-FFF2-40B4-BE49-F238E27FC236}">
              <a16:creationId xmlns:a16="http://schemas.microsoft.com/office/drawing/2014/main" id="{E6AD0B49-24D3-6F4B-97B9-AD6CCB3C3711}"/>
            </a:ext>
            <a:ext uri="{147F2762-F138-4A5C-976F-8EAC2B608ADB}">
              <a16:predDERef xmlns:a16="http://schemas.microsoft.com/office/drawing/2014/main" pred="{D923F424-F8B6-064C-A3AA-9553805E50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1028700</xdr:colOff>
      <xdr:row>5</xdr:row>
      <xdr:rowOff>38100</xdr:rowOff>
    </xdr:from>
    <xdr:to>
      <xdr:col>13</xdr:col>
      <xdr:colOff>850900</xdr:colOff>
      <xdr:row>31</xdr:row>
      <xdr:rowOff>38100</xdr:rowOff>
    </xdr:to>
    <xdr:graphicFrame macro="">
      <xdr:nvGraphicFramePr>
        <xdr:cNvPr id="2" name="Chart 1">
          <a:extLst>
            <a:ext uri="{FF2B5EF4-FFF2-40B4-BE49-F238E27FC236}">
              <a16:creationId xmlns:a16="http://schemas.microsoft.com/office/drawing/2014/main" id="{589DB2C8-BA9C-4147-86DC-28B8ACA617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776168</xdr:colOff>
      <xdr:row>17</xdr:row>
      <xdr:rowOff>9918</xdr:rowOff>
    </xdr:from>
    <xdr:to>
      <xdr:col>12</xdr:col>
      <xdr:colOff>451846</xdr:colOff>
      <xdr:row>31</xdr:row>
      <xdr:rowOff>108160</xdr:rowOff>
    </xdr:to>
    <xdr:graphicFrame macro="">
      <xdr:nvGraphicFramePr>
        <xdr:cNvPr id="6" name="Chart 3">
          <a:extLst>
            <a:ext uri="{FF2B5EF4-FFF2-40B4-BE49-F238E27FC236}">
              <a16:creationId xmlns:a16="http://schemas.microsoft.com/office/drawing/2014/main" id="{E690D1AC-8A18-4B11-8148-97C442E684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195829</xdr:colOff>
      <xdr:row>48</xdr:row>
      <xdr:rowOff>3567</xdr:rowOff>
    </xdr:from>
    <xdr:to>
      <xdr:col>18</xdr:col>
      <xdr:colOff>438151</xdr:colOff>
      <xdr:row>63</xdr:row>
      <xdr:rowOff>78193</xdr:rowOff>
    </xdr:to>
    <xdr:graphicFrame macro="">
      <xdr:nvGraphicFramePr>
        <xdr:cNvPr id="81" name="Chart 8">
          <a:extLst>
            <a:ext uri="{FF2B5EF4-FFF2-40B4-BE49-F238E27FC236}">
              <a16:creationId xmlns:a16="http://schemas.microsoft.com/office/drawing/2014/main" id="{72156E1C-01DA-4317-B160-9D138F06F6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28</xdr:col>
      <xdr:colOff>127000</xdr:colOff>
      <xdr:row>2</xdr:row>
      <xdr:rowOff>139700</xdr:rowOff>
    </xdr:from>
    <xdr:to>
      <xdr:col>39</xdr:col>
      <xdr:colOff>304800</xdr:colOff>
      <xdr:row>31</xdr:row>
      <xdr:rowOff>139700</xdr:rowOff>
    </xdr:to>
    <xdr:graphicFrame macro="">
      <xdr:nvGraphicFramePr>
        <xdr:cNvPr id="2" name="Chart 1">
          <a:extLst>
            <a:ext uri="{FF2B5EF4-FFF2-40B4-BE49-F238E27FC236}">
              <a16:creationId xmlns:a16="http://schemas.microsoft.com/office/drawing/2014/main" id="{2A4FBC5F-F2F1-7F4F-8CB7-6E34FEBC07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783165</xdr:colOff>
      <xdr:row>54</xdr:row>
      <xdr:rowOff>12700</xdr:rowOff>
    </xdr:from>
    <xdr:to>
      <xdr:col>12</xdr:col>
      <xdr:colOff>788810</xdr:colOff>
      <xdr:row>81</xdr:row>
      <xdr:rowOff>146756</xdr:rowOff>
    </xdr:to>
    <xdr:graphicFrame macro="">
      <xdr:nvGraphicFramePr>
        <xdr:cNvPr id="2" name="Chart 1">
          <a:extLst>
            <a:ext uri="{FF2B5EF4-FFF2-40B4-BE49-F238E27FC236}">
              <a16:creationId xmlns:a16="http://schemas.microsoft.com/office/drawing/2014/main" id="{73C4FCFB-10C0-D849-8D23-0A768E2DA0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1181100</xdr:colOff>
      <xdr:row>76</xdr:row>
      <xdr:rowOff>50800</xdr:rowOff>
    </xdr:from>
    <xdr:to>
      <xdr:col>11</xdr:col>
      <xdr:colOff>263525</xdr:colOff>
      <xdr:row>90</xdr:row>
      <xdr:rowOff>127000</xdr:rowOff>
    </xdr:to>
    <xdr:graphicFrame macro="">
      <xdr:nvGraphicFramePr>
        <xdr:cNvPr id="3" name="Chart 1">
          <a:extLst>
            <a:ext uri="{FF2B5EF4-FFF2-40B4-BE49-F238E27FC236}">
              <a16:creationId xmlns:a16="http://schemas.microsoft.com/office/drawing/2014/main" id="{B86EAD1B-1C29-4E43-A700-CE99339928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1339850</xdr:colOff>
      <xdr:row>91</xdr:row>
      <xdr:rowOff>88900</xdr:rowOff>
    </xdr:from>
    <xdr:to>
      <xdr:col>11</xdr:col>
      <xdr:colOff>260350</xdr:colOff>
      <xdr:row>105</xdr:row>
      <xdr:rowOff>165100</xdr:rowOff>
    </xdr:to>
    <xdr:graphicFrame macro="">
      <xdr:nvGraphicFramePr>
        <xdr:cNvPr id="4" name="Chart 3">
          <a:extLst>
            <a:ext uri="{FF2B5EF4-FFF2-40B4-BE49-F238E27FC236}">
              <a16:creationId xmlns:a16="http://schemas.microsoft.com/office/drawing/2014/main" id="{A12CC859-115B-2F4F-BC44-8CB9E06E81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1616075</xdr:colOff>
      <xdr:row>26</xdr:row>
      <xdr:rowOff>165100</xdr:rowOff>
    </xdr:from>
    <xdr:to>
      <xdr:col>11</xdr:col>
      <xdr:colOff>1054100</xdr:colOff>
      <xdr:row>41</xdr:row>
      <xdr:rowOff>50800</xdr:rowOff>
    </xdr:to>
    <xdr:graphicFrame macro="">
      <xdr:nvGraphicFramePr>
        <xdr:cNvPr id="26" name="Chart 31" descr="Chart type: Clustered Column. '10 Year Cashflows'&#10;&#10;Description automatically generated">
          <a:extLst>
            <a:ext uri="{FF2B5EF4-FFF2-40B4-BE49-F238E27FC236}">
              <a16:creationId xmlns:a16="http://schemas.microsoft.com/office/drawing/2014/main" id="{9C0F6E5A-C936-452A-B0F0-B0E3E67B10B9}"/>
            </a:ext>
            <a:ext uri="{147F2762-F138-4A5C-976F-8EAC2B608ADB}">
              <a16:predDERef xmlns:a16="http://schemas.microsoft.com/office/drawing/2014/main" pred="{A12CC859-115B-2F4F-BC44-8CB9E06E81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0</xdr:colOff>
      <xdr:row>21</xdr:row>
      <xdr:rowOff>0</xdr:rowOff>
    </xdr:from>
    <xdr:to>
      <xdr:col>5</xdr:col>
      <xdr:colOff>707702</xdr:colOff>
      <xdr:row>23</xdr:row>
      <xdr:rowOff>127000</xdr:rowOff>
    </xdr:to>
    <xdr:pic>
      <xdr:nvPicPr>
        <xdr:cNvPr id="2" name="Picture 1">
          <a:extLst>
            <a:ext uri="{FF2B5EF4-FFF2-40B4-BE49-F238E27FC236}">
              <a16:creationId xmlns:a16="http://schemas.microsoft.com/office/drawing/2014/main" id="{152C1AA2-18DF-D543-B14D-D75942060E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35400" y="4279900"/>
          <a:ext cx="22733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D68E0-42F3-3442-A44D-5ECCB8D62116}">
  <sheetPr>
    <tabColor theme="1"/>
  </sheetPr>
  <dimension ref="A1"/>
  <sheetViews>
    <sheetView workbookViewId="0"/>
  </sheetViews>
  <sheetFormatPr baseColWidth="10" defaultColWidth="11.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05829-49B2-F942-99FA-30BF0AA40820}">
  <sheetPr>
    <tabColor theme="7" tint="0.79998168889431442"/>
  </sheetPr>
  <dimension ref="A1:E12"/>
  <sheetViews>
    <sheetView workbookViewId="0"/>
  </sheetViews>
  <sheetFormatPr baseColWidth="10" defaultColWidth="11.5" defaultRowHeight="15" x14ac:dyDescent="0.2"/>
  <sheetData>
    <row r="1" spans="1:5" x14ac:dyDescent="0.2">
      <c r="A1" s="20" t="s">
        <v>0</v>
      </c>
      <c r="B1" s="21"/>
      <c r="C1" s="21"/>
      <c r="D1" s="21"/>
      <c r="E1" s="21"/>
    </row>
    <row r="2" spans="1:5" ht="34" x14ac:dyDescent="0.2">
      <c r="A2" s="22" t="s">
        <v>1</v>
      </c>
      <c r="B2" s="22" t="s">
        <v>2</v>
      </c>
      <c r="C2" s="22" t="s">
        <v>3</v>
      </c>
      <c r="D2" s="22" t="s">
        <v>4</v>
      </c>
      <c r="E2" s="22" t="s">
        <v>5</v>
      </c>
    </row>
    <row r="3" spans="1:5" x14ac:dyDescent="0.2">
      <c r="A3" s="23">
        <v>2011</v>
      </c>
      <c r="B3" s="27">
        <v>1830487</v>
      </c>
      <c r="C3" s="27">
        <v>3030693</v>
      </c>
      <c r="D3" s="27">
        <v>7226446</v>
      </c>
      <c r="E3" s="27">
        <v>12087626</v>
      </c>
    </row>
    <row r="4" spans="1:5" x14ac:dyDescent="0.2">
      <c r="A4" s="28">
        <v>2012</v>
      </c>
      <c r="B4" s="29">
        <v>1839177</v>
      </c>
      <c r="C4" s="29">
        <v>3031099</v>
      </c>
      <c r="D4" s="29">
        <v>7267257</v>
      </c>
      <c r="E4" s="29">
        <v>12137533</v>
      </c>
    </row>
    <row r="5" spans="1:5" x14ac:dyDescent="0.2">
      <c r="A5" s="23">
        <v>2013</v>
      </c>
      <c r="B5" s="27">
        <v>1848062</v>
      </c>
      <c r="C5" s="27">
        <v>3019905</v>
      </c>
      <c r="D5" s="27">
        <v>7307914</v>
      </c>
      <c r="E5" s="27">
        <v>12175881</v>
      </c>
    </row>
    <row r="6" spans="1:5" x14ac:dyDescent="0.2">
      <c r="A6" s="28">
        <v>2014</v>
      </c>
      <c r="B6" s="29">
        <v>1859198</v>
      </c>
      <c r="C6" s="29">
        <v>3010270</v>
      </c>
      <c r="D6" s="29">
        <v>7352123</v>
      </c>
      <c r="E6" s="29">
        <v>12221591</v>
      </c>
    </row>
    <row r="7" spans="1:5" x14ac:dyDescent="0.2">
      <c r="A7" s="23">
        <v>2015</v>
      </c>
      <c r="B7" s="27">
        <v>1872389</v>
      </c>
      <c r="C7" s="27">
        <v>3006228</v>
      </c>
      <c r="D7" s="27">
        <v>7394062</v>
      </c>
      <c r="E7" s="27">
        <v>12272679</v>
      </c>
    </row>
    <row r="8" spans="1:5" x14ac:dyDescent="0.2">
      <c r="A8" s="28">
        <v>2016</v>
      </c>
      <c r="B8" s="29">
        <v>1888325</v>
      </c>
      <c r="C8" s="29">
        <v>3007362</v>
      </c>
      <c r="D8" s="29">
        <v>7435584</v>
      </c>
      <c r="E8" s="29">
        <v>12331271</v>
      </c>
    </row>
    <row r="9" spans="1:5" x14ac:dyDescent="0.2">
      <c r="A9" s="23">
        <v>2017</v>
      </c>
      <c r="B9" s="27">
        <v>1904969</v>
      </c>
      <c r="C9" s="27">
        <v>3011351</v>
      </c>
      <c r="D9" s="27">
        <v>7476687</v>
      </c>
      <c r="E9" s="27">
        <v>12393007</v>
      </c>
    </row>
    <row r="10" spans="1:5" x14ac:dyDescent="0.2">
      <c r="A10" s="28">
        <v>2018</v>
      </c>
      <c r="B10" s="29">
        <v>1920728</v>
      </c>
      <c r="C10" s="29">
        <v>3021994</v>
      </c>
      <c r="D10" s="29">
        <v>7520631</v>
      </c>
      <c r="E10" s="29">
        <v>12463353</v>
      </c>
    </row>
    <row r="11" spans="1:5" x14ac:dyDescent="0.2">
      <c r="A11" s="23">
        <v>2019</v>
      </c>
      <c r="B11" s="27">
        <v>1936433</v>
      </c>
      <c r="C11" s="27">
        <v>3043234</v>
      </c>
      <c r="D11" s="27">
        <v>7569121</v>
      </c>
      <c r="E11" s="27">
        <v>12548788</v>
      </c>
    </row>
    <row r="12" spans="1:5" x14ac:dyDescent="0.2">
      <c r="A12" s="23">
        <v>2020</v>
      </c>
      <c r="B12" s="27">
        <v>1943215</v>
      </c>
      <c r="C12" s="27">
        <v>3020190</v>
      </c>
      <c r="D12" s="27">
        <v>7606067</v>
      </c>
      <c r="E12" s="27">
        <v>12569472</v>
      </c>
    </row>
  </sheetData>
  <conditionalFormatting sqref="A3:E12">
    <cfRule type="expression" dxfId="28" priority="1">
      <formula>ISEVEN(ROW())</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0A74C-8440-F04F-BC21-4D5ABF485E1A}">
  <sheetPr>
    <tabColor theme="7" tint="0.79998168889431442"/>
  </sheetPr>
  <dimension ref="A1:C8"/>
  <sheetViews>
    <sheetView workbookViewId="0">
      <selection activeCell="B3" sqref="B3"/>
    </sheetView>
  </sheetViews>
  <sheetFormatPr baseColWidth="10" defaultColWidth="11.5" defaultRowHeight="15" x14ac:dyDescent="0.2"/>
  <sheetData>
    <row r="1" spans="1:3" x14ac:dyDescent="0.2">
      <c r="A1" s="20" t="s">
        <v>6</v>
      </c>
      <c r="B1" s="21"/>
      <c r="C1" s="21"/>
    </row>
    <row r="2" spans="1:3" ht="34" x14ac:dyDescent="0.2">
      <c r="A2" s="22" t="s">
        <v>1</v>
      </c>
      <c r="B2" s="22" t="s">
        <v>7</v>
      </c>
      <c r="C2" s="22" t="s">
        <v>8</v>
      </c>
    </row>
    <row r="3" spans="1:3" x14ac:dyDescent="0.2">
      <c r="A3" s="28">
        <v>2016</v>
      </c>
      <c r="B3" s="30">
        <v>1.105</v>
      </c>
      <c r="C3" s="30">
        <v>1</v>
      </c>
    </row>
    <row r="4" spans="1:3" x14ac:dyDescent="0.2">
      <c r="A4" s="23">
        <v>2017</v>
      </c>
      <c r="B4" s="30">
        <v>1.1259999999999999</v>
      </c>
      <c r="C4" s="30">
        <v>1</v>
      </c>
    </row>
    <row r="5" spans="1:3" x14ac:dyDescent="0.2">
      <c r="A5" s="28">
        <v>2018</v>
      </c>
      <c r="B5" s="30">
        <v>1.179</v>
      </c>
      <c r="C5" s="30">
        <v>1</v>
      </c>
    </row>
    <row r="6" spans="1:3" x14ac:dyDescent="0.2">
      <c r="A6" s="23">
        <v>2019</v>
      </c>
      <c r="B6" s="30">
        <v>1.1180000000000001</v>
      </c>
      <c r="C6" s="30">
        <v>1</v>
      </c>
    </row>
    <row r="7" spans="1:3" x14ac:dyDescent="0.2">
      <c r="A7" s="23">
        <v>2020</v>
      </c>
      <c r="B7" s="30">
        <v>1.141</v>
      </c>
      <c r="C7" s="30">
        <v>1</v>
      </c>
    </row>
    <row r="8" spans="1:3" x14ac:dyDescent="0.2">
      <c r="A8" s="31" t="s">
        <v>9</v>
      </c>
      <c r="B8" s="21"/>
      <c r="C8" s="21"/>
    </row>
  </sheetData>
  <conditionalFormatting sqref="A3:C7">
    <cfRule type="expression" dxfId="27" priority="1">
      <formula>ISODD(ROW())</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2DAE2-C94C-E242-B366-249C46EB0B75}">
  <sheetPr>
    <tabColor theme="7" tint="0.79998168889431442"/>
  </sheetPr>
  <dimension ref="A1:B31"/>
  <sheetViews>
    <sheetView workbookViewId="0"/>
  </sheetViews>
  <sheetFormatPr baseColWidth="10" defaultColWidth="11.5" defaultRowHeight="15" x14ac:dyDescent="0.2"/>
  <sheetData>
    <row r="1" spans="1:2" ht="16" x14ac:dyDescent="0.2">
      <c r="A1" s="6" t="s">
        <v>1</v>
      </c>
      <c r="B1" s="15" t="s">
        <v>10</v>
      </c>
    </row>
    <row r="2" spans="1:2" x14ac:dyDescent="0.2">
      <c r="A2" s="16">
        <v>1991</v>
      </c>
      <c r="B2" s="17">
        <v>9.7299999999999998E-2</v>
      </c>
    </row>
    <row r="3" spans="1:2" x14ac:dyDescent="0.2">
      <c r="A3" s="16">
        <v>1992</v>
      </c>
      <c r="B3" s="17">
        <v>8.0399999999999999E-2</v>
      </c>
    </row>
    <row r="4" spans="1:2" x14ac:dyDescent="0.2">
      <c r="A4" s="16">
        <v>1993</v>
      </c>
      <c r="B4" s="17">
        <v>7.0000000000000007E-2</v>
      </c>
    </row>
    <row r="5" spans="1:2" x14ac:dyDescent="0.2">
      <c r="A5" s="16">
        <v>1994</v>
      </c>
      <c r="B5" s="17">
        <v>4.8000000000000001E-2</v>
      </c>
    </row>
    <row r="6" spans="1:2" x14ac:dyDescent="0.2">
      <c r="A6" s="16">
        <v>1995</v>
      </c>
      <c r="B6" s="17">
        <v>3.3500000000000002E-2</v>
      </c>
    </row>
    <row r="7" spans="1:2" x14ac:dyDescent="0.2">
      <c r="A7" s="16">
        <v>1996</v>
      </c>
      <c r="B7" s="17">
        <v>3.5200000000000002E-2</v>
      </c>
    </row>
    <row r="8" spans="1:2" x14ac:dyDescent="0.2">
      <c r="A8" s="16">
        <v>1997</v>
      </c>
      <c r="B8" s="17">
        <v>5.0900000000000001E-2</v>
      </c>
    </row>
    <row r="9" spans="1:2" x14ac:dyDescent="0.2">
      <c r="A9" s="16">
        <v>1998</v>
      </c>
      <c r="B9" s="17">
        <v>2.58E-2</v>
      </c>
    </row>
    <row r="10" spans="1:2" x14ac:dyDescent="0.2">
      <c r="A10" s="16">
        <v>1999</v>
      </c>
      <c r="B10" s="17">
        <v>1.7899999999999999E-2</v>
      </c>
    </row>
    <row r="11" spans="1:2" x14ac:dyDescent="0.2">
      <c r="A11" s="16">
        <v>2000</v>
      </c>
      <c r="B11" s="17">
        <v>3.0200000000000001E-2</v>
      </c>
    </row>
    <row r="12" spans="1:2" x14ac:dyDescent="0.2">
      <c r="A12" s="16">
        <v>2001</v>
      </c>
      <c r="B12" s="17">
        <v>2.9499999999999998E-2</v>
      </c>
    </row>
    <row r="13" spans="1:2" x14ac:dyDescent="0.2">
      <c r="A13" s="16">
        <v>2002</v>
      </c>
      <c r="B13" s="17">
        <v>1.37E-2</v>
      </c>
    </row>
    <row r="14" spans="1:2" x14ac:dyDescent="0.2">
      <c r="A14" s="16">
        <v>2003</v>
      </c>
      <c r="B14" s="17">
        <v>2.2800000000000001E-2</v>
      </c>
    </row>
    <row r="15" spans="1:2" x14ac:dyDescent="0.2">
      <c r="A15" s="16">
        <v>2004</v>
      </c>
      <c r="B15" s="17">
        <v>3.3399999999999999E-2</v>
      </c>
    </row>
    <row r="16" spans="1:2" x14ac:dyDescent="0.2">
      <c r="A16" s="16">
        <v>2005</v>
      </c>
      <c r="B16" s="17">
        <v>3.5200000000000002E-2</v>
      </c>
    </row>
    <row r="17" spans="1:2" x14ac:dyDescent="0.2">
      <c r="A17" s="16">
        <v>2006</v>
      </c>
      <c r="B17" s="17">
        <v>3.9600000000000003E-2</v>
      </c>
    </row>
    <row r="18" spans="1:2" x14ac:dyDescent="0.2">
      <c r="A18" s="16">
        <v>2007</v>
      </c>
      <c r="B18" s="17">
        <v>4.0300000000000002E-2</v>
      </c>
    </row>
    <row r="19" spans="1:2" x14ac:dyDescent="0.2">
      <c r="A19" s="16">
        <v>2008</v>
      </c>
      <c r="B19" s="17">
        <v>6.4100000000000004E-2</v>
      </c>
    </row>
    <row r="20" spans="1:2" x14ac:dyDescent="0.2">
      <c r="A20" s="16">
        <v>2009</v>
      </c>
      <c r="B20" s="17">
        <v>-1.4200000000000001E-2</v>
      </c>
    </row>
    <row r="21" spans="1:2" x14ac:dyDescent="0.2">
      <c r="A21" s="16">
        <v>2010</v>
      </c>
      <c r="B21" s="17">
        <v>1.38E-2</v>
      </c>
    </row>
    <row r="22" spans="1:2" x14ac:dyDescent="0.2">
      <c r="A22" s="16">
        <v>2011</v>
      </c>
      <c r="B22" s="17">
        <v>3.7600000000000001E-2</v>
      </c>
    </row>
    <row r="23" spans="1:2" x14ac:dyDescent="0.2">
      <c r="A23" s="16">
        <v>2012</v>
      </c>
      <c r="B23" s="17">
        <v>3.09E-2</v>
      </c>
    </row>
    <row r="24" spans="1:2" x14ac:dyDescent="0.2">
      <c r="A24" s="16">
        <v>2013</v>
      </c>
      <c r="B24" s="17">
        <v>2.6499999999999999E-2</v>
      </c>
    </row>
    <row r="25" spans="1:2" x14ac:dyDescent="0.2">
      <c r="A25" s="16">
        <v>2014</v>
      </c>
      <c r="B25" s="17">
        <v>4.7899999999999998E-2</v>
      </c>
    </row>
    <row r="26" spans="1:2" x14ac:dyDescent="0.2">
      <c r="A26" s="16">
        <v>2015</v>
      </c>
      <c r="B26" s="17">
        <v>1.2999999999999999E-2</v>
      </c>
    </row>
    <row r="27" spans="1:2" x14ac:dyDescent="0.2">
      <c r="A27" s="16">
        <v>2016</v>
      </c>
      <c r="B27" s="17">
        <v>1.23E-2</v>
      </c>
    </row>
    <row r="28" spans="1:2" x14ac:dyDescent="0.2">
      <c r="A28" s="16">
        <v>2017</v>
      </c>
      <c r="B28" s="17">
        <v>3.2899999999999999E-2</v>
      </c>
    </row>
    <row r="29" spans="1:2" x14ac:dyDescent="0.2">
      <c r="A29" s="16">
        <v>2018</v>
      </c>
      <c r="B29" s="17">
        <v>4.2299999999999997E-2</v>
      </c>
    </row>
    <row r="30" spans="1:2" x14ac:dyDescent="0.2">
      <c r="A30" s="16">
        <v>2019</v>
      </c>
      <c r="B30" s="17">
        <v>0.03</v>
      </c>
    </row>
    <row r="31" spans="1:2" x14ac:dyDescent="0.2">
      <c r="A31" s="16">
        <v>2020</v>
      </c>
      <c r="B31" s="17">
        <v>1.32E-2</v>
      </c>
    </row>
  </sheetData>
  <conditionalFormatting sqref="A2:B31">
    <cfRule type="expression" dxfId="26" priority="1">
      <formula>ISODD(ROW())</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964DE-019E-B644-A6A4-5185C9E9310C}">
  <sheetPr>
    <tabColor theme="7" tint="0.79998168889431442"/>
  </sheetPr>
  <dimension ref="A1:U23"/>
  <sheetViews>
    <sheetView workbookViewId="0">
      <selection activeCell="F29" sqref="F29"/>
    </sheetView>
  </sheetViews>
  <sheetFormatPr baseColWidth="10" defaultColWidth="11.5" defaultRowHeight="15" x14ac:dyDescent="0.2"/>
  <cols>
    <col min="1" max="1" width="19.5" bestFit="1" customWidth="1"/>
  </cols>
  <sheetData>
    <row r="1" spans="1:21" ht="16" x14ac:dyDescent="0.2">
      <c r="A1" s="1"/>
      <c r="B1" s="2">
        <v>2020</v>
      </c>
      <c r="C1" s="2">
        <v>2020</v>
      </c>
      <c r="D1" s="2">
        <v>2020</v>
      </c>
      <c r="E1" s="2">
        <v>2020</v>
      </c>
      <c r="F1" s="5">
        <v>2019</v>
      </c>
      <c r="G1" s="5">
        <v>2019</v>
      </c>
      <c r="H1" s="5">
        <v>2019</v>
      </c>
      <c r="I1" s="5">
        <v>2019</v>
      </c>
      <c r="J1" s="2">
        <v>2018</v>
      </c>
      <c r="K1" s="2">
        <v>2018</v>
      </c>
      <c r="L1" s="2">
        <v>2018</v>
      </c>
      <c r="M1" s="2">
        <v>2018</v>
      </c>
      <c r="N1" s="5">
        <v>2017</v>
      </c>
      <c r="O1" s="5">
        <v>2017</v>
      </c>
      <c r="P1" s="5">
        <v>2017</v>
      </c>
      <c r="Q1" s="5">
        <v>2017</v>
      </c>
      <c r="R1" s="2">
        <v>2016</v>
      </c>
      <c r="S1" s="2">
        <v>2016</v>
      </c>
      <c r="T1" s="2">
        <v>2016</v>
      </c>
      <c r="U1" s="2">
        <v>2016</v>
      </c>
    </row>
    <row r="2" spans="1:21" ht="51" x14ac:dyDescent="0.2">
      <c r="A2" s="6" t="s">
        <v>11</v>
      </c>
      <c r="B2" s="7" t="s">
        <v>12</v>
      </c>
      <c r="C2" s="8" t="s">
        <v>13</v>
      </c>
      <c r="D2" s="8" t="s">
        <v>14</v>
      </c>
      <c r="E2" s="9" t="s">
        <v>15</v>
      </c>
      <c r="F2" s="10" t="s">
        <v>12</v>
      </c>
      <c r="G2" s="10" t="s">
        <v>13</v>
      </c>
      <c r="H2" s="10" t="s">
        <v>14</v>
      </c>
      <c r="I2" s="10" t="s">
        <v>15</v>
      </c>
      <c r="J2" s="7" t="s">
        <v>12</v>
      </c>
      <c r="K2" s="8" t="s">
        <v>13</v>
      </c>
      <c r="L2" s="8" t="s">
        <v>14</v>
      </c>
      <c r="M2" s="9" t="s">
        <v>15</v>
      </c>
      <c r="N2" s="10" t="s">
        <v>12</v>
      </c>
      <c r="O2" s="10" t="s">
        <v>13</v>
      </c>
      <c r="P2" s="10" t="s">
        <v>14</v>
      </c>
      <c r="Q2" s="10" t="s">
        <v>15</v>
      </c>
      <c r="R2" s="7" t="s">
        <v>12</v>
      </c>
      <c r="S2" s="8" t="s">
        <v>13</v>
      </c>
      <c r="T2" s="8" t="s">
        <v>14</v>
      </c>
      <c r="U2" s="9" t="s">
        <v>15</v>
      </c>
    </row>
    <row r="3" spans="1:21" x14ac:dyDescent="0.2">
      <c r="A3" s="11" t="s">
        <v>16</v>
      </c>
      <c r="B3" s="12">
        <v>155.73000000000002</v>
      </c>
      <c r="C3" s="13">
        <v>30.4</v>
      </c>
      <c r="D3" s="13">
        <v>72.53</v>
      </c>
      <c r="E3" s="14">
        <v>52.8</v>
      </c>
      <c r="F3" s="13">
        <v>193.31</v>
      </c>
      <c r="G3" s="13">
        <v>27.01</v>
      </c>
      <c r="H3" s="13">
        <v>84.21</v>
      </c>
      <c r="I3" s="13">
        <v>82.09</v>
      </c>
      <c r="J3" s="12">
        <v>147.94</v>
      </c>
      <c r="K3" s="13">
        <v>18.43</v>
      </c>
      <c r="L3" s="13">
        <v>51.59</v>
      </c>
      <c r="M3" s="14">
        <v>77.92</v>
      </c>
      <c r="N3" s="13">
        <v>137.35000000000002</v>
      </c>
      <c r="O3" s="13">
        <v>14.68</v>
      </c>
      <c r="P3" s="13">
        <v>54.52</v>
      </c>
      <c r="Q3" s="13">
        <v>68.150000000000006</v>
      </c>
      <c r="R3" s="12">
        <v>93.87</v>
      </c>
      <c r="S3" s="13">
        <v>13.56</v>
      </c>
      <c r="T3" s="13">
        <v>51.63</v>
      </c>
      <c r="U3" s="14">
        <v>28.68</v>
      </c>
    </row>
    <row r="4" spans="1:21" x14ac:dyDescent="0.2">
      <c r="A4" s="11" t="s">
        <v>17</v>
      </c>
      <c r="B4" s="12">
        <v>302.27</v>
      </c>
      <c r="C4" s="13">
        <v>26.38</v>
      </c>
      <c r="D4" s="13">
        <v>119.26</v>
      </c>
      <c r="E4" s="14">
        <v>156.63</v>
      </c>
      <c r="F4" s="13">
        <v>337.11</v>
      </c>
      <c r="G4" s="13">
        <v>34.26</v>
      </c>
      <c r="H4" s="13">
        <v>158.61000000000001</v>
      </c>
      <c r="I4" s="13">
        <v>144.24</v>
      </c>
      <c r="J4" s="12">
        <v>316.52</v>
      </c>
      <c r="K4" s="13">
        <v>35.6</v>
      </c>
      <c r="L4" s="13">
        <v>132.94999999999999</v>
      </c>
      <c r="M4" s="14">
        <v>147.97</v>
      </c>
      <c r="N4" s="13">
        <v>295.43</v>
      </c>
      <c r="O4" s="13">
        <v>33.57</v>
      </c>
      <c r="P4" s="13">
        <v>132.61000000000001</v>
      </c>
      <c r="Q4" s="13">
        <v>129.25</v>
      </c>
      <c r="R4" s="12">
        <v>295.5</v>
      </c>
      <c r="S4" s="13">
        <v>39.4</v>
      </c>
      <c r="T4" s="13">
        <v>121.58</v>
      </c>
      <c r="U4" s="14">
        <v>134.52000000000001</v>
      </c>
    </row>
    <row r="5" spans="1:21" x14ac:dyDescent="0.2">
      <c r="A5" s="11" t="s">
        <v>18</v>
      </c>
      <c r="B5" s="12">
        <v>315.09000000000003</v>
      </c>
      <c r="C5" s="13">
        <v>20.71</v>
      </c>
      <c r="D5" s="13">
        <v>165.68</v>
      </c>
      <c r="E5" s="14">
        <v>128.69999999999999</v>
      </c>
      <c r="F5" s="13">
        <v>317.2</v>
      </c>
      <c r="G5" s="13">
        <v>25.56</v>
      </c>
      <c r="H5" s="13">
        <v>228.5</v>
      </c>
      <c r="I5" s="13">
        <v>63.14</v>
      </c>
      <c r="J5" s="12">
        <v>327.33</v>
      </c>
      <c r="K5" s="13">
        <v>29.2</v>
      </c>
      <c r="L5" s="13">
        <v>245.88</v>
      </c>
      <c r="M5" s="14">
        <v>52.25</v>
      </c>
      <c r="N5" s="13">
        <v>315.69</v>
      </c>
      <c r="O5" s="13">
        <v>26.83</v>
      </c>
      <c r="P5" s="13">
        <v>239.93</v>
      </c>
      <c r="Q5" s="13">
        <v>48.93</v>
      </c>
      <c r="R5" s="12">
        <v>263.39</v>
      </c>
      <c r="S5" s="13">
        <v>38.78</v>
      </c>
      <c r="T5" s="13">
        <v>180.98</v>
      </c>
      <c r="U5" s="14">
        <v>43.63</v>
      </c>
    </row>
    <row r="6" spans="1:21" x14ac:dyDescent="0.2">
      <c r="A6" s="11" t="s">
        <v>19</v>
      </c>
      <c r="B6" s="12">
        <v>426.70000000000005</v>
      </c>
      <c r="C6" s="13">
        <v>95.64</v>
      </c>
      <c r="D6" s="13">
        <v>223.16</v>
      </c>
      <c r="E6" s="14">
        <v>107.9</v>
      </c>
      <c r="F6" s="13">
        <v>449.32000000000005</v>
      </c>
      <c r="G6" s="13">
        <v>123.44</v>
      </c>
      <c r="H6" s="13">
        <v>224.66</v>
      </c>
      <c r="I6" s="13">
        <v>101.22</v>
      </c>
      <c r="J6" s="12">
        <v>317.51</v>
      </c>
      <c r="K6" s="13">
        <v>91.78</v>
      </c>
      <c r="L6" s="13">
        <v>133.94999999999999</v>
      </c>
      <c r="M6" s="14">
        <v>91.78</v>
      </c>
      <c r="N6" s="13">
        <v>261.60000000000002</v>
      </c>
      <c r="O6" s="13">
        <v>87.2</v>
      </c>
      <c r="P6" s="13">
        <v>104.64</v>
      </c>
      <c r="Q6" s="13">
        <v>69.760000000000005</v>
      </c>
      <c r="R6" s="12">
        <v>237.79999999999998</v>
      </c>
      <c r="S6" s="13">
        <v>80.099999999999994</v>
      </c>
      <c r="T6" s="13">
        <v>87.61</v>
      </c>
      <c r="U6" s="14">
        <v>70.09</v>
      </c>
    </row>
    <row r="7" spans="1:21" x14ac:dyDescent="0.2">
      <c r="A7" s="11" t="s">
        <v>20</v>
      </c>
      <c r="B7" s="12">
        <v>291.31</v>
      </c>
      <c r="C7" s="13">
        <v>49.54</v>
      </c>
      <c r="D7" s="13">
        <v>80.77</v>
      </c>
      <c r="E7" s="14">
        <v>161</v>
      </c>
      <c r="F7" s="13">
        <v>343.19</v>
      </c>
      <c r="G7" s="13">
        <v>62.59</v>
      </c>
      <c r="H7" s="13">
        <v>84.72</v>
      </c>
      <c r="I7" s="13">
        <v>195.88</v>
      </c>
      <c r="J7" s="12">
        <v>293.11</v>
      </c>
      <c r="K7" s="13">
        <v>54.62</v>
      </c>
      <c r="L7" s="13">
        <v>69.22</v>
      </c>
      <c r="M7" s="14">
        <v>169.27</v>
      </c>
      <c r="N7" s="13">
        <v>263.55</v>
      </c>
      <c r="O7" s="13">
        <v>48.81</v>
      </c>
      <c r="P7" s="13">
        <v>66.16</v>
      </c>
      <c r="Q7" s="13">
        <v>148.58000000000001</v>
      </c>
      <c r="R7" s="12">
        <v>283.35000000000002</v>
      </c>
      <c r="S7" s="13">
        <v>50.58</v>
      </c>
      <c r="T7" s="13">
        <v>66.89</v>
      </c>
      <c r="U7" s="14">
        <v>165.88</v>
      </c>
    </row>
    <row r="8" spans="1:21" x14ac:dyDescent="0.2">
      <c r="A8" s="11" t="s">
        <v>21</v>
      </c>
      <c r="B8" s="12">
        <v>135.69999999999999</v>
      </c>
      <c r="C8" s="13">
        <v>8.59</v>
      </c>
      <c r="D8" s="13">
        <v>26.91</v>
      </c>
      <c r="E8" s="14">
        <v>100.2</v>
      </c>
      <c r="F8" s="13">
        <v>102.87</v>
      </c>
      <c r="G8" s="13">
        <v>6.29</v>
      </c>
      <c r="H8" s="13">
        <v>8.57</v>
      </c>
      <c r="I8" s="13">
        <v>88.01</v>
      </c>
      <c r="J8" s="12">
        <v>95.4</v>
      </c>
      <c r="K8" s="13">
        <v>5.14</v>
      </c>
      <c r="L8" s="13">
        <v>7.43</v>
      </c>
      <c r="M8" s="14">
        <v>82.83</v>
      </c>
      <c r="N8" s="13">
        <v>103.38</v>
      </c>
      <c r="O8" s="13">
        <v>5.71</v>
      </c>
      <c r="P8" s="13">
        <v>8.57</v>
      </c>
      <c r="Q8" s="13">
        <v>89.1</v>
      </c>
      <c r="R8" s="12">
        <v>112.08</v>
      </c>
      <c r="S8" s="13">
        <v>5.72</v>
      </c>
      <c r="T8" s="13">
        <v>22.87</v>
      </c>
      <c r="U8" s="14">
        <v>83.49</v>
      </c>
    </row>
    <row r="9" spans="1:21" x14ac:dyDescent="0.2">
      <c r="A9" s="11" t="s">
        <v>22</v>
      </c>
      <c r="B9" s="12">
        <v>254.48000000000002</v>
      </c>
      <c r="C9" s="13">
        <v>28.1</v>
      </c>
      <c r="D9" s="13">
        <v>81.48</v>
      </c>
      <c r="E9" s="14">
        <v>144.9</v>
      </c>
      <c r="F9" s="13">
        <v>265.39</v>
      </c>
      <c r="G9" s="13">
        <v>36.99</v>
      </c>
      <c r="H9" s="13">
        <v>84.85</v>
      </c>
      <c r="I9" s="13">
        <v>143.55000000000001</v>
      </c>
      <c r="J9" s="12">
        <v>253.89</v>
      </c>
      <c r="K9" s="13">
        <v>41.91</v>
      </c>
      <c r="L9" s="13">
        <v>71.33</v>
      </c>
      <c r="M9" s="14">
        <v>140.65</v>
      </c>
      <c r="N9" s="13">
        <v>237.68</v>
      </c>
      <c r="O9" s="13">
        <v>39.61</v>
      </c>
      <c r="P9" s="13">
        <v>59.42</v>
      </c>
      <c r="Q9" s="13">
        <v>138.65</v>
      </c>
      <c r="R9" s="12">
        <v>240.60999999999999</v>
      </c>
      <c r="S9" s="13">
        <v>41.39</v>
      </c>
      <c r="T9" s="13">
        <v>60.05</v>
      </c>
      <c r="U9" s="14">
        <v>139.16999999999999</v>
      </c>
    </row>
    <row r="10" spans="1:21" x14ac:dyDescent="0.2">
      <c r="A10" s="11" t="s">
        <v>23</v>
      </c>
      <c r="B10" s="12">
        <v>225.67</v>
      </c>
      <c r="C10" s="13">
        <v>43.4</v>
      </c>
      <c r="D10" s="13">
        <v>121.51</v>
      </c>
      <c r="E10" s="14">
        <v>60.76</v>
      </c>
      <c r="F10" s="13">
        <v>272.23</v>
      </c>
      <c r="G10" s="13">
        <v>52.21</v>
      </c>
      <c r="H10" s="13">
        <v>151.65</v>
      </c>
      <c r="I10" s="13">
        <v>68.37</v>
      </c>
      <c r="J10" s="12">
        <v>204.66000000000003</v>
      </c>
      <c r="K10" s="13">
        <v>46.17</v>
      </c>
      <c r="L10" s="13">
        <v>81.12</v>
      </c>
      <c r="M10" s="14">
        <v>77.37</v>
      </c>
      <c r="N10" s="13">
        <v>247.92000000000002</v>
      </c>
      <c r="O10" s="13">
        <v>55.09</v>
      </c>
      <c r="P10" s="13">
        <v>123.96</v>
      </c>
      <c r="Q10" s="13">
        <v>68.87</v>
      </c>
      <c r="R10" s="12">
        <v>200.87</v>
      </c>
      <c r="S10" s="13">
        <v>35.15</v>
      </c>
      <c r="T10" s="13">
        <v>104.2</v>
      </c>
      <c r="U10" s="14">
        <v>61.52</v>
      </c>
    </row>
    <row r="11" spans="1:21" x14ac:dyDescent="0.2">
      <c r="A11" s="11" t="s">
        <v>24</v>
      </c>
      <c r="B11" s="12">
        <v>253.39</v>
      </c>
      <c r="C11" s="13">
        <v>18.72</v>
      </c>
      <c r="D11" s="13">
        <v>182.84</v>
      </c>
      <c r="E11" s="14">
        <v>51.83</v>
      </c>
      <c r="F11" s="13">
        <v>299.26</v>
      </c>
      <c r="G11" s="13">
        <v>23.13</v>
      </c>
      <c r="H11" s="13">
        <v>209.63</v>
      </c>
      <c r="I11" s="13">
        <v>66.5</v>
      </c>
      <c r="J11" s="12">
        <v>265.74</v>
      </c>
      <c r="K11" s="13">
        <v>27.59</v>
      </c>
      <c r="L11" s="13">
        <v>177.16</v>
      </c>
      <c r="M11" s="14">
        <v>60.99</v>
      </c>
      <c r="N11" s="13">
        <v>291.84999999999997</v>
      </c>
      <c r="O11" s="13">
        <v>27.73</v>
      </c>
      <c r="P11" s="13">
        <v>214.51</v>
      </c>
      <c r="Q11" s="13">
        <v>49.61</v>
      </c>
      <c r="R11" s="12">
        <v>211.59</v>
      </c>
      <c r="S11" s="13">
        <v>22.04</v>
      </c>
      <c r="T11" s="13">
        <v>142.53</v>
      </c>
      <c r="U11" s="14">
        <v>47.02</v>
      </c>
    </row>
    <row r="12" spans="1:21" x14ac:dyDescent="0.2">
      <c r="A12" s="11" t="s">
        <v>25</v>
      </c>
      <c r="B12" s="12">
        <v>332.71000000000004</v>
      </c>
      <c r="C12" s="13">
        <v>49.4</v>
      </c>
      <c r="D12" s="13">
        <v>138.68</v>
      </c>
      <c r="E12" s="14">
        <v>144.63</v>
      </c>
      <c r="F12" s="13">
        <v>360.76</v>
      </c>
      <c r="G12" s="13">
        <v>56.65</v>
      </c>
      <c r="H12" s="13">
        <v>178.29</v>
      </c>
      <c r="I12" s="13">
        <v>125.82</v>
      </c>
      <c r="J12" s="12">
        <v>306.57</v>
      </c>
      <c r="K12" s="13">
        <v>54.87</v>
      </c>
      <c r="L12" s="13">
        <v>149.71</v>
      </c>
      <c r="M12" s="14">
        <v>101.99</v>
      </c>
      <c r="N12" s="13">
        <v>253.08</v>
      </c>
      <c r="O12" s="13">
        <v>47.64</v>
      </c>
      <c r="P12" s="13">
        <v>108.97</v>
      </c>
      <c r="Q12" s="13">
        <v>96.47</v>
      </c>
      <c r="R12" s="12">
        <v>239.99</v>
      </c>
      <c r="S12" s="13">
        <v>45.15</v>
      </c>
      <c r="T12" s="13">
        <v>99.8</v>
      </c>
      <c r="U12" s="14">
        <v>95.04</v>
      </c>
    </row>
    <row r="13" spans="1:21" x14ac:dyDescent="0.2">
      <c r="A13" s="11" t="s">
        <v>26</v>
      </c>
      <c r="B13" s="12">
        <v>335.38</v>
      </c>
      <c r="C13" s="13">
        <v>42.15</v>
      </c>
      <c r="D13" s="13">
        <v>155.78</v>
      </c>
      <c r="E13" s="14">
        <v>137.44999999999999</v>
      </c>
      <c r="F13" s="13">
        <v>339.37</v>
      </c>
      <c r="G13" s="13">
        <v>54.74</v>
      </c>
      <c r="H13" s="13">
        <v>152.35</v>
      </c>
      <c r="I13" s="13">
        <v>132.28</v>
      </c>
      <c r="J13" s="12">
        <v>287.59000000000003</v>
      </c>
      <c r="K13" s="13">
        <v>51.71</v>
      </c>
      <c r="L13" s="13">
        <v>110.68</v>
      </c>
      <c r="M13" s="14">
        <v>125.2</v>
      </c>
      <c r="N13" s="13">
        <v>299.43</v>
      </c>
      <c r="O13" s="13">
        <v>53.05</v>
      </c>
      <c r="P13" s="13">
        <v>113.3</v>
      </c>
      <c r="Q13" s="13">
        <v>133.08000000000001</v>
      </c>
      <c r="R13" s="12">
        <v>252.32</v>
      </c>
      <c r="S13" s="13">
        <v>54.2</v>
      </c>
      <c r="T13" s="13">
        <v>73.739999999999995</v>
      </c>
      <c r="U13" s="14">
        <v>124.38</v>
      </c>
    </row>
    <row r="14" spans="1:21" x14ac:dyDescent="0.2">
      <c r="A14" s="11" t="s">
        <v>27</v>
      </c>
      <c r="B14" s="12">
        <v>433.65</v>
      </c>
      <c r="C14" s="13">
        <v>57.33</v>
      </c>
      <c r="D14" s="13">
        <v>192.32</v>
      </c>
      <c r="E14" s="14">
        <v>184</v>
      </c>
      <c r="F14" s="13">
        <v>475.72</v>
      </c>
      <c r="G14" s="13">
        <v>70.48</v>
      </c>
      <c r="H14" s="13">
        <v>210.5</v>
      </c>
      <c r="I14" s="13">
        <v>194.74</v>
      </c>
      <c r="J14" s="12">
        <v>470.90999999999997</v>
      </c>
      <c r="K14" s="13">
        <v>77.239999999999995</v>
      </c>
      <c r="L14" s="13">
        <v>214.98</v>
      </c>
      <c r="M14" s="14">
        <v>178.69</v>
      </c>
      <c r="N14" s="13">
        <v>400.3</v>
      </c>
      <c r="O14" s="13">
        <v>71.08</v>
      </c>
      <c r="P14" s="13">
        <v>176.77</v>
      </c>
      <c r="Q14" s="13">
        <v>152.44999999999999</v>
      </c>
      <c r="R14" s="12">
        <v>420.77</v>
      </c>
      <c r="S14" s="13">
        <v>87.54</v>
      </c>
      <c r="T14" s="13">
        <v>179.79</v>
      </c>
      <c r="U14" s="14">
        <v>153.44</v>
      </c>
    </row>
    <row r="15" spans="1:21" x14ac:dyDescent="0.2">
      <c r="A15" s="11" t="s">
        <v>28</v>
      </c>
      <c r="B15" s="12">
        <v>441.52000000000004</v>
      </c>
      <c r="C15" s="13">
        <v>78.040000000000006</v>
      </c>
      <c r="D15" s="13">
        <v>153.43</v>
      </c>
      <c r="E15" s="14">
        <v>210.05</v>
      </c>
      <c r="F15" s="13">
        <v>521.65000000000009</v>
      </c>
      <c r="G15" s="13">
        <v>98.62</v>
      </c>
      <c r="H15" s="13">
        <v>184.84</v>
      </c>
      <c r="I15" s="13">
        <v>238.19</v>
      </c>
      <c r="J15" s="12">
        <v>431.7</v>
      </c>
      <c r="K15" s="13">
        <v>90.59</v>
      </c>
      <c r="L15" s="13">
        <v>139.32</v>
      </c>
      <c r="M15" s="14">
        <v>201.79</v>
      </c>
      <c r="N15" s="13">
        <v>407.23</v>
      </c>
      <c r="O15" s="13">
        <v>87.22</v>
      </c>
      <c r="P15" s="13">
        <v>134.91</v>
      </c>
      <c r="Q15" s="13">
        <v>185.1</v>
      </c>
      <c r="R15" s="12">
        <v>389.95</v>
      </c>
      <c r="S15" s="13">
        <v>76.099999999999994</v>
      </c>
      <c r="T15" s="13">
        <v>127.68</v>
      </c>
      <c r="U15" s="14">
        <v>186.17</v>
      </c>
    </row>
    <row r="16" spans="1:21" x14ac:dyDescent="0.2">
      <c r="A16" s="11" t="s">
        <v>29</v>
      </c>
      <c r="B16" s="12">
        <v>216.25</v>
      </c>
      <c r="C16" s="13">
        <v>52.37</v>
      </c>
      <c r="D16" s="13">
        <v>75.150000000000006</v>
      </c>
      <c r="E16" s="14">
        <v>88.73</v>
      </c>
      <c r="F16" s="13">
        <v>252.99</v>
      </c>
      <c r="G16" s="13">
        <v>45.07</v>
      </c>
      <c r="H16" s="13">
        <v>134.25</v>
      </c>
      <c r="I16" s="13">
        <v>73.67</v>
      </c>
      <c r="J16" s="12">
        <v>207.87</v>
      </c>
      <c r="K16" s="13">
        <v>41.19</v>
      </c>
      <c r="L16" s="13">
        <v>109.99</v>
      </c>
      <c r="M16" s="14">
        <v>56.69</v>
      </c>
      <c r="N16" s="13">
        <v>174.44</v>
      </c>
      <c r="O16" s="13">
        <v>27.62</v>
      </c>
      <c r="P16" s="13">
        <v>106.12</v>
      </c>
      <c r="Q16" s="13">
        <v>40.700000000000003</v>
      </c>
      <c r="R16" s="12">
        <v>136.17000000000002</v>
      </c>
      <c r="S16" s="13">
        <v>26.65</v>
      </c>
      <c r="T16" s="13">
        <v>71.72</v>
      </c>
      <c r="U16" s="14">
        <v>37.799999999999997</v>
      </c>
    </row>
    <row r="17" spans="1:21" x14ac:dyDescent="0.2">
      <c r="A17" s="11" t="s">
        <v>30</v>
      </c>
      <c r="B17" s="12">
        <v>385.77</v>
      </c>
      <c r="C17" s="13">
        <v>65.73</v>
      </c>
      <c r="D17" s="13">
        <v>106.24</v>
      </c>
      <c r="E17" s="14">
        <v>213.8</v>
      </c>
      <c r="F17" s="13">
        <v>475.63</v>
      </c>
      <c r="G17" s="13">
        <v>80.83</v>
      </c>
      <c r="H17" s="13">
        <v>183.04</v>
      </c>
      <c r="I17" s="13">
        <v>211.76</v>
      </c>
      <c r="J17" s="12">
        <v>447.46000000000004</v>
      </c>
      <c r="K17" s="13">
        <v>80.62</v>
      </c>
      <c r="L17" s="13">
        <v>154.53</v>
      </c>
      <c r="M17" s="14">
        <v>212.31</v>
      </c>
      <c r="N17" s="13">
        <v>457.14</v>
      </c>
      <c r="O17" s="13">
        <v>84.53</v>
      </c>
      <c r="P17" s="13">
        <v>152.83000000000001</v>
      </c>
      <c r="Q17" s="13">
        <v>219.78</v>
      </c>
      <c r="R17" s="12">
        <v>469.29</v>
      </c>
      <c r="S17" s="13">
        <v>93.31</v>
      </c>
      <c r="T17" s="13">
        <v>128.05000000000001</v>
      </c>
      <c r="U17" s="14">
        <v>247.93</v>
      </c>
    </row>
    <row r="18" spans="1:21" x14ac:dyDescent="0.2">
      <c r="A18" s="11" t="s">
        <v>31</v>
      </c>
      <c r="B18" s="12">
        <v>269.14</v>
      </c>
      <c r="C18" s="13">
        <v>62.43</v>
      </c>
      <c r="D18" s="13">
        <v>94.34</v>
      </c>
      <c r="E18" s="14">
        <v>112.37</v>
      </c>
      <c r="F18" s="13">
        <v>311.59000000000003</v>
      </c>
      <c r="G18" s="13">
        <v>76.150000000000006</v>
      </c>
      <c r="H18" s="13">
        <v>147.41</v>
      </c>
      <c r="I18" s="13">
        <v>88.03</v>
      </c>
      <c r="J18" s="12">
        <v>309.60000000000002</v>
      </c>
      <c r="K18" s="13">
        <v>78.81</v>
      </c>
      <c r="L18" s="13">
        <v>145.65</v>
      </c>
      <c r="M18" s="14">
        <v>85.14</v>
      </c>
      <c r="N18" s="13">
        <v>345.92</v>
      </c>
      <c r="O18" s="13">
        <v>82.23</v>
      </c>
      <c r="P18" s="13">
        <v>166.58</v>
      </c>
      <c r="Q18" s="13">
        <v>97.11</v>
      </c>
      <c r="R18" s="12">
        <v>335.55</v>
      </c>
      <c r="S18" s="13">
        <v>95.87</v>
      </c>
      <c r="T18" s="13">
        <v>137.37</v>
      </c>
      <c r="U18" s="14">
        <v>102.31</v>
      </c>
    </row>
    <row r="19" spans="1:21" x14ac:dyDescent="0.2">
      <c r="A19" s="11" t="s">
        <v>5</v>
      </c>
      <c r="B19" s="12">
        <v>163.13</v>
      </c>
      <c r="C19" s="13">
        <v>24.63</v>
      </c>
      <c r="D19" s="13">
        <v>63.44</v>
      </c>
      <c r="E19" s="14">
        <v>75.06</v>
      </c>
      <c r="F19" s="13">
        <v>183.93</v>
      </c>
      <c r="G19" s="13">
        <v>29.89</v>
      </c>
      <c r="H19" s="13">
        <v>78.61</v>
      </c>
      <c r="I19" s="13">
        <v>75.430000000000007</v>
      </c>
      <c r="J19" s="12">
        <v>163.81</v>
      </c>
      <c r="K19" s="13">
        <v>28.54</v>
      </c>
      <c r="L19" s="13">
        <v>65.41</v>
      </c>
      <c r="M19" s="14">
        <v>69.86</v>
      </c>
      <c r="N19" s="13">
        <v>155.81</v>
      </c>
      <c r="O19" s="13">
        <v>27.05</v>
      </c>
      <c r="P19" s="13">
        <v>64.260000000000005</v>
      </c>
      <c r="Q19" s="13">
        <v>64.5</v>
      </c>
      <c r="R19" s="12">
        <v>146.24</v>
      </c>
      <c r="S19" s="13">
        <v>27.22</v>
      </c>
      <c r="T19" s="13">
        <v>56.27</v>
      </c>
      <c r="U19" s="14">
        <v>62.75</v>
      </c>
    </row>
    <row r="20" spans="1:21" x14ac:dyDescent="0.2">
      <c r="A20" s="11" t="s">
        <v>32</v>
      </c>
      <c r="B20" s="12">
        <v>438.70000000000005</v>
      </c>
      <c r="C20" s="13">
        <v>46.29</v>
      </c>
      <c r="D20" s="13">
        <v>184.08</v>
      </c>
      <c r="E20" s="14">
        <v>208.33</v>
      </c>
      <c r="F20" s="13">
        <v>506.65999999999997</v>
      </c>
      <c r="G20" s="13">
        <v>72.540000000000006</v>
      </c>
      <c r="H20" s="13">
        <v>229.7</v>
      </c>
      <c r="I20" s="13">
        <v>204.42</v>
      </c>
      <c r="J20" s="12">
        <v>428.06</v>
      </c>
      <c r="K20" s="13">
        <v>55.41</v>
      </c>
      <c r="L20" s="13">
        <v>217.29</v>
      </c>
      <c r="M20" s="14">
        <v>155.36000000000001</v>
      </c>
      <c r="N20" s="13">
        <v>441.34000000000003</v>
      </c>
      <c r="O20" s="13">
        <v>56.39</v>
      </c>
      <c r="P20" s="13">
        <v>253.74</v>
      </c>
      <c r="Q20" s="13">
        <v>131.21</v>
      </c>
      <c r="R20" s="12">
        <v>368.13</v>
      </c>
      <c r="S20" s="13">
        <v>47.64</v>
      </c>
      <c r="T20" s="13">
        <v>212.22</v>
      </c>
      <c r="U20" s="14">
        <v>108.27</v>
      </c>
    </row>
    <row r="21" spans="1:21" x14ac:dyDescent="0.2">
      <c r="A21" s="11" t="s">
        <v>33</v>
      </c>
      <c r="B21" s="12">
        <v>444.16999999999996</v>
      </c>
      <c r="C21" s="13">
        <v>69.319999999999993</v>
      </c>
      <c r="D21" s="13">
        <v>143.78</v>
      </c>
      <c r="E21" s="14">
        <v>231.07</v>
      </c>
      <c r="F21" s="13">
        <v>489.37</v>
      </c>
      <c r="G21" s="13">
        <v>93.61</v>
      </c>
      <c r="H21" s="13">
        <v>166.57</v>
      </c>
      <c r="I21" s="13">
        <v>229.19</v>
      </c>
      <c r="J21" s="12">
        <v>486.83000000000004</v>
      </c>
      <c r="K21" s="13">
        <v>92.82</v>
      </c>
      <c r="L21" s="13">
        <v>162.93</v>
      </c>
      <c r="M21" s="14">
        <v>231.08</v>
      </c>
      <c r="N21" s="13">
        <v>439.49</v>
      </c>
      <c r="O21" s="13">
        <v>88.68</v>
      </c>
      <c r="P21" s="13">
        <v>154.54</v>
      </c>
      <c r="Q21" s="13">
        <v>196.27</v>
      </c>
      <c r="R21" s="12">
        <v>405.85</v>
      </c>
      <c r="S21" s="13">
        <v>84.44</v>
      </c>
      <c r="T21" s="13">
        <v>149.25</v>
      </c>
      <c r="U21" s="14">
        <v>172.16</v>
      </c>
    </row>
    <row r="22" spans="1:21" x14ac:dyDescent="0.2">
      <c r="A22" s="11" t="s">
        <v>34</v>
      </c>
      <c r="B22" s="12">
        <v>164.82999999999998</v>
      </c>
      <c r="C22" s="13">
        <v>26.61</v>
      </c>
      <c r="D22" s="13">
        <v>70.22</v>
      </c>
      <c r="E22" s="14">
        <v>68</v>
      </c>
      <c r="F22" s="13">
        <v>238.75</v>
      </c>
      <c r="G22" s="13">
        <v>39.67</v>
      </c>
      <c r="H22" s="13">
        <v>118.27</v>
      </c>
      <c r="I22" s="13">
        <v>80.81</v>
      </c>
      <c r="J22" s="12">
        <v>178.01</v>
      </c>
      <c r="K22" s="13">
        <v>34.29</v>
      </c>
      <c r="L22" s="13">
        <v>66.39</v>
      </c>
      <c r="M22" s="14">
        <v>77.33</v>
      </c>
      <c r="N22" s="13">
        <v>166.41000000000003</v>
      </c>
      <c r="O22" s="13">
        <v>38.35</v>
      </c>
      <c r="P22" s="13">
        <v>59.33</v>
      </c>
      <c r="Q22" s="13">
        <v>68.73</v>
      </c>
      <c r="R22" s="12">
        <v>160.41000000000003</v>
      </c>
      <c r="S22" s="13">
        <v>36.520000000000003</v>
      </c>
      <c r="T22" s="13">
        <v>53.71</v>
      </c>
      <c r="U22" s="14">
        <v>70.180000000000007</v>
      </c>
    </row>
    <row r="23" spans="1:21" x14ac:dyDescent="0.2">
      <c r="A23" s="11" t="s">
        <v>35</v>
      </c>
      <c r="B23" s="12">
        <v>200.35</v>
      </c>
      <c r="C23" s="13">
        <v>30.17</v>
      </c>
      <c r="D23" s="13">
        <v>120.09</v>
      </c>
      <c r="E23" s="14">
        <v>50.09</v>
      </c>
      <c r="F23" s="13">
        <v>223.67</v>
      </c>
      <c r="G23" s="13">
        <v>35.86</v>
      </c>
      <c r="H23" s="13">
        <v>127.03</v>
      </c>
      <c r="I23" s="13">
        <v>60.78</v>
      </c>
      <c r="J23" s="12">
        <v>186.66</v>
      </c>
      <c r="K23" s="13">
        <v>35</v>
      </c>
      <c r="L23" s="13">
        <v>97.01</v>
      </c>
      <c r="M23" s="14">
        <v>54.65</v>
      </c>
      <c r="N23" s="13">
        <v>169.58</v>
      </c>
      <c r="O23" s="13">
        <v>25.47</v>
      </c>
      <c r="P23" s="13">
        <v>100.01</v>
      </c>
      <c r="Q23" s="13">
        <v>44.1</v>
      </c>
      <c r="R23" s="12">
        <v>143.56</v>
      </c>
      <c r="S23" s="13">
        <v>22.67</v>
      </c>
      <c r="T23" s="13">
        <v>87.52</v>
      </c>
      <c r="U23" s="14">
        <v>33.369999999999997</v>
      </c>
    </row>
  </sheetData>
  <conditionalFormatting sqref="A3:F21">
    <cfRule type="expression" dxfId="25" priority="18">
      <formula>ISODD(ROW())</formula>
    </cfRule>
  </conditionalFormatting>
  <conditionalFormatting sqref="A22:F22">
    <cfRule type="expression" dxfId="24" priority="17">
      <formula>ISODD(ROW())</formula>
    </cfRule>
  </conditionalFormatting>
  <conditionalFormatting sqref="A23:F23">
    <cfRule type="expression" dxfId="23" priority="16">
      <formula>ISODD(ROW())</formula>
    </cfRule>
  </conditionalFormatting>
  <conditionalFormatting sqref="G3:I21">
    <cfRule type="expression" dxfId="22" priority="15">
      <formula>ISODD(ROW())</formula>
    </cfRule>
  </conditionalFormatting>
  <conditionalFormatting sqref="G22:I22">
    <cfRule type="expression" dxfId="21" priority="14">
      <formula>ISODD(ROW())</formula>
    </cfRule>
  </conditionalFormatting>
  <conditionalFormatting sqref="G23:I23">
    <cfRule type="expression" dxfId="20" priority="13">
      <formula>ISODD(ROW())</formula>
    </cfRule>
  </conditionalFormatting>
  <conditionalFormatting sqref="N3:P21">
    <cfRule type="expression" dxfId="19" priority="12">
      <formula>ISODD(ROW())</formula>
    </cfRule>
  </conditionalFormatting>
  <conditionalFormatting sqref="N22:P22">
    <cfRule type="expression" dxfId="18" priority="11">
      <formula>ISODD(ROW())</formula>
    </cfRule>
  </conditionalFormatting>
  <conditionalFormatting sqref="N23:P23">
    <cfRule type="expression" dxfId="17" priority="10">
      <formula>ISODD(ROW())</formula>
    </cfRule>
  </conditionalFormatting>
  <conditionalFormatting sqref="Q3:Q21">
    <cfRule type="expression" dxfId="16" priority="9">
      <formula>ISODD(ROW())</formula>
    </cfRule>
  </conditionalFormatting>
  <conditionalFormatting sqref="Q22">
    <cfRule type="expression" dxfId="15" priority="8">
      <formula>ISODD(ROW())</formula>
    </cfRule>
  </conditionalFormatting>
  <conditionalFormatting sqref="Q23">
    <cfRule type="expression" dxfId="14" priority="7">
      <formula>ISODD(ROW())</formula>
    </cfRule>
  </conditionalFormatting>
  <conditionalFormatting sqref="J3:M21">
    <cfRule type="expression" dxfId="13" priority="6">
      <formula>ISODD(ROW())</formula>
    </cfRule>
  </conditionalFormatting>
  <conditionalFormatting sqref="J22:M22">
    <cfRule type="expression" dxfId="12" priority="5">
      <formula>ISODD(ROW())</formula>
    </cfRule>
  </conditionalFormatting>
  <conditionalFormatting sqref="J23:M23">
    <cfRule type="expression" dxfId="11" priority="4">
      <formula>ISODD(ROW())</formula>
    </cfRule>
  </conditionalFormatting>
  <conditionalFormatting sqref="R3:U21">
    <cfRule type="expression" dxfId="10" priority="3">
      <formula>ISODD(ROW())</formula>
    </cfRule>
  </conditionalFormatting>
  <conditionalFormatting sqref="R22:U22">
    <cfRule type="expression" dxfId="9" priority="2">
      <formula>ISODD(ROW())</formula>
    </cfRule>
  </conditionalFormatting>
  <conditionalFormatting sqref="R23:U23">
    <cfRule type="expression" dxfId="8" priority="1">
      <formula>ISODD(ROW())</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79998168889431442"/>
  </sheetPr>
  <dimension ref="A1:P23"/>
  <sheetViews>
    <sheetView workbookViewId="0"/>
  </sheetViews>
  <sheetFormatPr baseColWidth="10" defaultColWidth="8.83203125" defaultRowHeight="15" x14ac:dyDescent="0.2"/>
  <cols>
    <col min="1" max="1" width="19.5" bestFit="1" customWidth="1"/>
  </cols>
  <sheetData>
    <row r="1" spans="1:16" ht="16" x14ac:dyDescent="0.2">
      <c r="A1" s="1"/>
      <c r="B1" s="2">
        <v>2020</v>
      </c>
      <c r="C1" s="3"/>
      <c r="D1" s="4"/>
      <c r="E1" s="5">
        <v>2019</v>
      </c>
      <c r="F1" s="5"/>
      <c r="G1" s="5"/>
      <c r="H1" s="2">
        <v>2018</v>
      </c>
      <c r="I1" s="3"/>
      <c r="J1" s="4"/>
      <c r="K1" s="5">
        <v>2017</v>
      </c>
      <c r="L1" s="5"/>
      <c r="M1" s="5"/>
      <c r="N1" s="2">
        <v>2016</v>
      </c>
      <c r="O1" s="3"/>
      <c r="P1" s="4"/>
    </row>
    <row r="2" spans="1:16" ht="85" x14ac:dyDescent="0.2">
      <c r="A2" s="6" t="s">
        <v>11</v>
      </c>
      <c r="B2" s="7" t="s">
        <v>36</v>
      </c>
      <c r="C2" s="8" t="s">
        <v>37</v>
      </c>
      <c r="D2" s="9" t="s">
        <v>38</v>
      </c>
      <c r="E2" s="10" t="s">
        <v>36</v>
      </c>
      <c r="F2" s="10" t="s">
        <v>37</v>
      </c>
      <c r="G2" s="10" t="s">
        <v>38</v>
      </c>
      <c r="H2" s="7" t="s">
        <v>36</v>
      </c>
      <c r="I2" s="8" t="s">
        <v>37</v>
      </c>
      <c r="J2" s="9" t="s">
        <v>38</v>
      </c>
      <c r="K2" s="10" t="s">
        <v>36</v>
      </c>
      <c r="L2" s="10" t="s">
        <v>37</v>
      </c>
      <c r="M2" s="10" t="s">
        <v>38</v>
      </c>
      <c r="N2" s="7" t="s">
        <v>36</v>
      </c>
      <c r="O2" s="8" t="s">
        <v>37</v>
      </c>
      <c r="P2" s="9" t="s">
        <v>38</v>
      </c>
    </row>
    <row r="3" spans="1:16" x14ac:dyDescent="0.2">
      <c r="A3" s="11" t="s">
        <v>16</v>
      </c>
      <c r="B3" s="12">
        <v>151.12</v>
      </c>
      <c r="C3" s="13">
        <v>95.19</v>
      </c>
      <c r="D3" s="14">
        <v>55.93</v>
      </c>
      <c r="E3" s="13">
        <v>167.54000000000002</v>
      </c>
      <c r="F3" s="13">
        <v>93.5</v>
      </c>
      <c r="G3" s="13">
        <v>74.040000000000006</v>
      </c>
      <c r="H3" s="12">
        <v>123.68</v>
      </c>
      <c r="I3" s="13">
        <v>77.17</v>
      </c>
      <c r="J3" s="14">
        <v>46.51</v>
      </c>
      <c r="K3" s="13">
        <v>100.03</v>
      </c>
      <c r="L3" s="13">
        <v>68.959999999999994</v>
      </c>
      <c r="M3" s="13">
        <v>31.07</v>
      </c>
      <c r="N3" s="12">
        <v>96.51</v>
      </c>
      <c r="O3" s="13">
        <v>60.88</v>
      </c>
      <c r="P3" s="14">
        <v>35.630000000000003</v>
      </c>
    </row>
    <row r="4" spans="1:16" x14ac:dyDescent="0.2">
      <c r="A4" s="11" t="s">
        <v>17</v>
      </c>
      <c r="B4" s="12">
        <v>252</v>
      </c>
      <c r="C4" s="13">
        <v>178.06</v>
      </c>
      <c r="D4" s="14">
        <v>73.94</v>
      </c>
      <c r="E4" s="13">
        <v>269.65999999999997</v>
      </c>
      <c r="F4" s="13">
        <v>169.82</v>
      </c>
      <c r="G4" s="13">
        <v>99.84</v>
      </c>
      <c r="H4" s="12">
        <v>205.76</v>
      </c>
      <c r="I4" s="13">
        <v>144.37</v>
      </c>
      <c r="J4" s="14">
        <v>61.39</v>
      </c>
      <c r="K4" s="13">
        <v>197.18</v>
      </c>
      <c r="L4" s="13">
        <v>133.56</v>
      </c>
      <c r="M4" s="13">
        <v>63.62</v>
      </c>
      <c r="N4" s="12">
        <v>175.18</v>
      </c>
      <c r="O4" s="13">
        <v>134.22</v>
      </c>
      <c r="P4" s="14">
        <v>40.96</v>
      </c>
    </row>
    <row r="5" spans="1:16" x14ac:dyDescent="0.2">
      <c r="A5" s="11" t="s">
        <v>18</v>
      </c>
      <c r="B5" s="12">
        <v>367.87</v>
      </c>
      <c r="C5" s="13">
        <v>249.58</v>
      </c>
      <c r="D5" s="14">
        <v>118.29</v>
      </c>
      <c r="E5" s="13">
        <v>335.33</v>
      </c>
      <c r="F5" s="13">
        <v>235.2</v>
      </c>
      <c r="G5" s="13">
        <v>100.13</v>
      </c>
      <c r="H5" s="12">
        <v>376.84000000000003</v>
      </c>
      <c r="I5" s="13">
        <v>235.74</v>
      </c>
      <c r="J5" s="14">
        <v>141.1</v>
      </c>
      <c r="K5" s="13">
        <v>227.20000000000002</v>
      </c>
      <c r="L5" s="13">
        <v>178.77</v>
      </c>
      <c r="M5" s="13">
        <v>48.43</v>
      </c>
      <c r="N5" s="12">
        <v>260.52</v>
      </c>
      <c r="O5" s="13">
        <v>198.72</v>
      </c>
      <c r="P5" s="14">
        <v>61.8</v>
      </c>
    </row>
    <row r="6" spans="1:16" x14ac:dyDescent="0.2">
      <c r="A6" s="11" t="s">
        <v>19</v>
      </c>
      <c r="B6" s="12">
        <v>414.24</v>
      </c>
      <c r="C6" s="13">
        <v>223.31</v>
      </c>
      <c r="D6" s="14">
        <v>190.93</v>
      </c>
      <c r="E6" s="13">
        <v>361.05</v>
      </c>
      <c r="F6" s="13">
        <v>208.96</v>
      </c>
      <c r="G6" s="13">
        <v>152.09</v>
      </c>
      <c r="H6" s="12">
        <v>253.8</v>
      </c>
      <c r="I6" s="13">
        <v>135.08000000000001</v>
      </c>
      <c r="J6" s="14">
        <v>118.72</v>
      </c>
      <c r="K6" s="13">
        <v>198.35</v>
      </c>
      <c r="L6" s="13">
        <v>114.21</v>
      </c>
      <c r="M6" s="13">
        <v>84.14</v>
      </c>
      <c r="N6" s="12">
        <v>215.99</v>
      </c>
      <c r="O6" s="13">
        <v>122.96</v>
      </c>
      <c r="P6" s="14">
        <v>93.03</v>
      </c>
    </row>
    <row r="7" spans="1:16" x14ac:dyDescent="0.2">
      <c r="A7" s="11" t="s">
        <v>20</v>
      </c>
      <c r="B7" s="12">
        <v>266.90999999999997</v>
      </c>
      <c r="C7" s="13">
        <v>208.94</v>
      </c>
      <c r="D7" s="14">
        <v>57.97</v>
      </c>
      <c r="E7" s="13">
        <v>257.38</v>
      </c>
      <c r="F7" s="13">
        <v>180.57</v>
      </c>
      <c r="G7" s="13">
        <v>76.81</v>
      </c>
      <c r="H7" s="12">
        <v>235.25</v>
      </c>
      <c r="I7" s="13">
        <v>169.03</v>
      </c>
      <c r="J7" s="14">
        <v>66.22</v>
      </c>
      <c r="K7" s="13">
        <v>172.32</v>
      </c>
      <c r="L7" s="13">
        <v>142.75</v>
      </c>
      <c r="M7" s="13">
        <v>29.57</v>
      </c>
      <c r="N7" s="12">
        <v>186.18</v>
      </c>
      <c r="O7" s="13">
        <v>140.97999999999999</v>
      </c>
      <c r="P7" s="14">
        <v>45.2</v>
      </c>
    </row>
    <row r="8" spans="1:16" x14ac:dyDescent="0.2">
      <c r="A8" s="11" t="s">
        <v>21</v>
      </c>
      <c r="B8" s="12"/>
      <c r="C8" s="13"/>
      <c r="D8" s="14"/>
      <c r="E8" s="13"/>
      <c r="F8" s="13"/>
      <c r="G8" s="13"/>
      <c r="H8" s="12"/>
      <c r="I8" s="13"/>
      <c r="J8" s="14"/>
      <c r="K8" s="13"/>
      <c r="L8" s="13"/>
      <c r="M8" s="13"/>
      <c r="N8" s="12"/>
      <c r="O8" s="13"/>
      <c r="P8" s="14"/>
    </row>
    <row r="9" spans="1:16" x14ac:dyDescent="0.2">
      <c r="A9" s="11" t="s">
        <v>22</v>
      </c>
      <c r="B9" s="12">
        <v>237.60000000000002</v>
      </c>
      <c r="C9" s="13">
        <v>147.77000000000001</v>
      </c>
      <c r="D9" s="14">
        <v>89.83</v>
      </c>
      <c r="E9" s="13">
        <v>237.88</v>
      </c>
      <c r="F9" s="13">
        <v>156.94999999999999</v>
      </c>
      <c r="G9" s="13">
        <v>80.930000000000007</v>
      </c>
      <c r="H9" s="12">
        <v>217.60000000000002</v>
      </c>
      <c r="I9" s="13">
        <v>144.36000000000001</v>
      </c>
      <c r="J9" s="14">
        <v>73.239999999999995</v>
      </c>
      <c r="K9" s="13">
        <v>181.56</v>
      </c>
      <c r="L9" s="13">
        <v>96.19</v>
      </c>
      <c r="M9" s="13">
        <v>85.37</v>
      </c>
      <c r="N9" s="12">
        <v>194.52999999999997</v>
      </c>
      <c r="O9" s="13">
        <v>106.32</v>
      </c>
      <c r="P9" s="14">
        <v>88.21</v>
      </c>
    </row>
    <row r="10" spans="1:16" x14ac:dyDescent="0.2">
      <c r="A10" s="11" t="s">
        <v>23</v>
      </c>
      <c r="B10" s="12">
        <v>276.62</v>
      </c>
      <c r="C10" s="13">
        <v>164.4</v>
      </c>
      <c r="D10" s="14">
        <v>112.22</v>
      </c>
      <c r="E10" s="13">
        <v>284.23</v>
      </c>
      <c r="F10" s="13">
        <v>150.41999999999999</v>
      </c>
      <c r="G10" s="13">
        <v>133.81</v>
      </c>
      <c r="H10" s="12">
        <v>295.02999999999997</v>
      </c>
      <c r="I10" s="13">
        <v>153.94</v>
      </c>
      <c r="J10" s="14">
        <v>141.09</v>
      </c>
      <c r="K10" s="13">
        <v>231.32</v>
      </c>
      <c r="L10" s="13">
        <v>133.09</v>
      </c>
      <c r="M10" s="13">
        <v>98.23</v>
      </c>
      <c r="N10" s="12">
        <v>213.41</v>
      </c>
      <c r="O10" s="13">
        <v>137.75</v>
      </c>
      <c r="P10" s="14">
        <v>75.66</v>
      </c>
    </row>
    <row r="11" spans="1:16" x14ac:dyDescent="0.2">
      <c r="A11" s="11" t="s">
        <v>24</v>
      </c>
      <c r="B11" s="12">
        <v>226.46</v>
      </c>
      <c r="C11" s="13">
        <v>180.62</v>
      </c>
      <c r="D11" s="14">
        <v>45.84</v>
      </c>
      <c r="E11" s="13">
        <v>255.31</v>
      </c>
      <c r="F11" s="13">
        <v>199.61</v>
      </c>
      <c r="G11" s="13">
        <v>55.7</v>
      </c>
      <c r="H11" s="12">
        <v>229.89000000000001</v>
      </c>
      <c r="I11" s="13">
        <v>176.3</v>
      </c>
      <c r="J11" s="14">
        <v>53.59</v>
      </c>
      <c r="K11" s="13">
        <v>159.65</v>
      </c>
      <c r="L11" s="13">
        <v>121.13</v>
      </c>
      <c r="M11" s="13">
        <v>38.520000000000003</v>
      </c>
      <c r="N11" s="12">
        <v>157.37</v>
      </c>
      <c r="O11" s="13">
        <v>125.35</v>
      </c>
      <c r="P11" s="14">
        <v>32.020000000000003</v>
      </c>
    </row>
    <row r="12" spans="1:16" x14ac:dyDescent="0.2">
      <c r="A12" s="11" t="s">
        <v>25</v>
      </c>
      <c r="B12" s="12">
        <v>272.53999999999996</v>
      </c>
      <c r="C12" s="13">
        <v>188.79</v>
      </c>
      <c r="D12" s="14">
        <v>83.75</v>
      </c>
      <c r="E12" s="13">
        <v>258.05</v>
      </c>
      <c r="F12" s="13">
        <v>188.68</v>
      </c>
      <c r="G12" s="13">
        <v>69.37</v>
      </c>
      <c r="H12" s="12">
        <v>196.63</v>
      </c>
      <c r="I12" s="13">
        <v>144.58000000000001</v>
      </c>
      <c r="J12" s="14">
        <v>52.05</v>
      </c>
      <c r="K12" s="13">
        <v>178.13</v>
      </c>
      <c r="L12" s="13">
        <v>125.46</v>
      </c>
      <c r="M12" s="13">
        <v>52.67</v>
      </c>
      <c r="N12" s="12">
        <v>196.38</v>
      </c>
      <c r="O12" s="13">
        <v>155.94</v>
      </c>
      <c r="P12" s="14">
        <v>40.44</v>
      </c>
    </row>
    <row r="13" spans="1:16" x14ac:dyDescent="0.2">
      <c r="A13" s="11" t="s">
        <v>26</v>
      </c>
      <c r="B13" s="12">
        <v>304.66000000000003</v>
      </c>
      <c r="C13" s="13">
        <v>180.52</v>
      </c>
      <c r="D13" s="14">
        <v>124.14</v>
      </c>
      <c r="E13" s="13">
        <v>326.82</v>
      </c>
      <c r="F13" s="13">
        <v>183.01</v>
      </c>
      <c r="G13" s="13">
        <v>143.81</v>
      </c>
      <c r="H13" s="12">
        <v>311.86</v>
      </c>
      <c r="I13" s="13">
        <v>158.36000000000001</v>
      </c>
      <c r="J13" s="14">
        <v>153.5</v>
      </c>
      <c r="K13" s="13">
        <v>275.43</v>
      </c>
      <c r="L13" s="13">
        <v>149.80000000000001</v>
      </c>
      <c r="M13" s="13">
        <v>125.63</v>
      </c>
      <c r="N13" s="12">
        <v>243.02</v>
      </c>
      <c r="O13" s="13">
        <v>155.05000000000001</v>
      </c>
      <c r="P13" s="14">
        <v>87.97</v>
      </c>
    </row>
    <row r="14" spans="1:16" x14ac:dyDescent="0.2">
      <c r="A14" s="11" t="s">
        <v>27</v>
      </c>
      <c r="B14" s="12">
        <v>358.9</v>
      </c>
      <c r="C14" s="13">
        <v>240.75</v>
      </c>
      <c r="D14" s="14">
        <v>118.15</v>
      </c>
      <c r="E14" s="13">
        <v>424.08000000000004</v>
      </c>
      <c r="F14" s="13">
        <v>297.85000000000002</v>
      </c>
      <c r="G14" s="13">
        <v>126.23</v>
      </c>
      <c r="H14" s="12">
        <v>354.56</v>
      </c>
      <c r="I14" s="13">
        <v>248.88</v>
      </c>
      <c r="J14" s="14">
        <v>105.68</v>
      </c>
      <c r="K14" s="13">
        <v>297.14</v>
      </c>
      <c r="L14" s="13">
        <v>212.79</v>
      </c>
      <c r="M14" s="13">
        <v>84.35</v>
      </c>
      <c r="N14" s="12">
        <v>377.56</v>
      </c>
      <c r="O14" s="13">
        <v>266.79000000000002</v>
      </c>
      <c r="P14" s="14">
        <v>110.77</v>
      </c>
    </row>
    <row r="15" spans="1:16" x14ac:dyDescent="0.2">
      <c r="A15" s="11" t="s">
        <v>28</v>
      </c>
      <c r="B15" s="12">
        <v>435.28000000000003</v>
      </c>
      <c r="C15" s="13">
        <v>303.42</v>
      </c>
      <c r="D15" s="14">
        <v>131.86000000000001</v>
      </c>
      <c r="E15" s="13">
        <v>449.75</v>
      </c>
      <c r="F15" s="13">
        <v>300.64</v>
      </c>
      <c r="G15" s="13">
        <v>149.11000000000001</v>
      </c>
      <c r="H15" s="12">
        <v>453.06000000000006</v>
      </c>
      <c r="I15" s="13">
        <v>317.60000000000002</v>
      </c>
      <c r="J15" s="14">
        <v>135.46</v>
      </c>
      <c r="K15" s="13">
        <v>295.58000000000004</v>
      </c>
      <c r="L15" s="13">
        <v>232.49</v>
      </c>
      <c r="M15" s="13">
        <v>63.09</v>
      </c>
      <c r="N15" s="12">
        <v>315.36</v>
      </c>
      <c r="O15" s="13">
        <v>252.69</v>
      </c>
      <c r="P15" s="14">
        <v>62.67</v>
      </c>
    </row>
    <row r="16" spans="1:16" x14ac:dyDescent="0.2">
      <c r="A16" s="11" t="s">
        <v>29</v>
      </c>
      <c r="B16" s="12">
        <v>173.92000000000002</v>
      </c>
      <c r="C16" s="13">
        <v>91.44</v>
      </c>
      <c r="D16" s="14">
        <v>82.48</v>
      </c>
      <c r="E16" s="13">
        <v>141.73000000000002</v>
      </c>
      <c r="F16" s="13">
        <v>84.53</v>
      </c>
      <c r="G16" s="13">
        <v>57.2</v>
      </c>
      <c r="H16" s="12">
        <v>102.82</v>
      </c>
      <c r="I16" s="13">
        <v>61.45</v>
      </c>
      <c r="J16" s="14">
        <v>41.37</v>
      </c>
      <c r="K16" s="13">
        <v>108.59</v>
      </c>
      <c r="L16" s="13">
        <v>58.68</v>
      </c>
      <c r="M16" s="13">
        <v>49.91</v>
      </c>
      <c r="N16" s="12">
        <v>91.02</v>
      </c>
      <c r="O16" s="13">
        <v>60.03</v>
      </c>
      <c r="P16" s="14">
        <v>30.99</v>
      </c>
    </row>
    <row r="17" spans="1:16" x14ac:dyDescent="0.2">
      <c r="A17" s="11" t="s">
        <v>30</v>
      </c>
      <c r="B17" s="12">
        <v>263.37</v>
      </c>
      <c r="C17" s="13">
        <v>205.26</v>
      </c>
      <c r="D17" s="14">
        <v>58.11</v>
      </c>
      <c r="E17" s="13">
        <v>269.37</v>
      </c>
      <c r="F17" s="13">
        <v>198.78</v>
      </c>
      <c r="G17" s="13">
        <v>70.59</v>
      </c>
      <c r="H17" s="12">
        <v>289.37</v>
      </c>
      <c r="I17" s="13">
        <v>198.93</v>
      </c>
      <c r="J17" s="14">
        <v>90.44</v>
      </c>
      <c r="K17" s="13">
        <v>251.51</v>
      </c>
      <c r="L17" s="13">
        <v>179.98</v>
      </c>
      <c r="M17" s="13">
        <v>71.53</v>
      </c>
      <c r="N17" s="12">
        <v>284.22000000000003</v>
      </c>
      <c r="O17" s="13">
        <v>188.05</v>
      </c>
      <c r="P17" s="14">
        <v>96.17</v>
      </c>
    </row>
    <row r="18" spans="1:16" x14ac:dyDescent="0.2">
      <c r="A18" s="11" t="s">
        <v>31</v>
      </c>
      <c r="B18" s="12">
        <v>246.46</v>
      </c>
      <c r="C18" s="13">
        <v>182.11</v>
      </c>
      <c r="D18" s="14">
        <v>64.349999999999994</v>
      </c>
      <c r="E18" s="13">
        <v>250.09</v>
      </c>
      <c r="F18" s="13">
        <v>167.49</v>
      </c>
      <c r="G18" s="13">
        <v>82.6</v>
      </c>
      <c r="H18" s="12">
        <v>271.10000000000002</v>
      </c>
      <c r="I18" s="13">
        <v>192.46</v>
      </c>
      <c r="J18" s="14">
        <v>78.64</v>
      </c>
      <c r="K18" s="13">
        <v>221.72</v>
      </c>
      <c r="L18" s="13">
        <v>148.47</v>
      </c>
      <c r="M18" s="13">
        <v>73.25</v>
      </c>
      <c r="N18" s="12">
        <v>270.63</v>
      </c>
      <c r="O18" s="13">
        <v>195.4</v>
      </c>
      <c r="P18" s="14">
        <v>75.23</v>
      </c>
    </row>
    <row r="19" spans="1:16" x14ac:dyDescent="0.2">
      <c r="A19" s="11" t="s">
        <v>5</v>
      </c>
      <c r="B19" s="12">
        <v>148.69</v>
      </c>
      <c r="C19" s="13">
        <v>98.25</v>
      </c>
      <c r="D19" s="14">
        <v>50.44</v>
      </c>
      <c r="E19" s="13">
        <v>150.61000000000001</v>
      </c>
      <c r="F19" s="13">
        <v>97.78</v>
      </c>
      <c r="G19" s="13">
        <v>52.83</v>
      </c>
      <c r="H19" s="12">
        <v>141.74</v>
      </c>
      <c r="I19" s="13">
        <v>93.8</v>
      </c>
      <c r="J19" s="14">
        <v>47.94</v>
      </c>
      <c r="K19" s="13">
        <v>114.56</v>
      </c>
      <c r="L19" s="13">
        <v>76.45</v>
      </c>
      <c r="M19" s="13">
        <v>38.11</v>
      </c>
      <c r="N19" s="12">
        <v>115.84</v>
      </c>
      <c r="O19" s="13">
        <v>79.34</v>
      </c>
      <c r="P19" s="14">
        <v>36.5</v>
      </c>
    </row>
    <row r="20" spans="1:16" x14ac:dyDescent="0.2">
      <c r="A20" s="11" t="s">
        <v>32</v>
      </c>
      <c r="B20" s="12">
        <v>361.98</v>
      </c>
      <c r="C20" s="13">
        <v>246.11</v>
      </c>
      <c r="D20" s="14">
        <v>115.87</v>
      </c>
      <c r="E20" s="13">
        <v>418.63</v>
      </c>
      <c r="F20" s="13">
        <v>301.54000000000002</v>
      </c>
      <c r="G20" s="13">
        <v>117.09</v>
      </c>
      <c r="H20" s="12">
        <v>342.01</v>
      </c>
      <c r="I20" s="13">
        <v>246.2</v>
      </c>
      <c r="J20" s="14">
        <v>95.81</v>
      </c>
      <c r="K20" s="13">
        <v>313.62</v>
      </c>
      <c r="L20" s="13">
        <v>227.3</v>
      </c>
      <c r="M20" s="13">
        <v>86.32</v>
      </c>
      <c r="N20" s="12">
        <v>259.58</v>
      </c>
      <c r="O20" s="13">
        <v>195.63</v>
      </c>
      <c r="P20" s="14">
        <v>63.95</v>
      </c>
    </row>
    <row r="21" spans="1:16" x14ac:dyDescent="0.2">
      <c r="A21" s="11" t="s">
        <v>33</v>
      </c>
      <c r="B21" s="12">
        <v>395.71000000000004</v>
      </c>
      <c r="C21" s="13">
        <v>214.06</v>
      </c>
      <c r="D21" s="14">
        <v>181.65</v>
      </c>
      <c r="E21" s="13">
        <v>364.98</v>
      </c>
      <c r="F21" s="13">
        <v>209.26</v>
      </c>
      <c r="G21" s="13">
        <v>155.72</v>
      </c>
      <c r="H21" s="12">
        <v>447.76</v>
      </c>
      <c r="I21" s="13">
        <v>307.54000000000002</v>
      </c>
      <c r="J21" s="14">
        <v>140.22</v>
      </c>
      <c r="K21" s="13">
        <v>348.71</v>
      </c>
      <c r="L21" s="13">
        <v>225.22</v>
      </c>
      <c r="M21" s="13">
        <v>123.49</v>
      </c>
      <c r="N21" s="12">
        <v>300.81</v>
      </c>
      <c r="O21" s="13">
        <v>170.32</v>
      </c>
      <c r="P21" s="14">
        <v>130.49</v>
      </c>
    </row>
    <row r="22" spans="1:16" x14ac:dyDescent="0.2">
      <c r="A22" s="11" t="s">
        <v>34</v>
      </c>
      <c r="B22" s="12">
        <v>132.93</v>
      </c>
      <c r="C22" s="13">
        <v>70.400000000000006</v>
      </c>
      <c r="D22" s="14">
        <v>62.53</v>
      </c>
      <c r="E22" s="13">
        <v>160.18</v>
      </c>
      <c r="F22" s="13">
        <v>74.12</v>
      </c>
      <c r="G22" s="13">
        <v>86.06</v>
      </c>
      <c r="H22" s="12">
        <v>168.96</v>
      </c>
      <c r="I22" s="13">
        <v>81.17</v>
      </c>
      <c r="J22" s="14">
        <v>87.79</v>
      </c>
      <c r="K22" s="13">
        <v>145.32</v>
      </c>
      <c r="L22" s="13">
        <v>73.7</v>
      </c>
      <c r="M22" s="13">
        <v>71.62</v>
      </c>
      <c r="N22" s="12">
        <v>139.26</v>
      </c>
      <c r="O22" s="13">
        <v>63.14</v>
      </c>
      <c r="P22" s="14">
        <v>76.12</v>
      </c>
    </row>
    <row r="23" spans="1:16" x14ac:dyDescent="0.2">
      <c r="A23" s="11" t="s">
        <v>35</v>
      </c>
      <c r="B23" s="12">
        <v>196.41000000000003</v>
      </c>
      <c r="C23" s="13">
        <v>131.62</v>
      </c>
      <c r="D23" s="14">
        <v>64.790000000000006</v>
      </c>
      <c r="E23" s="13">
        <v>190.45</v>
      </c>
      <c r="F23" s="13">
        <v>121.82</v>
      </c>
      <c r="G23" s="13">
        <v>68.63</v>
      </c>
      <c r="H23" s="12">
        <v>195.75</v>
      </c>
      <c r="I23" s="13">
        <v>118.68</v>
      </c>
      <c r="J23" s="14">
        <v>77.069999999999993</v>
      </c>
      <c r="K23" s="13">
        <v>134.84</v>
      </c>
      <c r="L23" s="13">
        <v>84.89</v>
      </c>
      <c r="M23" s="13">
        <v>49.95</v>
      </c>
      <c r="N23" s="12">
        <v>112.78</v>
      </c>
      <c r="O23" s="13">
        <v>84.69</v>
      </c>
      <c r="P23" s="14">
        <v>28.09</v>
      </c>
    </row>
  </sheetData>
  <conditionalFormatting sqref="A3:L23 N3:P23">
    <cfRule type="expression" dxfId="7" priority="4">
      <formula>ISODD(ROW())</formula>
    </cfRule>
  </conditionalFormatting>
  <conditionalFormatting sqref="M3:M21">
    <cfRule type="expression" dxfId="6" priority="3">
      <formula>ISODD(ROW())</formula>
    </cfRule>
  </conditionalFormatting>
  <conditionalFormatting sqref="M22">
    <cfRule type="expression" dxfId="5" priority="2">
      <formula>ISODD(ROW())</formula>
    </cfRule>
  </conditionalFormatting>
  <conditionalFormatting sqref="M23">
    <cfRule type="expression" dxfId="4" priority="1">
      <formula>ISODD(ROW())</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625F6-E2AB-CA49-BB10-3E7F29BCE3D2}">
  <sheetPr>
    <tabColor theme="7" tint="0.79998168889431442"/>
  </sheetPr>
  <dimension ref="A1:E12"/>
  <sheetViews>
    <sheetView workbookViewId="0"/>
  </sheetViews>
  <sheetFormatPr baseColWidth="10" defaultColWidth="11.5" defaultRowHeight="15" x14ac:dyDescent="0.2"/>
  <sheetData>
    <row r="1" spans="1:5" x14ac:dyDescent="0.2">
      <c r="A1" s="20" t="s">
        <v>39</v>
      </c>
      <c r="B1" s="21"/>
      <c r="C1" s="21"/>
      <c r="D1" s="21"/>
      <c r="E1" s="21"/>
    </row>
    <row r="2" spans="1:5" ht="34" x14ac:dyDescent="0.2">
      <c r="A2" s="22" t="s">
        <v>1</v>
      </c>
      <c r="B2" s="22" t="s">
        <v>2</v>
      </c>
      <c r="C2" s="22" t="s">
        <v>3</v>
      </c>
      <c r="D2" s="22" t="s">
        <v>4</v>
      </c>
      <c r="E2" s="22" t="s">
        <v>5</v>
      </c>
    </row>
    <row r="3" spans="1:5" x14ac:dyDescent="0.2">
      <c r="A3" s="23">
        <v>2011</v>
      </c>
      <c r="B3" s="24">
        <v>46119</v>
      </c>
      <c r="C3" s="24">
        <v>22581</v>
      </c>
      <c r="D3" s="24">
        <v>9445</v>
      </c>
      <c r="E3" s="24">
        <v>18292</v>
      </c>
    </row>
    <row r="4" spans="1:5" x14ac:dyDescent="0.2">
      <c r="A4" s="25">
        <v>2012</v>
      </c>
      <c r="B4" s="26">
        <v>47214</v>
      </c>
      <c r="C4" s="26">
        <v>22190</v>
      </c>
      <c r="D4" s="26">
        <v>9733</v>
      </c>
      <c r="E4" s="26">
        <v>18523</v>
      </c>
    </row>
    <row r="5" spans="1:5" x14ac:dyDescent="0.2">
      <c r="A5" s="23">
        <v>2013</v>
      </c>
      <c r="B5" s="24">
        <v>48159</v>
      </c>
      <c r="C5" s="24">
        <v>22123</v>
      </c>
      <c r="D5" s="24">
        <v>9977</v>
      </c>
      <c r="E5" s="24">
        <v>18785</v>
      </c>
    </row>
    <row r="6" spans="1:5" x14ac:dyDescent="0.2">
      <c r="A6" s="25">
        <v>2014</v>
      </c>
      <c r="B6" s="26">
        <v>49897</v>
      </c>
      <c r="C6" s="26">
        <v>22646</v>
      </c>
      <c r="D6" s="26">
        <v>10127</v>
      </c>
      <c r="E6" s="26">
        <v>19260</v>
      </c>
    </row>
    <row r="7" spans="1:5" x14ac:dyDescent="0.2">
      <c r="A7" s="23">
        <v>2015</v>
      </c>
      <c r="B7" s="24">
        <v>55404</v>
      </c>
      <c r="C7" s="24">
        <v>23866</v>
      </c>
      <c r="D7" s="24">
        <v>10741</v>
      </c>
      <c r="E7" s="24">
        <v>20770</v>
      </c>
    </row>
    <row r="8" spans="1:5" x14ac:dyDescent="0.2">
      <c r="A8" s="25">
        <v>2016</v>
      </c>
      <c r="B8" s="26">
        <v>58175</v>
      </c>
      <c r="C8" s="26">
        <v>24817</v>
      </c>
      <c r="D8" s="26">
        <v>11086</v>
      </c>
      <c r="E8" s="26">
        <v>21646</v>
      </c>
    </row>
    <row r="9" spans="1:5" x14ac:dyDescent="0.2">
      <c r="A9" s="23">
        <v>2017</v>
      </c>
      <c r="B9" s="24">
        <v>62042</v>
      </c>
      <c r="C9" s="24">
        <v>26405</v>
      </c>
      <c r="D9" s="24">
        <v>11759</v>
      </c>
      <c r="E9" s="24">
        <v>23047</v>
      </c>
    </row>
    <row r="10" spans="1:5" x14ac:dyDescent="0.2">
      <c r="A10" s="25">
        <v>2018</v>
      </c>
      <c r="B10" s="26">
        <v>63406</v>
      </c>
      <c r="C10" s="26">
        <v>27687</v>
      </c>
      <c r="D10" s="26">
        <v>12155</v>
      </c>
      <c r="E10" s="26">
        <v>23820</v>
      </c>
    </row>
    <row r="11" spans="1:5" x14ac:dyDescent="0.2">
      <c r="A11" s="23">
        <v>2019</v>
      </c>
      <c r="B11" s="24">
        <v>65046</v>
      </c>
      <c r="C11" s="24">
        <v>28839</v>
      </c>
      <c r="D11" s="24">
        <v>13013</v>
      </c>
      <c r="E11" s="24">
        <v>24880</v>
      </c>
    </row>
    <row r="12" spans="1:5" x14ac:dyDescent="0.2">
      <c r="A12" s="23">
        <v>2020</v>
      </c>
      <c r="B12" s="24">
        <v>63534</v>
      </c>
      <c r="C12" s="24">
        <v>27080</v>
      </c>
      <c r="D12" s="24">
        <v>12451</v>
      </c>
      <c r="E12" s="24">
        <v>23863</v>
      </c>
    </row>
  </sheetData>
  <conditionalFormatting sqref="A3:E12">
    <cfRule type="expression" dxfId="3" priority="1">
      <formula>ISODD(ROW())</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B571E-2D4E-7648-BCC5-84214B384C2A}">
  <sheetPr>
    <tabColor theme="7" tint="0.79998168889431442"/>
  </sheetPr>
  <dimension ref="A1:F21"/>
  <sheetViews>
    <sheetView workbookViewId="0"/>
  </sheetViews>
  <sheetFormatPr baseColWidth="10" defaultColWidth="11.5" defaultRowHeight="15" x14ac:dyDescent="0.2"/>
  <sheetData>
    <row r="1" spans="1:6" ht="16" x14ac:dyDescent="0.2">
      <c r="A1" s="6" t="s">
        <v>40</v>
      </c>
      <c r="B1" s="6">
        <v>2016</v>
      </c>
      <c r="C1" s="6">
        <v>2017</v>
      </c>
      <c r="D1" s="6">
        <v>2018</v>
      </c>
      <c r="E1" s="6">
        <v>2019</v>
      </c>
      <c r="F1" s="6">
        <v>2020</v>
      </c>
    </row>
    <row r="2" spans="1:6" x14ac:dyDescent="0.2">
      <c r="A2" s="11" t="s">
        <v>16</v>
      </c>
      <c r="B2" s="19">
        <v>2190</v>
      </c>
      <c r="C2" s="19">
        <v>2643</v>
      </c>
      <c r="D2" s="19">
        <v>3100</v>
      </c>
      <c r="E2" s="19">
        <v>3666</v>
      </c>
      <c r="F2" s="19">
        <v>3731</v>
      </c>
    </row>
    <row r="3" spans="1:6" x14ac:dyDescent="0.2">
      <c r="A3" s="11" t="s">
        <v>17</v>
      </c>
      <c r="B3" s="19">
        <v>46054</v>
      </c>
      <c r="C3" s="19">
        <v>48604</v>
      </c>
      <c r="D3" s="19">
        <v>53072</v>
      </c>
      <c r="E3" s="19">
        <v>52529</v>
      </c>
      <c r="F3" s="19">
        <v>52450</v>
      </c>
    </row>
    <row r="4" spans="1:6" x14ac:dyDescent="0.2">
      <c r="A4" s="11" t="s">
        <v>18</v>
      </c>
      <c r="B4" s="19">
        <v>62050</v>
      </c>
      <c r="C4" s="19">
        <v>72082</v>
      </c>
      <c r="D4" s="19">
        <v>74544</v>
      </c>
      <c r="E4" s="19">
        <v>69010</v>
      </c>
      <c r="F4" s="19">
        <v>59329</v>
      </c>
    </row>
    <row r="5" spans="1:6" x14ac:dyDescent="0.2">
      <c r="A5" s="11" t="s">
        <v>19</v>
      </c>
      <c r="B5" s="19">
        <v>31034</v>
      </c>
      <c r="C5" s="19">
        <v>30333</v>
      </c>
      <c r="D5" s="19">
        <v>32602</v>
      </c>
      <c r="E5" s="19">
        <v>31975</v>
      </c>
      <c r="F5" s="19">
        <v>30498</v>
      </c>
    </row>
    <row r="6" spans="1:6" x14ac:dyDescent="0.2">
      <c r="A6" s="11" t="s">
        <v>20</v>
      </c>
      <c r="B6" s="19">
        <v>37074</v>
      </c>
      <c r="C6" s="19">
        <v>38724</v>
      </c>
      <c r="D6" s="19">
        <v>41614</v>
      </c>
      <c r="E6" s="19">
        <v>40619</v>
      </c>
      <c r="F6" s="19">
        <v>39069</v>
      </c>
    </row>
    <row r="7" spans="1:6" x14ac:dyDescent="0.2">
      <c r="A7" s="11" t="s">
        <v>21</v>
      </c>
      <c r="B7" s="19">
        <v>8714</v>
      </c>
      <c r="C7" s="19">
        <v>10731</v>
      </c>
      <c r="D7" s="19">
        <v>11299</v>
      </c>
      <c r="E7" s="19">
        <v>11509</v>
      </c>
      <c r="F7" s="19">
        <v>10137</v>
      </c>
    </row>
    <row r="8" spans="1:6" x14ac:dyDescent="0.2">
      <c r="A8" s="11" t="s">
        <v>22</v>
      </c>
      <c r="B8" s="19">
        <v>42150</v>
      </c>
      <c r="C8" s="19">
        <v>44587</v>
      </c>
      <c r="D8" s="19">
        <v>47998</v>
      </c>
      <c r="E8" s="19">
        <v>46842</v>
      </c>
      <c r="F8" s="19">
        <v>46255</v>
      </c>
    </row>
    <row r="9" spans="1:6" x14ac:dyDescent="0.2">
      <c r="A9" s="11" t="s">
        <v>23</v>
      </c>
      <c r="B9" s="19">
        <v>18594</v>
      </c>
      <c r="C9" s="19">
        <v>20657</v>
      </c>
      <c r="D9" s="19">
        <v>23443</v>
      </c>
      <c r="E9" s="19">
        <v>23684</v>
      </c>
      <c r="F9" s="19">
        <v>22955</v>
      </c>
    </row>
    <row r="10" spans="1:6" x14ac:dyDescent="0.2">
      <c r="A10" s="11" t="s">
        <v>24</v>
      </c>
      <c r="B10" s="19">
        <v>45322</v>
      </c>
      <c r="C10" s="19">
        <v>47359</v>
      </c>
      <c r="D10" s="19">
        <v>51513</v>
      </c>
      <c r="E10" s="19">
        <v>50165</v>
      </c>
      <c r="F10" s="19">
        <v>48635</v>
      </c>
    </row>
    <row r="11" spans="1:6" x14ac:dyDescent="0.2">
      <c r="A11" s="11" t="s">
        <v>25</v>
      </c>
      <c r="B11" s="19">
        <v>19998</v>
      </c>
      <c r="C11" s="19">
        <v>21459</v>
      </c>
      <c r="D11" s="19">
        <v>23575</v>
      </c>
      <c r="E11" s="19">
        <v>23354</v>
      </c>
      <c r="F11" s="19">
        <v>22198</v>
      </c>
    </row>
    <row r="12" spans="1:6" x14ac:dyDescent="0.2">
      <c r="A12" s="11" t="s">
        <v>26</v>
      </c>
      <c r="B12" s="19">
        <v>12540</v>
      </c>
      <c r="C12" s="19">
        <v>13643</v>
      </c>
      <c r="D12" s="19">
        <v>15243</v>
      </c>
      <c r="E12" s="19">
        <v>15327</v>
      </c>
      <c r="F12" s="19">
        <v>14148</v>
      </c>
    </row>
    <row r="13" spans="1:6" x14ac:dyDescent="0.2">
      <c r="A13" s="11" t="s">
        <v>27</v>
      </c>
      <c r="B13" s="19">
        <v>54719</v>
      </c>
      <c r="C13" s="19">
        <v>57668</v>
      </c>
      <c r="D13" s="19">
        <v>61654</v>
      </c>
      <c r="E13" s="19">
        <v>59836</v>
      </c>
      <c r="F13" s="19">
        <v>61124</v>
      </c>
    </row>
    <row r="14" spans="1:6" x14ac:dyDescent="0.2">
      <c r="A14" s="11" t="s">
        <v>28</v>
      </c>
      <c r="B14" s="19">
        <v>26532</v>
      </c>
      <c r="C14" s="19">
        <v>28129</v>
      </c>
      <c r="D14" s="19">
        <v>30380</v>
      </c>
      <c r="E14" s="19">
        <v>29585</v>
      </c>
      <c r="F14" s="19">
        <v>27090</v>
      </c>
    </row>
    <row r="15" spans="1:6" x14ac:dyDescent="0.2">
      <c r="A15" s="11" t="s">
        <v>29</v>
      </c>
      <c r="B15" s="19">
        <v>12460</v>
      </c>
      <c r="C15" s="19">
        <v>13879</v>
      </c>
      <c r="D15" s="19">
        <v>15484</v>
      </c>
      <c r="E15" s="19">
        <v>15748</v>
      </c>
      <c r="F15" s="19">
        <v>15737</v>
      </c>
    </row>
    <row r="16" spans="1:6" x14ac:dyDescent="0.2">
      <c r="A16" s="11" t="s">
        <v>30</v>
      </c>
      <c r="B16" s="19">
        <v>42473</v>
      </c>
      <c r="C16" s="19">
        <v>41720</v>
      </c>
      <c r="D16" s="19">
        <v>44504</v>
      </c>
      <c r="E16" s="19">
        <v>43969</v>
      </c>
      <c r="F16" s="19">
        <v>41965</v>
      </c>
    </row>
    <row r="17" spans="1:6" x14ac:dyDescent="0.2">
      <c r="A17" s="11" t="s">
        <v>31</v>
      </c>
      <c r="B17" s="19">
        <v>83156</v>
      </c>
      <c r="C17" s="19">
        <v>83435</v>
      </c>
      <c r="D17" s="19">
        <v>86475</v>
      </c>
      <c r="E17" s="19">
        <v>85420</v>
      </c>
      <c r="F17" s="19">
        <v>87184</v>
      </c>
    </row>
    <row r="18" spans="1:6" x14ac:dyDescent="0.2">
      <c r="A18" s="11" t="s">
        <v>32</v>
      </c>
      <c r="B18" s="19">
        <v>30971</v>
      </c>
      <c r="C18" s="19">
        <v>32359</v>
      </c>
      <c r="D18" s="19">
        <v>34640</v>
      </c>
      <c r="E18" s="19">
        <v>33675</v>
      </c>
      <c r="F18" s="19">
        <v>31746</v>
      </c>
    </row>
    <row r="19" spans="1:6" x14ac:dyDescent="0.2">
      <c r="A19" s="11" t="s">
        <v>33</v>
      </c>
      <c r="B19" s="19">
        <v>42026</v>
      </c>
      <c r="C19" s="19">
        <v>44133</v>
      </c>
      <c r="D19" s="19">
        <v>47567</v>
      </c>
      <c r="E19" s="19">
        <v>46638</v>
      </c>
      <c r="F19" s="19">
        <v>45205</v>
      </c>
    </row>
    <row r="20" spans="1:6" x14ac:dyDescent="0.2">
      <c r="A20" s="11" t="s">
        <v>34</v>
      </c>
      <c r="B20" s="19">
        <v>5000</v>
      </c>
      <c r="C20" s="19">
        <v>5400</v>
      </c>
      <c r="D20" s="19">
        <v>6076</v>
      </c>
      <c r="E20" s="19">
        <v>6126</v>
      </c>
      <c r="F20" s="19">
        <v>6086</v>
      </c>
    </row>
    <row r="21" spans="1:6" x14ac:dyDescent="0.2">
      <c r="A21" s="11" t="s">
        <v>35</v>
      </c>
      <c r="B21" s="19">
        <v>52017</v>
      </c>
      <c r="C21" s="19">
        <v>53845</v>
      </c>
      <c r="D21" s="19">
        <v>54644</v>
      </c>
      <c r="E21" s="19">
        <v>51991</v>
      </c>
      <c r="F21" s="19">
        <v>52327</v>
      </c>
    </row>
  </sheetData>
  <conditionalFormatting sqref="A2:F20">
    <cfRule type="expression" dxfId="2" priority="2">
      <formula>ISODD(ROW())</formula>
    </cfRule>
  </conditionalFormatting>
  <conditionalFormatting sqref="A21:F21">
    <cfRule type="expression" dxfId="1" priority="1">
      <formula>ISODD(ROW())</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AB34D-1B99-0D45-A8C9-4C4518F1F50B}">
  <sheetPr>
    <tabColor theme="7" tint="0.79998168889431442"/>
  </sheetPr>
  <dimension ref="A1:O61"/>
  <sheetViews>
    <sheetView workbookViewId="0">
      <selection activeCell="H20" sqref="H20"/>
    </sheetView>
  </sheetViews>
  <sheetFormatPr baseColWidth="10" defaultColWidth="11.5" defaultRowHeight="15" x14ac:dyDescent="0.2"/>
  <sheetData>
    <row r="1" spans="1:15" ht="16" x14ac:dyDescent="0.2">
      <c r="A1" s="6" t="s">
        <v>41</v>
      </c>
      <c r="B1" s="15" t="s">
        <v>42</v>
      </c>
      <c r="C1" s="15" t="s">
        <v>43</v>
      </c>
      <c r="D1" s="15" t="s">
        <v>44</v>
      </c>
      <c r="E1" s="15" t="s">
        <v>45</v>
      </c>
      <c r="F1" s="15" t="s">
        <v>46</v>
      </c>
      <c r="G1" s="15" t="s">
        <v>47</v>
      </c>
      <c r="H1" s="15" t="s">
        <v>48</v>
      </c>
      <c r="I1" s="15" t="s">
        <v>49</v>
      </c>
      <c r="J1" s="15" t="s">
        <v>50</v>
      </c>
      <c r="K1" s="15" t="s">
        <v>51</v>
      </c>
      <c r="L1" s="15" t="s">
        <v>52</v>
      </c>
      <c r="M1" s="15" t="s">
        <v>53</v>
      </c>
      <c r="N1" s="15" t="s">
        <v>54</v>
      </c>
      <c r="O1" s="15" t="s">
        <v>55</v>
      </c>
    </row>
    <row r="2" spans="1:15" x14ac:dyDescent="0.2">
      <c r="A2" s="18">
        <v>0.5</v>
      </c>
      <c r="B2" s="17">
        <v>3.3180000000000001E-2</v>
      </c>
      <c r="C2" s="17">
        <v>5.0299999999999997E-3</v>
      </c>
      <c r="D2" s="17">
        <v>3.1199999999999999E-3</v>
      </c>
      <c r="E2" s="17">
        <v>3.0599999999999998E-3</v>
      </c>
      <c r="F2" s="17">
        <v>2.4499999999999999E-3</v>
      </c>
      <c r="G2" s="17">
        <v>2.15E-3</v>
      </c>
      <c r="H2" s="17">
        <v>1.25E-3</v>
      </c>
      <c r="I2" s="17">
        <v>2.2799999999999999E-3</v>
      </c>
      <c r="J2" s="17">
        <v>9.5099999999999994E-3</v>
      </c>
      <c r="K2" s="17">
        <v>1.184E-2</v>
      </c>
      <c r="L2" s="17">
        <v>2.8320000000000001E-2</v>
      </c>
      <c r="M2" s="17">
        <v>3.9199999999999999E-2</v>
      </c>
      <c r="N2" s="17">
        <v>2.0910000000000002E-2</v>
      </c>
      <c r="O2" s="17">
        <v>1.5900000000000001E-3</v>
      </c>
    </row>
    <row r="3" spans="1:15" x14ac:dyDescent="0.2">
      <c r="A3" s="18">
        <v>1</v>
      </c>
      <c r="B3" s="17">
        <v>3.2419999999999997E-2</v>
      </c>
      <c r="C3" s="17">
        <v>7.9799999999999992E-3</v>
      </c>
      <c r="D3" s="17">
        <v>6.3600000000000002E-3</v>
      </c>
      <c r="E3" s="17">
        <v>4.9100000000000003E-3</v>
      </c>
      <c r="F3" s="17">
        <v>2.7899999999999999E-3</v>
      </c>
      <c r="G3" s="17">
        <v>2.7000000000000001E-3</v>
      </c>
      <c r="H3" s="17">
        <v>2.31E-3</v>
      </c>
      <c r="I3" s="17">
        <v>4.6800000000000001E-3</v>
      </c>
      <c r="J3" s="17">
        <v>1.0619999999999999E-2</v>
      </c>
      <c r="K3" s="17">
        <v>1.404E-2</v>
      </c>
      <c r="L3" s="17">
        <v>2.9520000000000001E-2</v>
      </c>
      <c r="M3" s="17">
        <v>3.8550000000000001E-2</v>
      </c>
      <c r="N3" s="17">
        <v>1.9980000000000001E-2</v>
      </c>
      <c r="O3" s="17">
        <v>1.4E-3</v>
      </c>
    </row>
    <row r="4" spans="1:15" x14ac:dyDescent="0.2">
      <c r="A4" s="18">
        <v>1.5</v>
      </c>
      <c r="B4" s="17">
        <v>3.2120000000000003E-2</v>
      </c>
      <c r="C4" s="17">
        <v>1.0710000000000001E-2</v>
      </c>
      <c r="D4" s="17">
        <v>9.7999999999999997E-3</v>
      </c>
      <c r="E4" s="17">
        <v>7.1700000000000002E-3</v>
      </c>
      <c r="F4" s="17">
        <v>3.3300000000000001E-3</v>
      </c>
      <c r="G4" s="17">
        <v>3.3E-3</v>
      </c>
      <c r="H4" s="17">
        <v>3.8E-3</v>
      </c>
      <c r="I4" s="17">
        <v>7.0400000000000003E-3</v>
      </c>
      <c r="J4" s="17">
        <v>1.1780000000000001E-2</v>
      </c>
      <c r="K4" s="17">
        <v>1.6250000000000001E-2</v>
      </c>
      <c r="L4" s="17">
        <v>3.0720000000000001E-2</v>
      </c>
      <c r="M4" s="17">
        <v>3.8039999999999997E-2</v>
      </c>
      <c r="N4" s="17">
        <v>1.9279999999999999E-2</v>
      </c>
      <c r="O4" s="17">
        <v>1.5299999999999999E-3</v>
      </c>
    </row>
    <row r="5" spans="1:15" x14ac:dyDescent="0.2">
      <c r="A5" s="18">
        <v>2</v>
      </c>
      <c r="B5" s="17">
        <v>3.2309999999999998E-2</v>
      </c>
      <c r="C5" s="17">
        <v>1.3140000000000001E-2</v>
      </c>
      <c r="D5" s="17">
        <v>1.358E-2</v>
      </c>
      <c r="E5" s="17">
        <v>9.9600000000000001E-3</v>
      </c>
      <c r="F5" s="17">
        <v>4.1399999999999996E-3</v>
      </c>
      <c r="G5" s="17">
        <v>4.1700000000000001E-3</v>
      </c>
      <c r="H5" s="17">
        <v>5.94E-3</v>
      </c>
      <c r="I5" s="17">
        <v>9.4400000000000005E-3</v>
      </c>
      <c r="J5" s="17">
        <v>1.308E-2</v>
      </c>
      <c r="K5" s="17">
        <v>1.8509999999999999E-2</v>
      </c>
      <c r="L5" s="17">
        <v>3.1919999999999997E-2</v>
      </c>
      <c r="M5" s="17">
        <v>3.7679999999999998E-2</v>
      </c>
      <c r="N5" s="17">
        <v>1.881E-2</v>
      </c>
      <c r="O5" s="17">
        <v>1.8500000000000001E-3</v>
      </c>
    </row>
    <row r="6" spans="1:15" x14ac:dyDescent="0.2">
      <c r="A6" s="18">
        <v>2.5</v>
      </c>
      <c r="B6" s="17">
        <v>3.3210000000000003E-2</v>
      </c>
      <c r="C6" s="17">
        <v>1.5259999999999999E-2</v>
      </c>
      <c r="D6" s="17">
        <v>1.755E-2</v>
      </c>
      <c r="E6" s="17">
        <v>1.328E-2</v>
      </c>
      <c r="F6" s="17">
        <v>5.2100000000000002E-3</v>
      </c>
      <c r="G6" s="17">
        <v>5.0699999999999999E-3</v>
      </c>
      <c r="H6" s="17">
        <v>8.6700000000000006E-3</v>
      </c>
      <c r="I6" s="17">
        <v>1.191E-2</v>
      </c>
      <c r="J6" s="17">
        <v>1.457E-2</v>
      </c>
      <c r="K6" s="17">
        <v>2.0729999999999998E-2</v>
      </c>
      <c r="L6" s="17">
        <v>3.3169999999999998E-2</v>
      </c>
      <c r="M6" s="17">
        <v>3.7429999999999998E-2</v>
      </c>
      <c r="N6" s="17">
        <v>1.8689999999999998E-2</v>
      </c>
      <c r="O6" s="17">
        <v>2.6900000000000001E-3</v>
      </c>
    </row>
    <row r="7" spans="1:15" x14ac:dyDescent="0.2">
      <c r="A7" s="18">
        <v>3</v>
      </c>
      <c r="B7" s="17">
        <v>3.465E-2</v>
      </c>
      <c r="C7" s="17">
        <v>1.7180000000000001E-2</v>
      </c>
      <c r="D7" s="17">
        <v>2.1780000000000001E-2</v>
      </c>
      <c r="E7" s="17">
        <v>1.703E-2</v>
      </c>
      <c r="F7" s="17">
        <v>6.4700000000000001E-3</v>
      </c>
      <c r="G7" s="17">
        <v>6.1999999999999998E-3</v>
      </c>
      <c r="H7" s="17">
        <v>1.1849999999999999E-2</v>
      </c>
      <c r="I7" s="17">
        <v>1.427E-2</v>
      </c>
      <c r="J7" s="17">
        <v>1.617E-2</v>
      </c>
      <c r="K7" s="17">
        <v>2.291E-2</v>
      </c>
      <c r="L7" s="17">
        <v>3.431E-2</v>
      </c>
      <c r="M7" s="17">
        <v>3.7319999999999999E-2</v>
      </c>
      <c r="N7" s="17">
        <v>1.8890000000000001E-2</v>
      </c>
      <c r="O7" s="17">
        <v>3.6900000000000001E-3</v>
      </c>
    </row>
    <row r="8" spans="1:15" x14ac:dyDescent="0.2">
      <c r="A8" s="18">
        <v>3.5</v>
      </c>
      <c r="B8" s="17">
        <v>3.6420000000000001E-2</v>
      </c>
      <c r="C8" s="17">
        <v>1.9220000000000001E-2</v>
      </c>
      <c r="D8" s="17">
        <v>2.5919999999999999E-2</v>
      </c>
      <c r="E8" s="17">
        <v>2.087E-2</v>
      </c>
      <c r="F8" s="17">
        <v>8.0599999999999995E-3</v>
      </c>
      <c r="G8" s="17">
        <v>7.5900000000000004E-3</v>
      </c>
      <c r="H8" s="17">
        <v>1.521E-2</v>
      </c>
      <c r="I8" s="17">
        <v>1.6549999999999999E-2</v>
      </c>
      <c r="J8" s="17">
        <v>1.77E-2</v>
      </c>
      <c r="K8" s="17">
        <v>2.5010000000000001E-2</v>
      </c>
      <c r="L8" s="17">
        <v>3.5360000000000003E-2</v>
      </c>
      <c r="M8" s="17">
        <v>3.7319999999999999E-2</v>
      </c>
      <c r="N8" s="17">
        <v>1.908E-2</v>
      </c>
      <c r="O8" s="17">
        <v>4.8900000000000002E-3</v>
      </c>
    </row>
    <row r="9" spans="1:15" x14ac:dyDescent="0.2">
      <c r="A9" s="18">
        <v>4</v>
      </c>
      <c r="B9" s="17">
        <v>3.8460000000000001E-2</v>
      </c>
      <c r="C9" s="17">
        <v>2.1360000000000001E-2</v>
      </c>
      <c r="D9" s="17">
        <v>2.9940000000000001E-2</v>
      </c>
      <c r="E9" s="17">
        <v>2.469E-2</v>
      </c>
      <c r="F9" s="17">
        <v>9.6900000000000007E-3</v>
      </c>
      <c r="G9" s="17">
        <v>9.0200000000000002E-3</v>
      </c>
      <c r="H9" s="17">
        <v>1.8509999999999999E-2</v>
      </c>
      <c r="I9" s="17">
        <v>1.857E-2</v>
      </c>
      <c r="J9" s="17">
        <v>1.9279999999999999E-2</v>
      </c>
      <c r="K9" s="17">
        <v>2.681E-2</v>
      </c>
      <c r="L9" s="17">
        <v>3.6269999999999997E-2</v>
      </c>
      <c r="M9" s="17">
        <v>3.7470000000000003E-2</v>
      </c>
      <c r="N9" s="17">
        <v>1.9400000000000001E-2</v>
      </c>
      <c r="O9" s="17">
        <v>6.11E-3</v>
      </c>
    </row>
    <row r="10" spans="1:15" x14ac:dyDescent="0.2">
      <c r="A10" s="18">
        <v>4.5</v>
      </c>
      <c r="B10" s="17">
        <v>4.0529999999999997E-2</v>
      </c>
      <c r="C10" s="17">
        <v>2.367E-2</v>
      </c>
      <c r="D10" s="17">
        <v>3.381E-2</v>
      </c>
      <c r="E10" s="17">
        <v>2.8410000000000001E-2</v>
      </c>
      <c r="F10" s="17">
        <v>1.149E-2</v>
      </c>
      <c r="G10" s="17">
        <v>1.0670000000000001E-2</v>
      </c>
      <c r="H10" s="17">
        <v>2.1690000000000001E-2</v>
      </c>
      <c r="I10" s="17">
        <v>2.0449999999999999E-2</v>
      </c>
      <c r="J10" s="17">
        <v>2.0660000000000001E-2</v>
      </c>
      <c r="K10" s="17">
        <v>2.8459999999999999E-2</v>
      </c>
      <c r="L10" s="17">
        <v>3.7069999999999999E-2</v>
      </c>
      <c r="M10" s="17">
        <v>3.7620000000000001E-2</v>
      </c>
      <c r="N10" s="17">
        <v>1.9730000000000001E-2</v>
      </c>
      <c r="O10" s="17">
        <v>7.3800000000000003E-3</v>
      </c>
    </row>
    <row r="11" spans="1:15" x14ac:dyDescent="0.2">
      <c r="A11" s="18">
        <v>5</v>
      </c>
      <c r="B11" s="17">
        <v>4.2630000000000001E-2</v>
      </c>
      <c r="C11" s="17">
        <v>2.6270000000000002E-2</v>
      </c>
      <c r="D11" s="17">
        <v>3.7379999999999997E-2</v>
      </c>
      <c r="E11" s="17">
        <v>3.1879999999999999E-2</v>
      </c>
      <c r="F11" s="17">
        <v>1.3429999999999999E-2</v>
      </c>
      <c r="G11" s="17">
        <v>1.239E-2</v>
      </c>
      <c r="H11" s="17">
        <v>2.4660000000000001E-2</v>
      </c>
      <c r="I11" s="17">
        <v>2.205E-2</v>
      </c>
      <c r="J11" s="17">
        <v>2.2009999999999998E-2</v>
      </c>
      <c r="K11" s="17">
        <v>2.9960000000000001E-2</v>
      </c>
      <c r="L11" s="17">
        <v>3.7859999999999998E-2</v>
      </c>
      <c r="M11" s="17">
        <v>3.7769999999999998E-2</v>
      </c>
      <c r="N11" s="17">
        <v>2.001E-2</v>
      </c>
      <c r="O11" s="17">
        <v>8.6700000000000006E-3</v>
      </c>
    </row>
    <row r="12" spans="1:15" x14ac:dyDescent="0.2">
      <c r="A12" s="18">
        <v>5.5</v>
      </c>
      <c r="B12" s="17">
        <v>4.4839999999999998E-2</v>
      </c>
      <c r="C12" s="17">
        <v>2.8910000000000002E-2</v>
      </c>
      <c r="D12" s="17">
        <v>4.0730000000000002E-2</v>
      </c>
      <c r="E12" s="17">
        <v>3.5099999999999999E-2</v>
      </c>
      <c r="F12" s="17">
        <v>1.541E-2</v>
      </c>
      <c r="G12" s="17">
        <v>1.431E-2</v>
      </c>
      <c r="H12" s="17">
        <v>2.7439999999999999E-2</v>
      </c>
      <c r="I12" s="17">
        <v>2.3480000000000001E-2</v>
      </c>
      <c r="J12" s="17">
        <v>2.3179999999999999E-2</v>
      </c>
      <c r="K12" s="17">
        <v>3.1230000000000001E-2</v>
      </c>
      <c r="L12" s="17">
        <v>3.8429999999999999E-2</v>
      </c>
      <c r="M12" s="17">
        <v>3.7920000000000002E-2</v>
      </c>
      <c r="N12" s="17">
        <v>2.034E-2</v>
      </c>
      <c r="O12" s="17">
        <v>9.8899999999999995E-3</v>
      </c>
    </row>
    <row r="13" spans="1:15" x14ac:dyDescent="0.2">
      <c r="A13" s="18">
        <v>6</v>
      </c>
      <c r="B13" s="17">
        <v>4.6969999999999998E-2</v>
      </c>
      <c r="C13" s="17">
        <v>3.1730000000000001E-2</v>
      </c>
      <c r="D13" s="17">
        <v>4.385E-2</v>
      </c>
      <c r="E13" s="17">
        <v>3.8179999999999999E-2</v>
      </c>
      <c r="F13" s="17">
        <v>1.7430000000000001E-2</v>
      </c>
      <c r="G13" s="17">
        <v>1.619E-2</v>
      </c>
      <c r="H13" s="17">
        <v>3.0030000000000001E-2</v>
      </c>
      <c r="I13" s="17">
        <v>2.4750000000000001E-2</v>
      </c>
      <c r="J13" s="17">
        <v>2.4299999999999999E-2</v>
      </c>
      <c r="K13" s="17">
        <v>3.2329999999999998E-2</v>
      </c>
      <c r="L13" s="17">
        <v>3.8960000000000002E-2</v>
      </c>
      <c r="M13" s="17">
        <v>3.8219999999999997E-2</v>
      </c>
      <c r="N13" s="17">
        <v>2.06E-2</v>
      </c>
      <c r="O13" s="17">
        <v>1.115E-2</v>
      </c>
    </row>
    <row r="14" spans="1:15" x14ac:dyDescent="0.2">
      <c r="A14" s="18">
        <v>6.5</v>
      </c>
      <c r="B14" s="17">
        <v>4.9099999999999998E-2</v>
      </c>
      <c r="C14" s="17">
        <v>3.4549999999999997E-2</v>
      </c>
      <c r="D14" s="17">
        <v>4.6739999999999997E-2</v>
      </c>
      <c r="E14" s="17">
        <v>4.095E-2</v>
      </c>
      <c r="F14" s="17">
        <v>1.9460000000000002E-2</v>
      </c>
      <c r="G14" s="17">
        <v>1.814E-2</v>
      </c>
      <c r="H14" s="17">
        <v>3.2370000000000003E-2</v>
      </c>
      <c r="I14" s="17">
        <v>2.5829999999999999E-2</v>
      </c>
      <c r="J14" s="17">
        <v>2.5319999999999999E-2</v>
      </c>
      <c r="K14" s="17">
        <v>3.3300000000000003E-2</v>
      </c>
      <c r="L14" s="17">
        <v>3.9350000000000003E-2</v>
      </c>
      <c r="M14" s="17">
        <v>3.8449999999999998E-2</v>
      </c>
      <c r="N14" s="17">
        <v>2.078E-2</v>
      </c>
      <c r="O14" s="17">
        <v>1.23E-2</v>
      </c>
    </row>
    <row r="15" spans="1:15" x14ac:dyDescent="0.2">
      <c r="A15" s="18">
        <v>7</v>
      </c>
      <c r="B15" s="17">
        <v>5.1060000000000001E-2</v>
      </c>
      <c r="C15" s="17">
        <v>3.7440000000000001E-2</v>
      </c>
      <c r="D15" s="17">
        <v>4.9369999999999997E-2</v>
      </c>
      <c r="E15" s="17">
        <v>4.3580000000000001E-2</v>
      </c>
      <c r="F15" s="17">
        <v>2.1510000000000001E-2</v>
      </c>
      <c r="G15" s="17">
        <v>2.0160000000000001E-2</v>
      </c>
      <c r="H15" s="17">
        <v>3.4520000000000002E-2</v>
      </c>
      <c r="I15" s="17">
        <v>2.673E-2</v>
      </c>
      <c r="J15" s="17">
        <v>2.622E-2</v>
      </c>
      <c r="K15" s="17">
        <v>3.4169999999999999E-2</v>
      </c>
      <c r="L15" s="17">
        <v>3.9800000000000002E-2</v>
      </c>
      <c r="M15" s="17">
        <v>3.875E-2</v>
      </c>
      <c r="N15" s="17">
        <v>2.1080000000000002E-2</v>
      </c>
      <c r="O15" s="17">
        <v>1.3339999999999999E-2</v>
      </c>
    </row>
    <row r="16" spans="1:15" x14ac:dyDescent="0.2">
      <c r="A16" s="18">
        <v>7.5</v>
      </c>
      <c r="B16" s="17">
        <v>5.3069999999999999E-2</v>
      </c>
      <c r="C16" s="17">
        <v>4.0189999999999997E-2</v>
      </c>
      <c r="D16" s="17">
        <v>5.1769999999999997E-2</v>
      </c>
      <c r="E16" s="17">
        <v>4.6019999999999998E-2</v>
      </c>
      <c r="F16" s="17">
        <v>2.3460000000000002E-2</v>
      </c>
      <c r="G16" s="17">
        <v>2.2110000000000001E-2</v>
      </c>
      <c r="H16" s="17">
        <v>3.644E-2</v>
      </c>
      <c r="I16" s="17">
        <v>2.7529999999999999E-2</v>
      </c>
      <c r="J16" s="17">
        <v>2.7089999999999999E-2</v>
      </c>
      <c r="K16" s="17">
        <v>3.4889999999999997E-2</v>
      </c>
      <c r="L16" s="17">
        <v>4.002E-2</v>
      </c>
      <c r="M16" s="17">
        <v>3.9E-2</v>
      </c>
      <c r="N16" s="17">
        <v>2.1260000000000001E-2</v>
      </c>
      <c r="O16" s="17">
        <v>1.4460000000000001E-2</v>
      </c>
    </row>
    <row r="17" spans="1:15" x14ac:dyDescent="0.2">
      <c r="A17" s="18">
        <v>8</v>
      </c>
      <c r="B17" s="17">
        <v>5.4809999999999998E-2</v>
      </c>
      <c r="C17" s="17">
        <v>4.2779999999999999E-2</v>
      </c>
      <c r="D17" s="17">
        <v>5.4059999999999997E-2</v>
      </c>
      <c r="E17" s="17">
        <v>4.8230000000000002E-2</v>
      </c>
      <c r="F17" s="17">
        <v>2.5409999999999999E-2</v>
      </c>
      <c r="G17" s="17">
        <v>2.3990000000000001E-2</v>
      </c>
      <c r="H17" s="17">
        <v>3.8330000000000003E-2</v>
      </c>
      <c r="I17" s="17">
        <v>2.828E-2</v>
      </c>
      <c r="J17" s="17">
        <v>2.792E-2</v>
      </c>
      <c r="K17" s="17">
        <v>3.5540000000000002E-2</v>
      </c>
      <c r="L17" s="17">
        <v>4.0320000000000002E-2</v>
      </c>
      <c r="M17" s="17">
        <v>3.9300000000000002E-2</v>
      </c>
      <c r="N17" s="17">
        <v>2.1510000000000001E-2</v>
      </c>
      <c r="O17" s="17">
        <v>1.5469999999999999E-2</v>
      </c>
    </row>
    <row r="18" spans="1:15" x14ac:dyDescent="0.2">
      <c r="A18" s="18">
        <v>8.5</v>
      </c>
      <c r="B18" s="17">
        <v>5.6520000000000001E-2</v>
      </c>
      <c r="C18" s="17">
        <v>4.5260000000000002E-2</v>
      </c>
      <c r="D18" s="17">
        <v>5.6059999999999999E-2</v>
      </c>
      <c r="E18" s="17">
        <v>5.033E-2</v>
      </c>
      <c r="F18" s="17">
        <v>2.7210000000000002E-2</v>
      </c>
      <c r="G18" s="17">
        <v>2.579E-2</v>
      </c>
      <c r="H18" s="17">
        <v>4.002E-2</v>
      </c>
      <c r="I18" s="17">
        <v>2.895E-2</v>
      </c>
      <c r="J18" s="17">
        <v>2.8670000000000001E-2</v>
      </c>
      <c r="K18" s="17">
        <v>3.6139999999999999E-2</v>
      </c>
      <c r="L18" s="17">
        <v>4.0590000000000001E-2</v>
      </c>
      <c r="M18" s="17">
        <v>3.9600000000000003E-2</v>
      </c>
      <c r="N18" s="17">
        <v>2.171E-2</v>
      </c>
      <c r="O18" s="17">
        <v>1.6400000000000001E-2</v>
      </c>
    </row>
    <row r="19" spans="1:15" x14ac:dyDescent="0.2">
      <c r="A19" s="18">
        <v>9</v>
      </c>
      <c r="B19" s="17">
        <v>5.808E-2</v>
      </c>
      <c r="C19" s="17">
        <v>4.7550000000000002E-2</v>
      </c>
      <c r="D19" s="17">
        <v>5.7889999999999997E-2</v>
      </c>
      <c r="E19" s="17">
        <v>5.2200000000000003E-2</v>
      </c>
      <c r="F19" s="17">
        <v>2.894E-2</v>
      </c>
      <c r="G19" s="17">
        <v>2.7470000000000001E-2</v>
      </c>
      <c r="H19" s="17">
        <v>4.1489999999999999E-2</v>
      </c>
      <c r="I19" s="17">
        <v>2.9479999999999999E-2</v>
      </c>
      <c r="J19" s="17">
        <v>2.9389999999999999E-2</v>
      </c>
      <c r="K19" s="17">
        <v>3.671E-2</v>
      </c>
      <c r="L19" s="17">
        <v>4.0820000000000002E-2</v>
      </c>
      <c r="M19" s="17">
        <v>3.9829999999999997E-2</v>
      </c>
      <c r="N19" s="17">
        <v>2.196E-2</v>
      </c>
      <c r="O19" s="17">
        <v>1.737E-2</v>
      </c>
    </row>
    <row r="20" spans="1:15" x14ac:dyDescent="0.2">
      <c r="A20" s="18">
        <v>9.5</v>
      </c>
      <c r="B20" s="17">
        <v>5.9520000000000003E-2</v>
      </c>
      <c r="C20" s="17">
        <v>4.965E-2</v>
      </c>
      <c r="D20" s="17">
        <v>5.951E-2</v>
      </c>
      <c r="E20" s="17">
        <v>5.3969999999999997E-2</v>
      </c>
      <c r="F20" s="17">
        <v>3.0589999999999999E-2</v>
      </c>
      <c r="G20" s="17">
        <v>2.9159999999999998E-2</v>
      </c>
      <c r="H20" s="17">
        <v>4.2930000000000003E-2</v>
      </c>
      <c r="I20" s="17">
        <v>3.0030000000000001E-2</v>
      </c>
      <c r="J20" s="17">
        <v>3.0110000000000001E-2</v>
      </c>
      <c r="K20" s="17">
        <v>3.7280000000000001E-2</v>
      </c>
      <c r="L20" s="17">
        <v>4.1009999999999998E-2</v>
      </c>
      <c r="M20" s="17">
        <v>4.0129999999999999E-2</v>
      </c>
      <c r="N20" s="17">
        <v>2.2190000000000001E-2</v>
      </c>
      <c r="O20" s="17">
        <v>1.8200000000000001E-2</v>
      </c>
    </row>
    <row r="21" spans="1:15" x14ac:dyDescent="0.2">
      <c r="A21" s="18">
        <v>10</v>
      </c>
      <c r="B21" s="17">
        <v>6.0859999999999997E-2</v>
      </c>
      <c r="C21" s="17">
        <v>5.1450000000000003E-2</v>
      </c>
      <c r="D21" s="17">
        <v>6.1080000000000002E-2</v>
      </c>
      <c r="E21" s="17">
        <v>5.5649999999999998E-2</v>
      </c>
      <c r="F21" s="17">
        <v>3.209E-2</v>
      </c>
      <c r="G21" s="17">
        <v>3.0689999999999999E-2</v>
      </c>
      <c r="H21" s="17">
        <v>4.4220000000000002E-2</v>
      </c>
      <c r="I21" s="17">
        <v>3.0599999999999999E-2</v>
      </c>
      <c r="J21" s="17">
        <v>3.075E-2</v>
      </c>
      <c r="K21" s="17">
        <v>3.773E-2</v>
      </c>
      <c r="L21" s="17">
        <v>4.1189999999999997E-2</v>
      </c>
      <c r="M21" s="17">
        <v>4.0430000000000001E-2</v>
      </c>
      <c r="N21" s="17">
        <v>2.2440000000000002E-2</v>
      </c>
      <c r="O21" s="17">
        <v>1.899E-2</v>
      </c>
    </row>
    <row r="22" spans="1:15" x14ac:dyDescent="0.2">
      <c r="A22" s="18">
        <v>10.5</v>
      </c>
      <c r="B22" s="17">
        <v>6.1969999999999997E-2</v>
      </c>
      <c r="C22" s="17">
        <v>5.3060000000000003E-2</v>
      </c>
      <c r="D22" s="17">
        <v>6.2429999999999999E-2</v>
      </c>
      <c r="E22" s="17">
        <v>5.7119999999999997E-2</v>
      </c>
      <c r="F22" s="17">
        <v>3.3590000000000002E-2</v>
      </c>
      <c r="G22" s="17">
        <v>3.2190000000000003E-2</v>
      </c>
      <c r="H22" s="17">
        <v>4.539E-2</v>
      </c>
      <c r="I22" s="17">
        <v>3.1050000000000001E-2</v>
      </c>
      <c r="J22" s="17">
        <v>3.1350000000000003E-2</v>
      </c>
      <c r="K22" s="17">
        <v>3.8219999999999997E-2</v>
      </c>
      <c r="L22" s="17">
        <v>4.1459999999999997E-2</v>
      </c>
      <c r="M22" s="17">
        <v>4.0730000000000002E-2</v>
      </c>
      <c r="N22" s="17">
        <v>2.2669999999999999E-2</v>
      </c>
      <c r="O22" s="17">
        <v>1.9769999999999999E-2</v>
      </c>
    </row>
    <row r="23" spans="1:15" x14ac:dyDescent="0.2">
      <c r="A23" s="18">
        <v>11</v>
      </c>
      <c r="B23" s="17">
        <v>6.3079999999999997E-2</v>
      </c>
      <c r="C23" s="17">
        <v>5.4480000000000001E-2</v>
      </c>
      <c r="D23" s="17">
        <v>6.3710000000000003E-2</v>
      </c>
      <c r="E23" s="17">
        <v>5.8549999999999998E-2</v>
      </c>
      <c r="F23" s="17">
        <v>3.4939999999999999E-2</v>
      </c>
      <c r="G23" s="17">
        <v>3.354E-2</v>
      </c>
      <c r="H23" s="17">
        <v>4.6489999999999997E-2</v>
      </c>
      <c r="I23" s="17">
        <v>3.1460000000000002E-2</v>
      </c>
      <c r="J23" s="17">
        <v>3.1919999999999997E-2</v>
      </c>
      <c r="K23" s="17">
        <v>3.8670000000000003E-2</v>
      </c>
      <c r="L23" s="17">
        <v>4.1610000000000001E-2</v>
      </c>
      <c r="M23" s="17">
        <v>4.0919999999999998E-2</v>
      </c>
      <c r="N23" s="17">
        <v>2.2970000000000001E-2</v>
      </c>
      <c r="O23" s="17">
        <v>2.052E-2</v>
      </c>
    </row>
    <row r="24" spans="1:15" x14ac:dyDescent="0.2">
      <c r="A24" s="18">
        <v>11.5</v>
      </c>
      <c r="B24" s="17">
        <v>6.404E-2</v>
      </c>
      <c r="C24" s="17">
        <v>5.568E-2</v>
      </c>
      <c r="D24" s="17">
        <v>6.4879999999999993E-2</v>
      </c>
      <c r="E24" s="17">
        <v>5.985E-2</v>
      </c>
      <c r="F24" s="17">
        <v>3.6179999999999997E-2</v>
      </c>
      <c r="G24" s="17">
        <v>3.4819999999999997E-2</v>
      </c>
      <c r="H24" s="17">
        <v>4.7509999999999997E-2</v>
      </c>
      <c r="I24" s="17">
        <v>3.1879999999999999E-2</v>
      </c>
      <c r="J24" s="17">
        <v>3.2370000000000003E-2</v>
      </c>
      <c r="K24" s="17">
        <v>3.9050000000000001E-2</v>
      </c>
      <c r="L24" s="17">
        <v>4.1759999999999999E-2</v>
      </c>
      <c r="M24" s="17">
        <v>4.1180000000000001E-2</v>
      </c>
      <c r="N24" s="17">
        <v>2.334E-2</v>
      </c>
      <c r="O24" s="17">
        <v>2.12E-2</v>
      </c>
    </row>
    <row r="25" spans="1:15" x14ac:dyDescent="0.2">
      <c r="A25" s="18">
        <v>12</v>
      </c>
      <c r="B25" s="17">
        <v>6.497E-2</v>
      </c>
      <c r="C25" s="17">
        <v>5.6689999999999997E-2</v>
      </c>
      <c r="D25" s="17">
        <v>6.5930000000000002E-2</v>
      </c>
      <c r="E25" s="17">
        <v>6.1129999999999997E-2</v>
      </c>
      <c r="F25" s="17">
        <v>3.7310000000000003E-2</v>
      </c>
      <c r="G25" s="17">
        <v>3.6020000000000003E-2</v>
      </c>
      <c r="H25" s="17">
        <v>4.8480000000000002E-2</v>
      </c>
      <c r="I25" s="17">
        <v>3.2210000000000003E-2</v>
      </c>
      <c r="J25" s="17">
        <v>3.2820000000000002E-2</v>
      </c>
      <c r="K25" s="17">
        <v>3.9419999999999997E-2</v>
      </c>
      <c r="L25" s="17">
        <v>4.1910000000000003E-2</v>
      </c>
      <c r="M25" s="17">
        <v>4.1399999999999999E-2</v>
      </c>
      <c r="N25" s="17">
        <v>2.3640000000000001E-2</v>
      </c>
      <c r="O25" s="17">
        <v>2.18E-2</v>
      </c>
    </row>
    <row r="26" spans="1:15" x14ac:dyDescent="0.2">
      <c r="A26" s="18">
        <v>12.5</v>
      </c>
      <c r="B26" s="17">
        <v>6.5750000000000003E-2</v>
      </c>
      <c r="C26" s="17">
        <v>5.7480000000000003E-2</v>
      </c>
      <c r="D26" s="17">
        <v>6.6860000000000003E-2</v>
      </c>
      <c r="E26" s="17">
        <v>6.2300000000000001E-2</v>
      </c>
      <c r="F26" s="17">
        <v>3.8359999999999998E-2</v>
      </c>
      <c r="G26" s="17">
        <v>3.7100000000000001E-2</v>
      </c>
      <c r="H26" s="17">
        <v>4.9279999999999997E-2</v>
      </c>
      <c r="I26" s="17">
        <v>3.2579999999999998E-2</v>
      </c>
      <c r="J26" s="17">
        <v>3.3239999999999999E-2</v>
      </c>
      <c r="K26" s="17">
        <v>3.9800000000000002E-2</v>
      </c>
      <c r="L26" s="17">
        <v>4.206E-2</v>
      </c>
      <c r="M26" s="17">
        <v>4.163E-2</v>
      </c>
      <c r="N26" s="17">
        <v>2.3939999999999999E-2</v>
      </c>
      <c r="O26" s="17">
        <v>2.247E-2</v>
      </c>
    </row>
    <row r="27" spans="1:15" x14ac:dyDescent="0.2">
      <c r="A27" s="18">
        <v>13</v>
      </c>
      <c r="B27" s="17">
        <v>6.6530000000000006E-2</v>
      </c>
      <c r="C27" s="17">
        <v>5.8110000000000002E-2</v>
      </c>
      <c r="D27" s="17">
        <v>6.7729999999999999E-2</v>
      </c>
      <c r="E27" s="17">
        <v>6.3350000000000004E-2</v>
      </c>
      <c r="F27" s="17">
        <v>3.9329999999999997E-2</v>
      </c>
      <c r="G27" s="17">
        <v>3.8150000000000003E-2</v>
      </c>
      <c r="H27" s="17">
        <v>5.0029999999999998E-2</v>
      </c>
      <c r="I27" s="17">
        <v>3.2960000000000003E-2</v>
      </c>
      <c r="J27" s="17">
        <v>3.3619999999999997E-2</v>
      </c>
      <c r="K27" s="17">
        <v>4.0169999999999997E-2</v>
      </c>
      <c r="L27" s="17">
        <v>4.2139999999999997E-2</v>
      </c>
      <c r="M27" s="17">
        <v>4.181E-2</v>
      </c>
      <c r="N27" s="17">
        <v>2.427E-2</v>
      </c>
      <c r="O27" s="17">
        <v>2.3E-2</v>
      </c>
    </row>
    <row r="28" spans="1:15" x14ac:dyDescent="0.2">
      <c r="A28" s="18">
        <v>13.5</v>
      </c>
      <c r="B28" s="17">
        <v>6.7129999999999995E-2</v>
      </c>
      <c r="C28" s="17">
        <v>5.8520000000000003E-2</v>
      </c>
      <c r="D28" s="17">
        <v>6.8519999999999998E-2</v>
      </c>
      <c r="E28" s="17">
        <v>6.4399999999999999E-2</v>
      </c>
      <c r="F28" s="17">
        <v>4.0230000000000002E-2</v>
      </c>
      <c r="G28" s="17">
        <v>3.909E-2</v>
      </c>
      <c r="H28" s="17">
        <v>5.0779999999999999E-2</v>
      </c>
      <c r="I28" s="17">
        <v>3.3259999999999998E-2</v>
      </c>
      <c r="J28" s="17">
        <v>3.3959999999999997E-2</v>
      </c>
      <c r="K28" s="17">
        <v>4.0469999999999999E-2</v>
      </c>
      <c r="L28" s="17">
        <v>4.2259999999999999E-2</v>
      </c>
      <c r="M28" s="17">
        <v>4.2000000000000003E-2</v>
      </c>
      <c r="N28" s="17">
        <v>2.469E-2</v>
      </c>
      <c r="O28" s="17">
        <v>2.3449999999999999E-2</v>
      </c>
    </row>
    <row r="29" spans="1:15" x14ac:dyDescent="0.2">
      <c r="A29" s="18">
        <v>14</v>
      </c>
      <c r="B29" s="17">
        <v>6.7729999999999999E-2</v>
      </c>
      <c r="C29" s="17">
        <v>5.8819999999999997E-2</v>
      </c>
      <c r="D29" s="17">
        <v>6.923E-2</v>
      </c>
      <c r="E29" s="17">
        <v>6.5299999999999997E-2</v>
      </c>
      <c r="F29" s="17">
        <v>4.1059999999999999E-2</v>
      </c>
      <c r="G29" s="17">
        <v>3.9899999999999998E-2</v>
      </c>
      <c r="H29" s="17">
        <v>5.142E-2</v>
      </c>
      <c r="I29" s="17">
        <v>3.3590000000000002E-2</v>
      </c>
      <c r="J29" s="17">
        <v>3.4259999999999999E-2</v>
      </c>
      <c r="K29" s="17">
        <v>4.0770000000000001E-2</v>
      </c>
      <c r="L29" s="17">
        <v>4.2410000000000003E-2</v>
      </c>
      <c r="M29" s="17">
        <v>4.2180000000000002E-2</v>
      </c>
      <c r="N29" s="17">
        <v>2.4989999999999998E-2</v>
      </c>
      <c r="O29" s="17">
        <v>2.4049999999999998E-2</v>
      </c>
    </row>
    <row r="30" spans="1:15" x14ac:dyDescent="0.2">
      <c r="A30" s="18">
        <v>14.5</v>
      </c>
      <c r="B30" s="17">
        <v>6.8210000000000007E-2</v>
      </c>
      <c r="C30" s="17">
        <v>5.8970000000000002E-2</v>
      </c>
      <c r="D30" s="17">
        <v>6.9830000000000003E-2</v>
      </c>
      <c r="E30" s="17">
        <v>6.6170000000000007E-2</v>
      </c>
      <c r="F30" s="17">
        <v>4.1730000000000003E-2</v>
      </c>
      <c r="G30" s="17">
        <v>4.07E-2</v>
      </c>
      <c r="H30" s="17">
        <v>5.2019999999999997E-2</v>
      </c>
      <c r="I30" s="17">
        <v>3.3860000000000001E-2</v>
      </c>
      <c r="J30" s="17">
        <v>3.4639999999999997E-2</v>
      </c>
      <c r="K30" s="17">
        <v>4.1029999999999997E-2</v>
      </c>
      <c r="L30" s="17">
        <v>4.2529999999999998E-2</v>
      </c>
      <c r="M30" s="17">
        <v>4.233E-2</v>
      </c>
      <c r="N30" s="17">
        <v>2.5399999999999999E-2</v>
      </c>
      <c r="O30" s="17">
        <v>2.4420000000000001E-2</v>
      </c>
    </row>
    <row r="31" spans="1:15" x14ac:dyDescent="0.2">
      <c r="A31" s="18">
        <v>15</v>
      </c>
      <c r="B31" s="17">
        <v>6.8580000000000002E-2</v>
      </c>
      <c r="C31" s="17">
        <v>5.9029999999999999E-2</v>
      </c>
      <c r="D31" s="17">
        <v>7.0400000000000004E-2</v>
      </c>
      <c r="E31" s="17">
        <v>6.7019999999999996E-2</v>
      </c>
      <c r="F31" s="17">
        <v>4.2479999999999997E-2</v>
      </c>
      <c r="G31" s="17">
        <v>4.1450000000000001E-2</v>
      </c>
      <c r="H31" s="17">
        <v>5.262E-2</v>
      </c>
      <c r="I31" s="17">
        <v>3.4160000000000003E-2</v>
      </c>
      <c r="J31" s="17">
        <v>3.4939999999999999E-2</v>
      </c>
      <c r="K31" s="17">
        <v>4.1329999999999999E-2</v>
      </c>
      <c r="L31" s="17">
        <v>4.2680000000000003E-2</v>
      </c>
      <c r="M31" s="17">
        <v>4.2479999999999997E-2</v>
      </c>
      <c r="N31" s="17">
        <v>2.5739999999999999E-2</v>
      </c>
      <c r="O31" s="17">
        <v>2.487E-2</v>
      </c>
    </row>
    <row r="32" spans="1:15" x14ac:dyDescent="0.2">
      <c r="A32" s="18">
        <v>15.5</v>
      </c>
      <c r="B32" s="17">
        <v>6.8959999999999994E-2</v>
      </c>
      <c r="C32" s="17">
        <v>5.9029999999999999E-2</v>
      </c>
      <c r="D32" s="17">
        <v>7.0919999999999997E-2</v>
      </c>
      <c r="E32" s="17">
        <v>6.7769999999999997E-2</v>
      </c>
      <c r="F32" s="17">
        <v>4.308E-2</v>
      </c>
      <c r="G32" s="17">
        <v>4.2079999999999999E-2</v>
      </c>
      <c r="H32" s="17">
        <v>5.3150000000000003E-2</v>
      </c>
      <c r="I32" s="17">
        <v>3.4410000000000003E-2</v>
      </c>
      <c r="J32" s="17">
        <v>3.524E-2</v>
      </c>
      <c r="K32" s="17">
        <v>4.163E-2</v>
      </c>
      <c r="L32" s="17">
        <v>4.2779999999999999E-2</v>
      </c>
      <c r="M32" s="17">
        <v>4.2659999999999997E-2</v>
      </c>
      <c r="N32" s="17">
        <v>2.615E-2</v>
      </c>
      <c r="O32" s="17">
        <v>2.5319999999999999E-2</v>
      </c>
    </row>
    <row r="33" spans="1:15" x14ac:dyDescent="0.2">
      <c r="A33" s="18">
        <v>16</v>
      </c>
      <c r="B33" s="17">
        <v>6.9260000000000002E-2</v>
      </c>
      <c r="C33" s="17">
        <v>5.9029999999999999E-2</v>
      </c>
      <c r="D33" s="17">
        <v>7.1370000000000003E-2</v>
      </c>
      <c r="E33" s="17">
        <v>6.8419999999999995E-2</v>
      </c>
      <c r="F33" s="17">
        <v>4.3679999999999997E-2</v>
      </c>
      <c r="G33" s="17">
        <v>4.2750000000000003E-2</v>
      </c>
      <c r="H33" s="17">
        <v>5.3600000000000002E-2</v>
      </c>
      <c r="I33" s="17">
        <v>3.4709999999999998E-2</v>
      </c>
      <c r="J33" s="17">
        <v>3.5540000000000002E-2</v>
      </c>
      <c r="K33" s="17">
        <v>4.1930000000000002E-2</v>
      </c>
      <c r="L33" s="17">
        <v>4.2900000000000001E-2</v>
      </c>
      <c r="M33" s="17">
        <v>4.2810000000000001E-2</v>
      </c>
      <c r="N33" s="17">
        <v>2.649E-2</v>
      </c>
      <c r="O33" s="17">
        <v>2.5700000000000001E-2</v>
      </c>
    </row>
    <row r="34" spans="1:15" x14ac:dyDescent="0.2">
      <c r="A34" s="18">
        <v>16.5</v>
      </c>
      <c r="B34" s="17">
        <v>6.948E-2</v>
      </c>
      <c r="C34" s="17">
        <v>5.9029999999999999E-2</v>
      </c>
      <c r="D34" s="17">
        <v>7.1749999999999994E-2</v>
      </c>
      <c r="E34" s="17">
        <v>6.9019999999999998E-2</v>
      </c>
      <c r="F34" s="17">
        <v>4.4179999999999997E-2</v>
      </c>
      <c r="G34" s="17">
        <v>4.335E-2</v>
      </c>
      <c r="H34" s="17">
        <v>5.4050000000000001E-2</v>
      </c>
      <c r="I34" s="17">
        <v>3.4939999999999999E-2</v>
      </c>
      <c r="J34" s="17">
        <v>3.5839999999999997E-2</v>
      </c>
      <c r="K34" s="17">
        <v>4.2229999999999997E-2</v>
      </c>
      <c r="L34" s="17">
        <v>4.3049999999999998E-2</v>
      </c>
      <c r="M34" s="17">
        <v>4.2959999999999998E-2</v>
      </c>
      <c r="N34" s="17">
        <v>2.6870000000000002E-2</v>
      </c>
      <c r="O34" s="17">
        <v>2.615E-2</v>
      </c>
    </row>
    <row r="35" spans="1:15" x14ac:dyDescent="0.2">
      <c r="A35" s="18">
        <v>17</v>
      </c>
      <c r="B35" s="17">
        <v>6.9750000000000006E-2</v>
      </c>
      <c r="C35" s="17">
        <v>5.91E-2</v>
      </c>
      <c r="D35" s="17">
        <v>7.2120000000000004E-2</v>
      </c>
      <c r="E35" s="17">
        <v>6.9620000000000001E-2</v>
      </c>
      <c r="F35" s="17">
        <v>4.4659999999999998E-2</v>
      </c>
      <c r="G35" s="17">
        <v>4.3799999999999999E-2</v>
      </c>
      <c r="H35" s="17">
        <v>5.4420000000000003E-2</v>
      </c>
      <c r="I35" s="17">
        <v>3.5159999999999997E-2</v>
      </c>
      <c r="J35" s="17">
        <v>3.6139999999999999E-2</v>
      </c>
      <c r="K35" s="17">
        <v>4.2439999999999999E-2</v>
      </c>
      <c r="L35" s="17">
        <v>4.3200000000000002E-2</v>
      </c>
      <c r="M35" s="17">
        <v>4.3139999999999998E-2</v>
      </c>
      <c r="N35" s="17">
        <v>2.7199999999999998E-2</v>
      </c>
      <c r="O35" s="17">
        <v>2.6450000000000001E-2</v>
      </c>
    </row>
    <row r="36" spans="1:15" x14ac:dyDescent="0.2">
      <c r="A36" s="18">
        <v>17.5</v>
      </c>
      <c r="B36" s="17">
        <v>6.9980000000000001E-2</v>
      </c>
      <c r="C36" s="17">
        <v>5.91E-2</v>
      </c>
      <c r="D36" s="17">
        <v>7.2419999999999998E-2</v>
      </c>
      <c r="E36" s="17">
        <v>7.0220000000000005E-2</v>
      </c>
      <c r="F36" s="17">
        <v>4.5150000000000003E-2</v>
      </c>
      <c r="G36" s="17">
        <v>4.4400000000000002E-2</v>
      </c>
      <c r="H36" s="17">
        <v>5.4829999999999997E-2</v>
      </c>
      <c r="I36" s="17">
        <v>3.5459999999999998E-2</v>
      </c>
      <c r="J36" s="17">
        <v>3.6409999999999998E-2</v>
      </c>
      <c r="K36" s="17">
        <v>4.274E-2</v>
      </c>
      <c r="L36" s="17">
        <v>4.3279999999999999E-2</v>
      </c>
      <c r="M36" s="17">
        <v>4.3290000000000002E-2</v>
      </c>
      <c r="N36" s="17">
        <v>2.75E-2</v>
      </c>
      <c r="O36" s="17">
        <v>2.682E-2</v>
      </c>
    </row>
    <row r="37" spans="1:15" x14ac:dyDescent="0.2">
      <c r="A37" s="18">
        <v>18</v>
      </c>
      <c r="B37" s="17">
        <v>7.0019999999999999E-2</v>
      </c>
      <c r="C37" s="17">
        <v>5.91E-2</v>
      </c>
      <c r="D37" s="17">
        <v>7.2650000000000006E-2</v>
      </c>
      <c r="E37" s="17">
        <v>7.0669999999999997E-2</v>
      </c>
      <c r="F37" s="17">
        <v>4.5530000000000001E-2</v>
      </c>
      <c r="G37" s="17">
        <v>4.4850000000000001E-2</v>
      </c>
      <c r="H37" s="17">
        <v>5.5199999999999999E-2</v>
      </c>
      <c r="I37" s="17">
        <v>3.5639999999999998E-2</v>
      </c>
      <c r="J37" s="17">
        <v>3.671E-2</v>
      </c>
      <c r="K37" s="17">
        <v>4.3040000000000002E-2</v>
      </c>
      <c r="L37" s="17">
        <v>4.3430000000000003E-2</v>
      </c>
      <c r="M37" s="17">
        <v>4.3439999999999999E-2</v>
      </c>
      <c r="N37" s="17">
        <v>2.7830000000000001E-2</v>
      </c>
      <c r="O37" s="17">
        <v>2.7119999999999998E-2</v>
      </c>
    </row>
    <row r="38" spans="1:15" x14ac:dyDescent="0.2">
      <c r="A38" s="18">
        <v>18.5</v>
      </c>
      <c r="B38" s="17">
        <v>7.0169999999999996E-2</v>
      </c>
      <c r="C38" s="17">
        <v>5.91E-2</v>
      </c>
      <c r="D38" s="17">
        <v>7.2870000000000004E-2</v>
      </c>
      <c r="E38" s="17">
        <v>7.1120000000000003E-2</v>
      </c>
      <c r="F38" s="17">
        <v>4.598E-2</v>
      </c>
      <c r="G38" s="17">
        <v>4.5229999999999999E-2</v>
      </c>
      <c r="H38" s="17">
        <v>5.5500000000000001E-2</v>
      </c>
      <c r="I38" s="17">
        <v>3.5909999999999997E-2</v>
      </c>
      <c r="J38" s="17">
        <v>3.7010000000000001E-2</v>
      </c>
      <c r="K38" s="17">
        <v>4.326E-2</v>
      </c>
      <c r="L38" s="17">
        <v>4.3580000000000001E-2</v>
      </c>
      <c r="M38" s="17">
        <v>4.3589999999999997E-2</v>
      </c>
      <c r="N38" s="17">
        <v>2.8129999999999999E-2</v>
      </c>
      <c r="O38" s="17">
        <v>2.742E-2</v>
      </c>
    </row>
    <row r="39" spans="1:15" x14ac:dyDescent="0.2">
      <c r="A39" s="18">
        <v>19</v>
      </c>
      <c r="B39" s="17">
        <v>7.0169999999999996E-2</v>
      </c>
      <c r="C39" s="17">
        <v>5.91E-2</v>
      </c>
      <c r="D39" s="17">
        <v>7.3020000000000002E-2</v>
      </c>
      <c r="E39" s="17">
        <v>7.1569999999999995E-2</v>
      </c>
      <c r="F39" s="17">
        <v>4.6280000000000002E-2</v>
      </c>
      <c r="G39" s="17">
        <v>4.5629999999999997E-2</v>
      </c>
      <c r="H39" s="17">
        <v>5.5800000000000002E-2</v>
      </c>
      <c r="I39" s="17">
        <v>3.6139999999999999E-2</v>
      </c>
      <c r="J39" s="17">
        <v>3.7339999999999998E-2</v>
      </c>
      <c r="K39" s="17">
        <v>4.3560000000000001E-2</v>
      </c>
      <c r="L39" s="17">
        <v>4.3700000000000003E-2</v>
      </c>
      <c r="M39" s="17">
        <v>4.3770000000000003E-2</v>
      </c>
      <c r="N39" s="17">
        <v>2.843E-2</v>
      </c>
      <c r="O39" s="17">
        <v>2.7720000000000002E-2</v>
      </c>
    </row>
    <row r="40" spans="1:15" x14ac:dyDescent="0.2">
      <c r="A40" s="18">
        <v>19.5</v>
      </c>
      <c r="B40" s="17">
        <v>7.0169999999999996E-2</v>
      </c>
      <c r="C40" s="17">
        <v>5.9200000000000003E-2</v>
      </c>
      <c r="D40" s="17">
        <v>7.3169999999999999E-2</v>
      </c>
      <c r="E40" s="17">
        <v>7.1910000000000002E-2</v>
      </c>
      <c r="F40" s="17">
        <v>4.6620000000000002E-2</v>
      </c>
      <c r="G40" s="17">
        <v>4.6010000000000002E-2</v>
      </c>
      <c r="H40" s="17">
        <v>5.6030000000000003E-2</v>
      </c>
      <c r="I40" s="17">
        <v>3.6389999999999999E-2</v>
      </c>
      <c r="J40" s="17">
        <v>3.764E-2</v>
      </c>
      <c r="K40" s="17">
        <v>4.3860000000000003E-2</v>
      </c>
      <c r="L40" s="17">
        <v>4.3799999999999999E-2</v>
      </c>
      <c r="M40" s="17">
        <v>4.3920000000000001E-2</v>
      </c>
      <c r="N40" s="17">
        <v>2.8760000000000001E-2</v>
      </c>
      <c r="O40" s="17">
        <v>2.802E-2</v>
      </c>
    </row>
    <row r="41" spans="1:15" x14ac:dyDescent="0.2">
      <c r="A41" s="18">
        <v>20</v>
      </c>
      <c r="B41" s="17">
        <v>7.0169999999999996E-2</v>
      </c>
      <c r="C41" s="17">
        <v>5.9200000000000003E-2</v>
      </c>
      <c r="D41" s="17">
        <v>7.3279999999999998E-2</v>
      </c>
      <c r="E41" s="17">
        <v>7.2209999999999996E-2</v>
      </c>
      <c r="F41" s="17">
        <v>4.6920000000000003E-2</v>
      </c>
      <c r="G41" s="17">
        <v>4.6309999999999997E-2</v>
      </c>
      <c r="H41" s="17">
        <v>5.6329999999999998E-2</v>
      </c>
      <c r="I41" s="17">
        <v>3.6589999999999998E-2</v>
      </c>
      <c r="J41" s="17">
        <v>3.798E-2</v>
      </c>
      <c r="K41" s="17">
        <v>4.4119999999999999E-2</v>
      </c>
      <c r="L41" s="17">
        <v>4.3950000000000003E-2</v>
      </c>
      <c r="M41" s="17">
        <v>4.4069999999999998E-2</v>
      </c>
      <c r="N41" s="17">
        <v>2.9059999999999999E-2</v>
      </c>
      <c r="O41" s="17">
        <v>2.8289999999999999E-2</v>
      </c>
    </row>
    <row r="42" spans="1:15" x14ac:dyDescent="0.2">
      <c r="A42" s="18">
        <v>20.5</v>
      </c>
      <c r="B42" s="17">
        <v>7.0169999999999996E-2</v>
      </c>
      <c r="C42" s="17">
        <v>5.9200000000000003E-2</v>
      </c>
      <c r="D42" s="17">
        <v>7.3349999999999999E-2</v>
      </c>
      <c r="E42" s="17">
        <v>7.2510000000000005E-2</v>
      </c>
      <c r="F42" s="17">
        <v>4.7149999999999997E-2</v>
      </c>
      <c r="G42" s="17">
        <v>4.6679999999999999E-2</v>
      </c>
      <c r="H42" s="17">
        <v>5.663E-2</v>
      </c>
      <c r="I42" s="17">
        <v>3.6839999999999998E-2</v>
      </c>
      <c r="J42" s="17">
        <v>3.8309999999999997E-2</v>
      </c>
      <c r="K42" s="17">
        <v>4.4420000000000001E-2</v>
      </c>
      <c r="L42" s="17">
        <v>4.41E-2</v>
      </c>
      <c r="M42" s="17">
        <v>4.4299999999999999E-2</v>
      </c>
      <c r="N42" s="17">
        <v>2.9239999999999999E-2</v>
      </c>
      <c r="O42" s="17">
        <v>2.8590000000000001E-2</v>
      </c>
    </row>
    <row r="43" spans="1:15" x14ac:dyDescent="0.2">
      <c r="A43" s="18">
        <v>21</v>
      </c>
      <c r="B43" s="17">
        <v>7.0169999999999996E-2</v>
      </c>
      <c r="C43" s="17">
        <v>5.9200000000000003E-2</v>
      </c>
      <c r="D43" s="17">
        <v>7.3349999999999999E-2</v>
      </c>
      <c r="E43" s="17">
        <v>7.2690000000000005E-2</v>
      </c>
      <c r="F43" s="17">
        <v>4.7399999999999998E-2</v>
      </c>
      <c r="G43" s="17">
        <v>4.6980000000000001E-2</v>
      </c>
      <c r="H43" s="17">
        <v>5.6779999999999997E-2</v>
      </c>
      <c r="I43" s="17">
        <v>3.6990000000000002E-2</v>
      </c>
      <c r="J43" s="17">
        <v>3.8760000000000003E-2</v>
      </c>
      <c r="K43" s="17">
        <v>4.4720000000000003E-2</v>
      </c>
      <c r="L43" s="17">
        <v>4.4249999999999998E-2</v>
      </c>
      <c r="M43" s="17">
        <v>4.4450000000000003E-2</v>
      </c>
      <c r="N43" s="17">
        <v>2.946E-2</v>
      </c>
      <c r="O43" s="17">
        <v>2.886E-2</v>
      </c>
    </row>
    <row r="44" spans="1:15" x14ac:dyDescent="0.2">
      <c r="A44" s="18">
        <v>21.5</v>
      </c>
      <c r="B44" s="17">
        <v>7.0169999999999996E-2</v>
      </c>
      <c r="C44" s="17">
        <v>5.9200000000000003E-2</v>
      </c>
      <c r="D44" s="17">
        <v>7.3380000000000001E-2</v>
      </c>
      <c r="E44" s="17">
        <v>7.2919999999999999E-2</v>
      </c>
      <c r="F44" s="17">
        <v>4.7669999999999997E-2</v>
      </c>
      <c r="G44" s="17">
        <v>4.7210000000000002E-2</v>
      </c>
      <c r="H44" s="17">
        <v>5.7000000000000002E-2</v>
      </c>
      <c r="I44" s="17">
        <v>3.7260000000000001E-2</v>
      </c>
      <c r="J44" s="17">
        <v>3.9109999999999999E-2</v>
      </c>
      <c r="K44" s="17">
        <v>4.4940000000000001E-2</v>
      </c>
      <c r="L44" s="17">
        <v>4.4400000000000002E-2</v>
      </c>
      <c r="M44" s="17">
        <v>4.4699999999999997E-2</v>
      </c>
      <c r="N44" s="17">
        <v>2.972E-2</v>
      </c>
      <c r="O44" s="17">
        <v>2.9010000000000001E-2</v>
      </c>
    </row>
    <row r="45" spans="1:15" x14ac:dyDescent="0.2">
      <c r="A45" s="18">
        <v>22</v>
      </c>
      <c r="B45" s="17">
        <v>7.0169999999999996E-2</v>
      </c>
      <c r="C45" s="17">
        <v>5.9299999999999999E-2</v>
      </c>
      <c r="D45" s="17">
        <v>7.3380000000000001E-2</v>
      </c>
      <c r="E45" s="17">
        <v>7.3099999999999998E-2</v>
      </c>
      <c r="F45" s="17">
        <v>4.7870000000000003E-2</v>
      </c>
      <c r="G45" s="17">
        <v>4.7460000000000002E-2</v>
      </c>
      <c r="H45" s="17">
        <v>5.7230000000000003E-2</v>
      </c>
      <c r="I45" s="17">
        <v>3.7490000000000002E-2</v>
      </c>
      <c r="J45" s="17">
        <v>3.9559999999999998E-2</v>
      </c>
      <c r="K45" s="17">
        <v>4.5289999999999997E-2</v>
      </c>
      <c r="L45" s="17">
        <v>4.4630000000000003E-2</v>
      </c>
      <c r="M45" s="17">
        <v>4.4850000000000001E-2</v>
      </c>
      <c r="N45" s="17">
        <v>2.997E-2</v>
      </c>
      <c r="O45" s="17">
        <v>2.9309999999999999E-2</v>
      </c>
    </row>
    <row r="46" spans="1:15" x14ac:dyDescent="0.2">
      <c r="A46" s="18">
        <v>22.5</v>
      </c>
      <c r="B46" s="17">
        <v>7.0169999999999996E-2</v>
      </c>
      <c r="C46" s="17">
        <v>5.9299999999999999E-2</v>
      </c>
      <c r="D46" s="17">
        <v>7.3380000000000001E-2</v>
      </c>
      <c r="E46" s="17">
        <v>7.3169999999999999E-2</v>
      </c>
      <c r="F46" s="17">
        <v>4.8120000000000003E-2</v>
      </c>
      <c r="G46" s="17">
        <v>4.7759999999999997E-2</v>
      </c>
      <c r="H46" s="17">
        <v>5.738E-2</v>
      </c>
      <c r="I46" s="17">
        <v>3.7670000000000002E-2</v>
      </c>
      <c r="J46" s="17">
        <v>3.993E-2</v>
      </c>
      <c r="K46" s="17">
        <v>4.5589999999999999E-2</v>
      </c>
      <c r="L46" s="17">
        <v>4.478E-2</v>
      </c>
      <c r="M46" s="17">
        <v>4.5080000000000002E-2</v>
      </c>
      <c r="N46" s="17">
        <v>3.015E-2</v>
      </c>
      <c r="O46" s="17">
        <v>2.9579999999999999E-2</v>
      </c>
    </row>
    <row r="47" spans="1:15" x14ac:dyDescent="0.2">
      <c r="A47" s="18">
        <v>23</v>
      </c>
      <c r="B47" s="17">
        <v>7.0169999999999996E-2</v>
      </c>
      <c r="C47" s="17">
        <v>5.9299999999999999E-2</v>
      </c>
      <c r="D47" s="17">
        <v>7.3499999999999996E-2</v>
      </c>
      <c r="E47" s="17">
        <v>7.3319999999999996E-2</v>
      </c>
      <c r="F47" s="17">
        <v>4.827E-2</v>
      </c>
      <c r="G47" s="17">
        <v>4.7989999999999998E-2</v>
      </c>
      <c r="H47" s="17">
        <v>5.7599999999999998E-2</v>
      </c>
      <c r="I47" s="17">
        <v>3.789E-2</v>
      </c>
      <c r="J47" s="17">
        <v>4.0379999999999999E-2</v>
      </c>
      <c r="K47" s="17">
        <v>4.5859999999999998E-2</v>
      </c>
      <c r="L47" s="17">
        <v>4.4929999999999998E-2</v>
      </c>
      <c r="M47" s="17">
        <v>4.5229999999999999E-2</v>
      </c>
      <c r="N47" s="17">
        <v>3.0300000000000001E-2</v>
      </c>
      <c r="O47" s="17">
        <v>2.981E-2</v>
      </c>
    </row>
    <row r="48" spans="1:15" x14ac:dyDescent="0.2">
      <c r="A48" s="18">
        <v>23.5</v>
      </c>
      <c r="B48" s="17">
        <v>7.0169999999999996E-2</v>
      </c>
      <c r="C48" s="17">
        <v>5.9299999999999999E-2</v>
      </c>
      <c r="D48" s="17">
        <v>7.3499999999999996E-2</v>
      </c>
      <c r="E48" s="17">
        <v>7.3319999999999996E-2</v>
      </c>
      <c r="F48" s="17">
        <v>4.8469999999999999E-2</v>
      </c>
      <c r="G48" s="17">
        <v>4.8210000000000003E-2</v>
      </c>
      <c r="H48" s="17">
        <v>5.7750000000000003E-2</v>
      </c>
      <c r="I48" s="17">
        <v>3.8120000000000001E-2</v>
      </c>
      <c r="J48" s="17">
        <v>4.0759999999999998E-2</v>
      </c>
      <c r="K48" s="17">
        <v>4.616E-2</v>
      </c>
      <c r="L48" s="17">
        <v>4.5030000000000001E-2</v>
      </c>
      <c r="M48" s="17">
        <v>4.548E-2</v>
      </c>
      <c r="N48" s="17">
        <v>3.048E-2</v>
      </c>
      <c r="O48" s="17">
        <v>0.03</v>
      </c>
    </row>
    <row r="49" spans="1:15" x14ac:dyDescent="0.2">
      <c r="A49" s="18">
        <v>24</v>
      </c>
      <c r="B49" s="17">
        <v>7.0169999999999996E-2</v>
      </c>
      <c r="C49" s="17">
        <v>5.9299999999999999E-2</v>
      </c>
      <c r="D49" s="17">
        <v>7.3499999999999996E-2</v>
      </c>
      <c r="E49" s="17">
        <v>7.3429999999999995E-2</v>
      </c>
      <c r="F49" s="17">
        <v>4.8689999999999997E-2</v>
      </c>
      <c r="G49" s="17">
        <v>4.8439999999999997E-2</v>
      </c>
      <c r="H49" s="17">
        <v>5.79E-2</v>
      </c>
      <c r="I49" s="17">
        <v>3.8269999999999998E-2</v>
      </c>
      <c r="J49" s="17">
        <v>4.1209999999999997E-2</v>
      </c>
      <c r="K49" s="17">
        <v>4.6460000000000001E-2</v>
      </c>
      <c r="L49" s="17">
        <v>4.5179999999999998E-2</v>
      </c>
      <c r="M49" s="17">
        <v>4.5629999999999997E-2</v>
      </c>
      <c r="N49" s="17">
        <v>3.066E-2</v>
      </c>
      <c r="O49" s="17">
        <v>3.023E-2</v>
      </c>
    </row>
    <row r="50" spans="1:15" x14ac:dyDescent="0.2">
      <c r="A50" s="18">
        <v>24.5</v>
      </c>
      <c r="B50" s="17">
        <v>7.0169999999999996E-2</v>
      </c>
      <c r="C50" s="17">
        <v>5.9299999999999999E-2</v>
      </c>
      <c r="D50" s="17">
        <v>7.3499999999999996E-2</v>
      </c>
      <c r="E50" s="17">
        <v>7.3459999999999998E-2</v>
      </c>
      <c r="F50" s="17">
        <v>4.8809999999999999E-2</v>
      </c>
      <c r="G50" s="17">
        <v>4.8590000000000001E-2</v>
      </c>
      <c r="H50" s="17">
        <v>5.8049999999999997E-2</v>
      </c>
      <c r="I50" s="17">
        <v>3.8460000000000001E-2</v>
      </c>
      <c r="J50" s="17">
        <v>4.1579999999999999E-2</v>
      </c>
      <c r="K50" s="17">
        <v>4.6710000000000002E-2</v>
      </c>
      <c r="L50" s="17">
        <v>4.5330000000000002E-2</v>
      </c>
      <c r="M50" s="17">
        <v>4.5859999999999998E-2</v>
      </c>
      <c r="N50" s="17">
        <v>3.0769999999999999E-2</v>
      </c>
      <c r="O50" s="17">
        <v>3.0349999999999999E-2</v>
      </c>
    </row>
    <row r="51" spans="1:15" x14ac:dyDescent="0.2">
      <c r="A51" s="18">
        <v>25</v>
      </c>
      <c r="B51" s="17">
        <v>7.0169999999999996E-2</v>
      </c>
      <c r="C51" s="17">
        <v>5.9299999999999999E-2</v>
      </c>
      <c r="D51" s="17">
        <v>7.3499999999999996E-2</v>
      </c>
      <c r="E51" s="17">
        <v>7.3499999999999996E-2</v>
      </c>
      <c r="F51" s="17">
        <v>4.8959999999999997E-2</v>
      </c>
      <c r="G51" s="17">
        <v>4.8770000000000001E-2</v>
      </c>
      <c r="H51" s="17">
        <v>5.8169999999999999E-2</v>
      </c>
      <c r="I51" s="17">
        <v>3.8609999999999998E-2</v>
      </c>
      <c r="J51" s="17">
        <v>4.2029999999999998E-2</v>
      </c>
      <c r="K51" s="17">
        <v>4.6980000000000001E-2</v>
      </c>
      <c r="L51" s="17">
        <v>4.548E-2</v>
      </c>
      <c r="M51" s="17">
        <v>4.6010000000000002E-2</v>
      </c>
      <c r="N51" s="17">
        <v>3.0949999999999998E-2</v>
      </c>
      <c r="O51" s="17">
        <v>3.0620000000000001E-2</v>
      </c>
    </row>
    <row r="52" spans="1:15" x14ac:dyDescent="0.2">
      <c r="A52" s="18">
        <v>25.5</v>
      </c>
      <c r="B52" s="17">
        <v>7.0300000000000001E-2</v>
      </c>
      <c r="C52" s="17">
        <v>5.9400000000000001E-2</v>
      </c>
      <c r="D52" s="17">
        <v>7.3499999999999996E-2</v>
      </c>
      <c r="E52" s="17">
        <v>7.3609999999999995E-2</v>
      </c>
      <c r="F52" s="17">
        <v>4.9110000000000001E-2</v>
      </c>
      <c r="G52" s="17">
        <v>4.8989999999999999E-2</v>
      </c>
      <c r="H52" s="17">
        <v>5.8319999999999997E-2</v>
      </c>
      <c r="I52" s="17">
        <v>3.884E-2</v>
      </c>
      <c r="J52" s="17">
        <v>4.2360000000000002E-2</v>
      </c>
      <c r="K52" s="17">
        <v>4.7280000000000003E-2</v>
      </c>
      <c r="L52" s="17">
        <v>4.5600000000000002E-2</v>
      </c>
      <c r="M52" s="17">
        <v>4.616E-2</v>
      </c>
      <c r="N52" s="17">
        <v>3.1099999999999999E-2</v>
      </c>
      <c r="O52" s="17">
        <v>3.0769999999999999E-2</v>
      </c>
    </row>
    <row r="53" spans="1:15" x14ac:dyDescent="0.2">
      <c r="A53" s="18">
        <v>26</v>
      </c>
      <c r="B53" s="17">
        <v>7.0300000000000001E-2</v>
      </c>
      <c r="C53" s="17">
        <v>5.9400000000000001E-2</v>
      </c>
      <c r="D53" s="17">
        <v>7.3499999999999996E-2</v>
      </c>
      <c r="E53" s="17">
        <v>7.3609999999999995E-2</v>
      </c>
      <c r="F53" s="17">
        <v>4.9259999999999998E-2</v>
      </c>
      <c r="G53" s="17">
        <v>4.9189999999999998E-2</v>
      </c>
      <c r="H53" s="17">
        <v>5.8470000000000001E-2</v>
      </c>
      <c r="I53" s="17">
        <v>3.8989999999999997E-2</v>
      </c>
      <c r="J53" s="17">
        <v>4.2709999999999998E-2</v>
      </c>
      <c r="K53" s="17">
        <v>4.7480000000000001E-2</v>
      </c>
      <c r="L53" s="17">
        <v>4.5749999999999999E-2</v>
      </c>
      <c r="M53" s="17">
        <v>4.6309999999999997E-2</v>
      </c>
      <c r="N53" s="17">
        <v>3.1199999999999999E-2</v>
      </c>
      <c r="O53" s="17">
        <v>3.099E-2</v>
      </c>
    </row>
    <row r="54" spans="1:15" x14ac:dyDescent="0.2">
      <c r="A54" s="18">
        <v>26.5</v>
      </c>
      <c r="B54" s="17">
        <v>7.0300000000000001E-2</v>
      </c>
      <c r="C54" s="17">
        <v>5.9400000000000001E-2</v>
      </c>
      <c r="D54" s="17">
        <v>7.3499999999999996E-2</v>
      </c>
      <c r="E54" s="17">
        <v>7.3639999999999997E-2</v>
      </c>
      <c r="F54" s="17">
        <v>4.9410000000000003E-2</v>
      </c>
      <c r="G54" s="17">
        <v>4.9340000000000002E-2</v>
      </c>
      <c r="H54" s="17">
        <v>5.8619999999999998E-2</v>
      </c>
      <c r="I54" s="17">
        <v>3.9210000000000002E-2</v>
      </c>
      <c r="J54" s="17">
        <v>4.308E-2</v>
      </c>
      <c r="K54" s="17">
        <v>4.7730000000000002E-2</v>
      </c>
      <c r="L54" s="17">
        <v>4.5859999999999998E-2</v>
      </c>
      <c r="M54" s="17">
        <v>4.6489999999999997E-2</v>
      </c>
      <c r="N54" s="17">
        <v>3.1350000000000003E-2</v>
      </c>
      <c r="O54" s="17">
        <v>3.1140000000000001E-2</v>
      </c>
    </row>
    <row r="55" spans="1:15" x14ac:dyDescent="0.2">
      <c r="A55" s="18">
        <v>27</v>
      </c>
      <c r="B55" s="17">
        <v>7.0300000000000001E-2</v>
      </c>
      <c r="C55" s="17">
        <v>5.9400000000000001E-2</v>
      </c>
      <c r="D55" s="17">
        <v>7.3599999999999999E-2</v>
      </c>
      <c r="E55" s="17">
        <v>7.3639999999999997E-2</v>
      </c>
      <c r="F55" s="17">
        <v>4.9489999999999999E-2</v>
      </c>
      <c r="G55" s="17">
        <v>4.9489999999999999E-2</v>
      </c>
      <c r="H55" s="17">
        <v>5.8770000000000003E-2</v>
      </c>
      <c r="I55" s="17">
        <v>3.9289999999999999E-2</v>
      </c>
      <c r="J55" s="17">
        <v>4.3380000000000002E-2</v>
      </c>
      <c r="K55" s="17">
        <v>4.793E-2</v>
      </c>
      <c r="L55" s="17">
        <v>4.6010000000000002E-2</v>
      </c>
      <c r="M55" s="17">
        <v>4.6640000000000001E-2</v>
      </c>
      <c r="N55" s="17">
        <v>3.1489999999999997E-2</v>
      </c>
      <c r="O55" s="17">
        <v>3.1260000000000003E-2</v>
      </c>
    </row>
    <row r="56" spans="1:15" x14ac:dyDescent="0.2">
      <c r="A56" s="18">
        <v>27.5</v>
      </c>
      <c r="B56" s="17">
        <v>7.0300000000000001E-2</v>
      </c>
      <c r="C56" s="17">
        <v>5.9400000000000001E-2</v>
      </c>
      <c r="D56" s="17">
        <v>7.3599999999999999E-2</v>
      </c>
      <c r="E56" s="17">
        <v>7.374E-2</v>
      </c>
      <c r="F56" s="17">
        <v>4.9639999999999997E-2</v>
      </c>
      <c r="G56" s="17">
        <v>4.9709999999999997E-2</v>
      </c>
      <c r="H56" s="17">
        <v>5.885E-2</v>
      </c>
      <c r="I56" s="17">
        <v>3.9440000000000003E-2</v>
      </c>
      <c r="J56" s="17">
        <v>4.3679999999999997E-2</v>
      </c>
      <c r="K56" s="17">
        <v>4.8149999999999998E-2</v>
      </c>
      <c r="L56" s="17">
        <v>4.616E-2</v>
      </c>
      <c r="M56" s="17">
        <v>4.6789999999999998E-2</v>
      </c>
      <c r="N56" s="17">
        <v>3.1559999999999998E-2</v>
      </c>
      <c r="O56" s="17">
        <v>3.141E-2</v>
      </c>
    </row>
    <row r="57" spans="1:15" x14ac:dyDescent="0.2">
      <c r="A57" s="18">
        <v>28</v>
      </c>
      <c r="B57" s="17">
        <v>7.0300000000000001E-2</v>
      </c>
      <c r="C57" s="17">
        <v>4.9500000000000002E-2</v>
      </c>
      <c r="D57" s="17">
        <v>7.3599999999999999E-2</v>
      </c>
      <c r="E57" s="17">
        <v>7.3789999999999994E-2</v>
      </c>
      <c r="F57" s="17">
        <v>4.9790000000000001E-2</v>
      </c>
      <c r="G57" s="17">
        <v>4.9860000000000002E-2</v>
      </c>
      <c r="H57" s="17">
        <v>5.8999999999999997E-2</v>
      </c>
      <c r="I57" s="17">
        <v>3.959E-2</v>
      </c>
      <c r="J57" s="17">
        <v>4.3979999999999998E-2</v>
      </c>
      <c r="K57" s="17">
        <v>4.8379999999999999E-2</v>
      </c>
      <c r="L57" s="17">
        <v>4.616E-2</v>
      </c>
      <c r="M57" s="17">
        <v>4.6940000000000003E-2</v>
      </c>
      <c r="N57" s="17">
        <v>3.1710000000000002E-2</v>
      </c>
      <c r="O57" s="17">
        <v>3.1559999999999998E-2</v>
      </c>
    </row>
    <row r="58" spans="1:15" x14ac:dyDescent="0.2">
      <c r="A58" s="18">
        <v>28.5</v>
      </c>
      <c r="B58" s="17">
        <v>7.0300000000000001E-2</v>
      </c>
      <c r="C58" s="17">
        <v>5.9029999999999999E-2</v>
      </c>
      <c r="D58" s="17">
        <v>7.3599999999999999E-2</v>
      </c>
      <c r="E58" s="17">
        <v>7.3819999999999997E-2</v>
      </c>
      <c r="F58" s="17">
        <v>4.9939999999999998E-2</v>
      </c>
      <c r="G58" s="17">
        <v>5.0009999999999999E-2</v>
      </c>
      <c r="H58" s="17">
        <v>5.9069999999999998E-2</v>
      </c>
      <c r="I58" s="17">
        <v>3.9710000000000002E-2</v>
      </c>
      <c r="J58" s="17">
        <v>4.4209999999999999E-2</v>
      </c>
      <c r="K58" s="17">
        <v>4.8529999999999997E-2</v>
      </c>
      <c r="L58" s="17">
        <v>4.6309999999999997E-2</v>
      </c>
      <c r="M58" s="17">
        <v>4.709E-2</v>
      </c>
      <c r="N58" s="17">
        <v>3.1789999999999999E-2</v>
      </c>
      <c r="O58" s="17">
        <v>3.168E-2</v>
      </c>
    </row>
    <row r="59" spans="1:15" x14ac:dyDescent="0.2">
      <c r="A59" s="18">
        <v>29</v>
      </c>
      <c r="B59" s="17">
        <v>7.0300000000000001E-2</v>
      </c>
      <c r="C59" s="17">
        <v>5.9029999999999999E-2</v>
      </c>
      <c r="D59" s="17">
        <v>7.3599999999999999E-2</v>
      </c>
      <c r="E59" s="17">
        <v>7.3940000000000006E-2</v>
      </c>
      <c r="F59" s="17">
        <v>5.006E-2</v>
      </c>
      <c r="G59" s="17">
        <v>5.0160000000000003E-2</v>
      </c>
      <c r="H59" s="17">
        <v>5.9220000000000002E-2</v>
      </c>
      <c r="I59" s="17">
        <v>3.9809999999999998E-2</v>
      </c>
      <c r="J59" s="17">
        <v>4.4510000000000001E-2</v>
      </c>
      <c r="K59" s="17">
        <v>4.8680000000000001E-2</v>
      </c>
      <c r="L59" s="17">
        <v>4.6379999999999998E-2</v>
      </c>
      <c r="M59" s="17">
        <v>4.7120000000000002E-2</v>
      </c>
      <c r="N59" s="17">
        <v>3.1890000000000002E-2</v>
      </c>
      <c r="O59" s="17">
        <v>3.1829999999999997E-2</v>
      </c>
    </row>
    <row r="60" spans="1:15" x14ac:dyDescent="0.2">
      <c r="A60" s="18">
        <v>29.5</v>
      </c>
      <c r="B60" s="17">
        <v>7.0300000000000001E-2</v>
      </c>
      <c r="C60" s="17">
        <v>5.9029999999999999E-2</v>
      </c>
      <c r="D60" s="17">
        <v>7.3599999999999999E-2</v>
      </c>
      <c r="E60" s="17">
        <v>7.4039999999999995E-2</v>
      </c>
      <c r="F60" s="17">
        <v>5.0209999999999998E-2</v>
      </c>
      <c r="G60" s="17">
        <v>5.0340000000000003E-2</v>
      </c>
      <c r="H60" s="17">
        <v>5.9369999999999999E-2</v>
      </c>
      <c r="I60" s="17">
        <v>3.9960000000000002E-2</v>
      </c>
      <c r="J60" s="17">
        <v>4.4659999999999998E-2</v>
      </c>
      <c r="K60" s="17">
        <v>4.8829999999999998E-2</v>
      </c>
      <c r="L60" s="17">
        <v>4.6460000000000001E-2</v>
      </c>
      <c r="M60" s="17">
        <v>4.7239999999999997E-2</v>
      </c>
      <c r="N60" s="17">
        <v>3.2039999999999999E-2</v>
      </c>
      <c r="O60" s="17">
        <v>3.1980000000000001E-2</v>
      </c>
    </row>
    <row r="61" spans="1:15" x14ac:dyDescent="0.2">
      <c r="A61" s="18">
        <v>30</v>
      </c>
      <c r="B61" s="17">
        <v>7.0300000000000001E-2</v>
      </c>
      <c r="C61" s="17">
        <v>5.9029999999999999E-2</v>
      </c>
      <c r="D61" s="17">
        <v>7.3599999999999999E-2</v>
      </c>
      <c r="E61" s="17">
        <v>7.4190000000000006E-2</v>
      </c>
      <c r="F61" s="17">
        <v>5.0360000000000002E-2</v>
      </c>
      <c r="G61" s="17">
        <v>5.049E-2</v>
      </c>
      <c r="H61" s="17">
        <v>5.9490000000000001E-2</v>
      </c>
      <c r="I61" s="17">
        <v>4.0039999999999999E-2</v>
      </c>
      <c r="J61" s="17">
        <v>4.4810000000000003E-2</v>
      </c>
      <c r="K61" s="17">
        <v>4.895E-2</v>
      </c>
      <c r="L61" s="17">
        <v>4.6460000000000001E-2</v>
      </c>
      <c r="M61" s="17">
        <v>4.727E-2</v>
      </c>
      <c r="N61" s="17">
        <v>3.2120000000000003E-2</v>
      </c>
      <c r="O61" s="17">
        <v>3.2099999999999997E-2</v>
      </c>
    </row>
  </sheetData>
  <conditionalFormatting sqref="A2:O61">
    <cfRule type="expression" dxfId="0" priority="1">
      <formula>ISODD(ROW())</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0D0DD-BB45-9A40-852F-9E48DFE21FD9}">
  <sheetPr>
    <tabColor theme="1"/>
  </sheetPr>
  <dimension ref="A1"/>
  <sheetViews>
    <sheetView workbookViewId="0"/>
  </sheetViews>
  <sheetFormatPr baseColWidth="10" defaultColWidth="11.5" defaultRowHeight="15"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8DD2F-C625-9D4A-8237-CDB5222FD5F0}">
  <sheetPr>
    <tabColor theme="9" tint="0.79998168889431442"/>
  </sheetPr>
  <dimension ref="B2:J30"/>
  <sheetViews>
    <sheetView workbookViewId="0">
      <selection activeCell="F3" sqref="F3"/>
    </sheetView>
  </sheetViews>
  <sheetFormatPr baseColWidth="10" defaultColWidth="11.5" defaultRowHeight="15" x14ac:dyDescent="0.2"/>
  <cols>
    <col min="1" max="1" width="4.5" customWidth="1"/>
    <col min="2" max="3" width="11" customWidth="1"/>
    <col min="4" max="4" width="12.1640625" bestFit="1" customWidth="1"/>
    <col min="5" max="5" width="12" customWidth="1"/>
    <col min="6" max="8" width="11" customWidth="1"/>
    <col min="9" max="9" width="11.5" bestFit="1" customWidth="1"/>
  </cols>
  <sheetData>
    <row r="2" spans="2:10" x14ac:dyDescent="0.2">
      <c r="B2" s="46" t="s">
        <v>1</v>
      </c>
      <c r="C2" s="44" t="str">
        <f>Population!B2</f>
        <v>East Rarita</v>
      </c>
      <c r="D2" s="44" t="str">
        <f>Population!C2</f>
        <v>Central Rarita</v>
      </c>
      <c r="E2" s="54" t="str">
        <f>Population!D2</f>
        <v>West Rarita</v>
      </c>
      <c r="F2" s="54" t="s">
        <v>56</v>
      </c>
      <c r="G2" s="34"/>
      <c r="H2" s="34" t="s">
        <v>57</v>
      </c>
    </row>
    <row r="3" spans="2:10" x14ac:dyDescent="0.2">
      <c r="B3" s="47">
        <f>Population!A3</f>
        <v>2011</v>
      </c>
      <c r="C3" s="33">
        <f>Population!B3</f>
        <v>1830487</v>
      </c>
      <c r="D3" s="33">
        <f>Population!C3</f>
        <v>3030693</v>
      </c>
      <c r="E3" s="53">
        <f>Population!D3</f>
        <v>7226446</v>
      </c>
      <c r="F3" s="53">
        <f>SUM(C3:E3)</f>
        <v>12087626</v>
      </c>
      <c r="H3" s="56" t="str">
        <f>C2</f>
        <v>East Rarita</v>
      </c>
      <c r="I3" s="44" t="str">
        <f t="shared" ref="I3:J3" si="0">D2</f>
        <v>Central Rarita</v>
      </c>
      <c r="J3" s="54" t="str">
        <f t="shared" si="0"/>
        <v>West Rarita</v>
      </c>
    </row>
    <row r="4" spans="2:10" x14ac:dyDescent="0.2">
      <c r="B4" s="47">
        <f>B3+1</f>
        <v>2012</v>
      </c>
      <c r="C4" s="33">
        <f>Population!B4</f>
        <v>1839177</v>
      </c>
      <c r="D4" s="33">
        <f>Population!C4</f>
        <v>3031099</v>
      </c>
      <c r="E4" s="53">
        <f>Population!D4</f>
        <v>7267257</v>
      </c>
      <c r="F4" s="53">
        <f t="shared" ref="F4:F21" si="1">SUM(C4:E4)</f>
        <v>12137533</v>
      </c>
      <c r="H4" s="37">
        <f>C4/C3-1</f>
        <v>4.7473705085039342E-3</v>
      </c>
      <c r="I4" s="38">
        <f t="shared" ref="I4:J12" si="2">D4/D3-1</f>
        <v>1.339627603322846E-4</v>
      </c>
      <c r="J4" s="39">
        <f t="shared" si="2"/>
        <v>5.6474510430162272E-3</v>
      </c>
    </row>
    <row r="5" spans="2:10" x14ac:dyDescent="0.2">
      <c r="B5" s="47">
        <f t="shared" ref="B5:B12" si="3">B4+1</f>
        <v>2013</v>
      </c>
      <c r="C5" s="33">
        <f>Population!B5</f>
        <v>1848062</v>
      </c>
      <c r="D5" s="33">
        <f>Population!C5</f>
        <v>3019905</v>
      </c>
      <c r="E5" s="53">
        <f>Population!D5</f>
        <v>7307914</v>
      </c>
      <c r="F5" s="53">
        <f t="shared" si="1"/>
        <v>12175881</v>
      </c>
      <c r="H5" s="37">
        <f t="shared" ref="H5:H12" si="4">C5/C4-1</f>
        <v>4.8309651545228594E-3</v>
      </c>
      <c r="I5" s="38">
        <f t="shared" si="2"/>
        <v>-3.6930499465704925E-3</v>
      </c>
      <c r="J5" s="39">
        <f t="shared" si="2"/>
        <v>5.5945455073351802E-3</v>
      </c>
    </row>
    <row r="6" spans="2:10" x14ac:dyDescent="0.2">
      <c r="B6" s="47">
        <f t="shared" si="3"/>
        <v>2014</v>
      </c>
      <c r="C6" s="33">
        <f>Population!B6</f>
        <v>1859198</v>
      </c>
      <c r="D6" s="33">
        <f>Population!C6</f>
        <v>3010270</v>
      </c>
      <c r="E6" s="53">
        <f>Population!D6</f>
        <v>7352123</v>
      </c>
      <c r="F6" s="53">
        <f t="shared" si="1"/>
        <v>12221591</v>
      </c>
      <c r="H6" s="37">
        <f t="shared" si="4"/>
        <v>6.025771862632423E-3</v>
      </c>
      <c r="I6" s="38">
        <f t="shared" si="2"/>
        <v>-3.1904977143321078E-3</v>
      </c>
      <c r="J6" s="39">
        <f t="shared" si="2"/>
        <v>6.0494691097896514E-3</v>
      </c>
    </row>
    <row r="7" spans="2:10" x14ac:dyDescent="0.2">
      <c r="B7" s="47">
        <f t="shared" si="3"/>
        <v>2015</v>
      </c>
      <c r="C7" s="33">
        <f>Population!B7</f>
        <v>1872389</v>
      </c>
      <c r="D7" s="33">
        <f>Population!C7</f>
        <v>3006228</v>
      </c>
      <c r="E7" s="53">
        <f>Population!D7</f>
        <v>7394062</v>
      </c>
      <c r="F7" s="53">
        <f t="shared" si="1"/>
        <v>12272679</v>
      </c>
      <c r="H7" s="37">
        <f t="shared" si="4"/>
        <v>7.094994723531256E-3</v>
      </c>
      <c r="I7" s="38">
        <f t="shared" si="2"/>
        <v>-1.3427366980370836E-3</v>
      </c>
      <c r="J7" s="39">
        <f t="shared" si="2"/>
        <v>5.7043387331794371E-3</v>
      </c>
    </row>
    <row r="8" spans="2:10" x14ac:dyDescent="0.2">
      <c r="B8" s="47">
        <f t="shared" si="3"/>
        <v>2016</v>
      </c>
      <c r="C8" s="33">
        <f>Population!B8</f>
        <v>1888325</v>
      </c>
      <c r="D8" s="33">
        <f>Population!C8</f>
        <v>3007362</v>
      </c>
      <c r="E8" s="53">
        <f>Population!D8</f>
        <v>7435584</v>
      </c>
      <c r="F8" s="53">
        <f t="shared" si="1"/>
        <v>12331271</v>
      </c>
      <c r="H8" s="37">
        <f t="shared" si="4"/>
        <v>8.5110519235052084E-3</v>
      </c>
      <c r="I8" s="38">
        <f t="shared" si="2"/>
        <v>3.7721689772030054E-4</v>
      </c>
      <c r="J8" s="39">
        <f t="shared" si="2"/>
        <v>5.6155872103857973E-3</v>
      </c>
    </row>
    <row r="9" spans="2:10" x14ac:dyDescent="0.2">
      <c r="B9" s="47">
        <f t="shared" si="3"/>
        <v>2017</v>
      </c>
      <c r="C9" s="33">
        <f>Population!B9</f>
        <v>1904969</v>
      </c>
      <c r="D9" s="33">
        <f>Population!C9</f>
        <v>3011351</v>
      </c>
      <c r="E9" s="53">
        <f>Population!D9</f>
        <v>7476687</v>
      </c>
      <c r="F9" s="53">
        <f t="shared" si="1"/>
        <v>12393007</v>
      </c>
      <c r="H9" s="37">
        <f t="shared" si="4"/>
        <v>8.814160697973028E-3</v>
      </c>
      <c r="I9" s="38">
        <f t="shared" si="2"/>
        <v>1.3264116524716041E-3</v>
      </c>
      <c r="J9" s="39">
        <f t="shared" si="2"/>
        <v>5.5278778371679049E-3</v>
      </c>
    </row>
    <row r="10" spans="2:10" x14ac:dyDescent="0.2">
      <c r="B10" s="47">
        <f t="shared" si="3"/>
        <v>2018</v>
      </c>
      <c r="C10" s="33">
        <f>Population!B10</f>
        <v>1920728</v>
      </c>
      <c r="D10" s="33">
        <f>Population!C10</f>
        <v>3021994</v>
      </c>
      <c r="E10" s="53">
        <f>Population!D10</f>
        <v>7520631</v>
      </c>
      <c r="F10" s="53">
        <f t="shared" si="1"/>
        <v>12463353</v>
      </c>
      <c r="H10" s="37">
        <f t="shared" si="4"/>
        <v>8.2725755642216736E-3</v>
      </c>
      <c r="I10" s="38">
        <f t="shared" si="2"/>
        <v>3.5342940759812702E-3</v>
      </c>
      <c r="J10" s="39">
        <f t="shared" si="2"/>
        <v>5.8774695262755472E-3</v>
      </c>
    </row>
    <row r="11" spans="2:10" x14ac:dyDescent="0.2">
      <c r="B11" s="47">
        <f t="shared" si="3"/>
        <v>2019</v>
      </c>
      <c r="C11" s="33">
        <f>Population!B11</f>
        <v>1936433</v>
      </c>
      <c r="D11" s="33">
        <f>Population!C11</f>
        <v>3043234</v>
      </c>
      <c r="E11" s="53">
        <f>Population!D11</f>
        <v>7569121</v>
      </c>
      <c r="F11" s="53">
        <f t="shared" si="1"/>
        <v>12548788</v>
      </c>
      <c r="H11" s="37">
        <f t="shared" si="4"/>
        <v>8.1765872106827064E-3</v>
      </c>
      <c r="I11" s="38">
        <f t="shared" si="2"/>
        <v>7.0284719294610998E-3</v>
      </c>
      <c r="J11" s="39">
        <f t="shared" si="2"/>
        <v>6.4475972827280348E-3</v>
      </c>
    </row>
    <row r="12" spans="2:10" x14ac:dyDescent="0.2">
      <c r="B12" s="47">
        <f t="shared" si="3"/>
        <v>2020</v>
      </c>
      <c r="C12" s="33">
        <f>Population!B12</f>
        <v>1943215</v>
      </c>
      <c r="D12" s="33">
        <f>Population!C12</f>
        <v>3020190</v>
      </c>
      <c r="E12" s="53">
        <f>Population!D12</f>
        <v>7606067</v>
      </c>
      <c r="F12" s="53">
        <f t="shared" si="1"/>
        <v>12569472</v>
      </c>
      <c r="H12" s="37">
        <f t="shared" si="4"/>
        <v>3.5023158560094636E-3</v>
      </c>
      <c r="I12" s="38">
        <f t="shared" si="2"/>
        <v>-7.5722077237569962E-3</v>
      </c>
      <c r="J12" s="39">
        <f t="shared" si="2"/>
        <v>4.881148022339632E-3</v>
      </c>
    </row>
    <row r="13" spans="2:10" x14ac:dyDescent="0.2">
      <c r="B13" s="48">
        <f t="shared" ref="B13:B21" si="5">B12+1</f>
        <v>2021</v>
      </c>
      <c r="C13" s="72">
        <f>C12*(1+H13)</f>
        <v>1957989.449158052</v>
      </c>
      <c r="D13" s="72">
        <f t="shared" ref="D13:D21" si="6">D12*(1+I13)</f>
        <v>3023443.6932886005</v>
      </c>
      <c r="E13" s="73">
        <f t="shared" ref="E13:E21" si="7">E12*(1+J13)</f>
        <v>7648809.375193581</v>
      </c>
      <c r="F13" s="73">
        <f t="shared" si="1"/>
        <v>12630242.517640233</v>
      </c>
      <c r="H13" s="40">
        <f>_xlfn.FORECAST.LINEAR($B13,H$4:H12,$B$4:$B12)</f>
        <v>7.6030954670748829E-3</v>
      </c>
      <c r="I13" s="41">
        <f>_xlfn.FORECAST.LINEAR($B13,I$4:I12,$B$4:$B12)</f>
        <v>1.0773141056027447E-3</v>
      </c>
      <c r="J13" s="42">
        <f>_xlfn.FORECAST.LINEAR($B13,J$4:J12,$B$4:$B12)</f>
        <v>5.6195107397268643E-3</v>
      </c>
    </row>
    <row r="14" spans="2:10" x14ac:dyDescent="0.2">
      <c r="B14" s="51">
        <f t="shared" si="5"/>
        <v>2022</v>
      </c>
      <c r="C14" s="36">
        <f t="shared" ref="C14:C21" si="8">C13*(1+H14)</f>
        <v>1973243.9866517105</v>
      </c>
      <c r="D14" s="36">
        <f t="shared" si="6"/>
        <v>3027580.6441818518</v>
      </c>
      <c r="E14" s="36">
        <f t="shared" si="7"/>
        <v>7691661.0810990501</v>
      </c>
      <c r="F14" s="49">
        <f t="shared" si="1"/>
        <v>12692485.711932613</v>
      </c>
      <c r="H14" s="37">
        <f>_xlfn.FORECAST.LINEAR($B14,H$4:H13,$B$4:$B13)</f>
        <v>7.7909191493436003E-3</v>
      </c>
      <c r="I14" s="38">
        <f>_xlfn.FORECAST.LINEAR($B14,I$4:I13,$B$4:$B13)</f>
        <v>1.3682910326506814E-3</v>
      </c>
      <c r="J14" s="39">
        <f>_xlfn.FORECAST.LINEAR($B14,J$4:J13,$B$4:$B13)</f>
        <v>5.6024021260674059E-3</v>
      </c>
    </row>
    <row r="15" spans="2:10" x14ac:dyDescent="0.2">
      <c r="B15" s="51">
        <f t="shared" si="5"/>
        <v>2023</v>
      </c>
      <c r="C15" s="36">
        <f t="shared" si="8"/>
        <v>1988987.9929652298</v>
      </c>
      <c r="D15" s="36">
        <f t="shared" si="6"/>
        <v>3032604.2117401459</v>
      </c>
      <c r="E15" s="36">
        <f t="shared" si="7"/>
        <v>7734621.2658349527</v>
      </c>
      <c r="F15" s="49">
        <f t="shared" si="1"/>
        <v>12756213.47054033</v>
      </c>
      <c r="H15" s="37">
        <f>_xlfn.FORECAST.LINEAR($B15,H$4:H14,$B$4:$B14)</f>
        <v>7.9787428316122622E-3</v>
      </c>
      <c r="I15" s="38">
        <f>_xlfn.FORECAST.LINEAR($B15,I$4:I14,$B$4:$B14)</f>
        <v>1.6592679596985072E-3</v>
      </c>
      <c r="J15" s="39">
        <f>_xlfn.FORECAST.LINEAR($B15,J$4:J14,$B$4:$B14)</f>
        <v>5.5852935124079406E-3</v>
      </c>
    </row>
    <row r="16" spans="2:10" x14ac:dyDescent="0.2">
      <c r="B16" s="51">
        <f t="shared" si="5"/>
        <v>2024</v>
      </c>
      <c r="C16" s="36">
        <f t="shared" si="8"/>
        <v>2005231.1957050911</v>
      </c>
      <c r="D16" s="36">
        <f t="shared" si="6"/>
        <v>3038518.5325976177</v>
      </c>
      <c r="E16" s="36">
        <f t="shared" si="7"/>
        <v>7777689.0671649147</v>
      </c>
      <c r="F16" s="49">
        <f t="shared" si="1"/>
        <v>12821438.795467623</v>
      </c>
      <c r="H16" s="37">
        <f>_xlfn.FORECAST.LINEAR($B16,H$4:H15,$B$4:$B15)</f>
        <v>8.1665665138809795E-3</v>
      </c>
      <c r="I16" s="38">
        <f>_xlfn.FORECAST.LINEAR($B16,I$4:I15,$B$4:$B15)</f>
        <v>1.9502448867464439E-3</v>
      </c>
      <c r="J16" s="39">
        <f>_xlfn.FORECAST.LINEAR($B16,J$4:J15,$B$4:$B15)</f>
        <v>5.5681848987484892E-3</v>
      </c>
    </row>
    <row r="17" spans="2:10" x14ac:dyDescent="0.2">
      <c r="B17" s="51">
        <f t="shared" si="5"/>
        <v>2025</v>
      </c>
      <c r="C17" s="36">
        <f t="shared" si="8"/>
        <v>2021983.6795475036</v>
      </c>
      <c r="D17" s="36">
        <f t="shared" si="6"/>
        <v>3045328.5266144932</v>
      </c>
      <c r="E17" s="36">
        <f t="shared" si="7"/>
        <v>7820863.6124984501</v>
      </c>
      <c r="F17" s="49">
        <f t="shared" si="1"/>
        <v>12888175.818660446</v>
      </c>
      <c r="H17" s="37">
        <f>_xlfn.FORECAST.LINEAR($B17,H$4:H16,$B$4:$B16)</f>
        <v>8.3543901961496969E-3</v>
      </c>
      <c r="I17" s="38">
        <f>_xlfn.FORECAST.LINEAR($B17,I$4:I16,$B$4:$B16)</f>
        <v>2.2412218137942697E-3</v>
      </c>
      <c r="J17" s="39">
        <f>_xlfn.FORECAST.LINEAR($B17,J$4:J16,$B$4:$B16)</f>
        <v>5.5510762850890308E-3</v>
      </c>
    </row>
    <row r="18" spans="2:10" x14ac:dyDescent="0.2">
      <c r="B18" s="51">
        <f t="shared" si="5"/>
        <v>2026</v>
      </c>
      <c r="C18" s="36">
        <f t="shared" si="8"/>
        <v>2039255.8965968697</v>
      </c>
      <c r="D18" s="36">
        <f t="shared" si="6"/>
        <v>3053039.9036750374</v>
      </c>
      <c r="E18" s="36">
        <f t="shared" si="7"/>
        <v>7864144.0188926775</v>
      </c>
      <c r="F18" s="49">
        <f t="shared" si="1"/>
        <v>12956439.819164585</v>
      </c>
      <c r="H18" s="37">
        <f>_xlfn.FORECAST.LINEAR($B18,H$4:H17,$B$4:$B17)</f>
        <v>8.5422138784183588E-3</v>
      </c>
      <c r="I18" s="38">
        <f>_xlfn.FORECAST.LINEAR($B18,I$4:I17,$B$4:$B17)</f>
        <v>2.5321987408422064E-3</v>
      </c>
      <c r="J18" s="39">
        <f>_xlfn.FORECAST.LINEAR($B18,J$4:J17,$B$4:$B17)</f>
        <v>5.5339676714295655E-3</v>
      </c>
    </row>
    <row r="19" spans="2:10" x14ac:dyDescent="0.2">
      <c r="B19" s="51">
        <f t="shared" si="5"/>
        <v>2027</v>
      </c>
      <c r="C19" s="36">
        <f t="shared" si="8"/>
        <v>2057058.6771700131</v>
      </c>
      <c r="D19" s="36">
        <f t="shared" si="6"/>
        <v>3061659.1716441903</v>
      </c>
      <c r="E19" s="36">
        <f t="shared" si="7"/>
        <v>7907529.3930549137</v>
      </c>
      <c r="F19" s="49">
        <f t="shared" si="1"/>
        <v>13026247.241869118</v>
      </c>
      <c r="H19" s="37">
        <f>_xlfn.FORECAST.LINEAR($B19,H$4:H18,$B$4:$B18)</f>
        <v>8.7300375606870761E-3</v>
      </c>
      <c r="I19" s="38">
        <f>_xlfn.FORECAST.LINEAR($B19,I$4:I18,$B$4:$B18)</f>
        <v>2.8231756678900322E-3</v>
      </c>
      <c r="J19" s="39">
        <f>_xlfn.FORECAST.LINEAR($B19,J$4:J18,$B$4:$B18)</f>
        <v>5.516859057770114E-3</v>
      </c>
    </row>
    <row r="20" spans="2:10" x14ac:dyDescent="0.2">
      <c r="B20" s="51">
        <f t="shared" si="5"/>
        <v>2028</v>
      </c>
      <c r="C20" s="36">
        <f t="shared" si="8"/>
        <v>2075403.2410216336</v>
      </c>
      <c r="D20" s="36">
        <f t="shared" si="6"/>
        <v>3071193.6454983815</v>
      </c>
      <c r="E20" s="36">
        <f t="shared" si="7"/>
        <v>7951018.8313461849</v>
      </c>
      <c r="F20" s="49">
        <f t="shared" si="1"/>
        <v>13097615.717866201</v>
      </c>
      <c r="H20" s="37">
        <f>_xlfn.FORECAST.LINEAR($B20,H$4:H19,$B$4:$B19)</f>
        <v>8.9178612429557935E-3</v>
      </c>
      <c r="I20" s="38">
        <f>_xlfn.FORECAST.LINEAR($B20,I$4:I19,$B$4:$B19)</f>
        <v>3.1141525949378579E-3</v>
      </c>
      <c r="J20" s="39">
        <f>_xlfn.FORECAST.LINEAR($B20,J$4:J19,$B$4:$B19)</f>
        <v>5.4997504441106487E-3</v>
      </c>
    </row>
    <row r="21" spans="2:10" x14ac:dyDescent="0.2">
      <c r="B21" s="51">
        <f t="shared" si="5"/>
        <v>2029</v>
      </c>
      <c r="C21" s="36">
        <f t="shared" si="8"/>
        <v>2094301.2090271662</v>
      </c>
      <c r="D21" s="36">
        <f t="shared" si="6"/>
        <v>3081651.4576484035</v>
      </c>
      <c r="E21" s="36">
        <f t="shared" si="7"/>
        <v>7994611.419785629</v>
      </c>
      <c r="F21" s="49">
        <f t="shared" si="1"/>
        <v>13170564.086461198</v>
      </c>
      <c r="H21" s="37">
        <f>_xlfn.FORECAST.LINEAR($B21,H$4:H20,$B$4:$B20)</f>
        <v>9.1056849252244554E-3</v>
      </c>
      <c r="I21" s="38">
        <f>_xlfn.FORECAST.LINEAR($B21,I$4:I20,$B$4:$B20)</f>
        <v>3.4051295219857947E-3</v>
      </c>
      <c r="J21" s="39">
        <f>_xlfn.FORECAST.LINEAR($B21,J$4:J20,$B$4:$B20)</f>
        <v>5.4826418304511904E-3</v>
      </c>
    </row>
    <row r="22" spans="2:10" x14ac:dyDescent="0.2">
      <c r="B22" s="51">
        <v>2030</v>
      </c>
      <c r="C22" s="36">
        <f t="shared" ref="C22" si="9">C21*(1+H22)</f>
        <v>2113764.6153399437</v>
      </c>
      <c r="D22" s="36">
        <f t="shared" ref="D22" si="10">D21*(1+I22)</f>
        <v>3093041.569474692</v>
      </c>
      <c r="E22" s="36">
        <f t="shared" ref="E22" si="11">E21*(1+J22)</f>
        <v>8038306.2340558097</v>
      </c>
      <c r="F22" s="49">
        <f t="shared" ref="F22" si="12">SUM(C22:E22)</f>
        <v>13245112.418870445</v>
      </c>
      <c r="H22" s="37">
        <f>_xlfn.FORECAST.LINEAR($B22,H$4:H21,$B$4:$B21)</f>
        <v>9.2935086074931728E-3</v>
      </c>
      <c r="I22" s="38">
        <f>_xlfn.FORECAST.LINEAR($B22,I$4:I21,$B$4:$B21)</f>
        <v>3.6961064490337314E-3</v>
      </c>
      <c r="J22" s="39">
        <f>_xlfn.FORECAST.LINEAR($B22,J$4:J21,$B$4:$B21)</f>
        <v>5.465533216791732E-3</v>
      </c>
    </row>
    <row r="23" spans="2:10" x14ac:dyDescent="0.2">
      <c r="B23" s="52">
        <v>2031</v>
      </c>
      <c r="C23" s="43">
        <f>C21*(1+H23)</f>
        <v>2114157.974704803</v>
      </c>
      <c r="D23" s="43">
        <f>D21*(1+I23)</f>
        <v>3093938.2589460709</v>
      </c>
      <c r="E23" s="43">
        <f>E21*(1+J23)</f>
        <v>8038169.4573376719</v>
      </c>
      <c r="F23" s="50">
        <f>SUM(C23:E23)</f>
        <v>13246265.690988546</v>
      </c>
      <c r="H23" s="40">
        <f>_xlfn.FORECAST.LINEAR($B23,H$4:H21,$B$4:$B21)</f>
        <v>9.4813322897618901E-3</v>
      </c>
      <c r="I23" s="41">
        <f>_xlfn.FORECAST.LINEAR($B23,I$4:I21,$B$4:$B21)</f>
        <v>3.9870833760815572E-3</v>
      </c>
      <c r="J23" s="42">
        <f>_xlfn.FORECAST.LINEAR($B23,J$4:J21,$B$4:$B21)</f>
        <v>5.4484246031322736E-3</v>
      </c>
    </row>
    <row r="28" spans="2:10" x14ac:dyDescent="0.2">
      <c r="C28" s="33"/>
      <c r="D28" t="s">
        <v>58</v>
      </c>
    </row>
    <row r="29" spans="2:10" x14ac:dyDescent="0.2">
      <c r="C29" s="35"/>
      <c r="D29" t="s">
        <v>59</v>
      </c>
    </row>
    <row r="30" spans="2:10" x14ac:dyDescent="0.2">
      <c r="C30" s="32"/>
      <c r="D30" t="s">
        <v>60</v>
      </c>
    </row>
  </sheetData>
  <pageMargins left="0.7" right="0.7" top="0.75" bottom="0.75" header="0.3" footer="0.3"/>
  <pageSetup paperSize="9"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23BFB-A2B4-DF4A-99F2-AECE717A17B8}">
  <sheetPr>
    <tabColor theme="9" tint="0.79998168889431442"/>
  </sheetPr>
  <dimension ref="B2:G51"/>
  <sheetViews>
    <sheetView showGridLines="0" tabSelected="1" workbookViewId="0">
      <selection activeCell="R56" sqref="R56"/>
    </sheetView>
  </sheetViews>
  <sheetFormatPr baseColWidth="10" defaultColWidth="11.5" defaultRowHeight="15" x14ac:dyDescent="0.2"/>
  <cols>
    <col min="1" max="1" width="4.6640625" customWidth="1"/>
    <col min="3" max="3" width="18.83203125" customWidth="1"/>
    <col min="4" max="4" width="13.83203125" customWidth="1"/>
  </cols>
  <sheetData>
    <row r="2" spans="2:6" x14ac:dyDescent="0.2">
      <c r="B2" s="304"/>
      <c r="C2" s="304"/>
      <c r="D2" s="304"/>
    </row>
    <row r="3" spans="2:6" x14ac:dyDescent="0.2">
      <c r="B3" s="305" t="s">
        <v>243</v>
      </c>
      <c r="C3" s="304"/>
      <c r="D3" s="304"/>
    </row>
    <row r="4" spans="2:6" x14ac:dyDescent="0.2">
      <c r="B4" s="304"/>
      <c r="C4" s="304"/>
      <c r="D4" s="304"/>
    </row>
    <row r="5" spans="2:6" ht="16" customHeight="1" x14ac:dyDescent="0.2">
      <c r="B5" s="294" t="str">
        <f>Inflation!A1</f>
        <v>Year</v>
      </c>
      <c r="C5" s="306" t="str">
        <f>Inflation!B1</f>
        <v>Annual Inflation Rate</v>
      </c>
      <c r="D5" s="304"/>
      <c r="F5" s="34" t="s">
        <v>61</v>
      </c>
    </row>
    <row r="6" spans="2:6" hidden="1" x14ac:dyDescent="0.2">
      <c r="B6" s="295">
        <f>Inflation!A2</f>
        <v>1991</v>
      </c>
      <c r="C6" s="307">
        <f>Inflation!B2</f>
        <v>9.7299999999999998E-2</v>
      </c>
      <c r="D6" s="304"/>
    </row>
    <row r="7" spans="2:6" hidden="1" x14ac:dyDescent="0.2">
      <c r="B7" s="295">
        <f>Inflation!A3</f>
        <v>1992</v>
      </c>
      <c r="C7" s="307">
        <f>Inflation!B3</f>
        <v>8.0399999999999999E-2</v>
      </c>
      <c r="D7" s="304"/>
    </row>
    <row r="8" spans="2:6" hidden="1" x14ac:dyDescent="0.2">
      <c r="B8" s="295">
        <f>Inflation!A4</f>
        <v>1993</v>
      </c>
      <c r="C8" s="307">
        <f>Inflation!B4</f>
        <v>7.0000000000000007E-2</v>
      </c>
      <c r="D8" s="304"/>
    </row>
    <row r="9" spans="2:6" hidden="1" x14ac:dyDescent="0.2">
      <c r="B9" s="295">
        <f>Inflation!A5</f>
        <v>1994</v>
      </c>
      <c r="C9" s="307">
        <f>Inflation!B5</f>
        <v>4.8000000000000001E-2</v>
      </c>
      <c r="D9" s="304"/>
    </row>
    <row r="10" spans="2:6" hidden="1" x14ac:dyDescent="0.2">
      <c r="B10" s="295">
        <f>Inflation!A6</f>
        <v>1995</v>
      </c>
      <c r="C10" s="307">
        <f>Inflation!B6</f>
        <v>3.3500000000000002E-2</v>
      </c>
      <c r="D10" s="304"/>
    </row>
    <row r="11" spans="2:6" hidden="1" x14ac:dyDescent="0.2">
      <c r="B11" s="295">
        <f>Inflation!A7</f>
        <v>1996</v>
      </c>
      <c r="C11" s="307">
        <f>Inflation!B7</f>
        <v>3.5200000000000002E-2</v>
      </c>
      <c r="D11" s="304"/>
    </row>
    <row r="12" spans="2:6" hidden="1" x14ac:dyDescent="0.2">
      <c r="B12" s="295">
        <f>Inflation!A8</f>
        <v>1997</v>
      </c>
      <c r="C12" s="307">
        <f>Inflation!B8</f>
        <v>5.0900000000000001E-2</v>
      </c>
      <c r="D12" s="304"/>
    </row>
    <row r="13" spans="2:6" hidden="1" x14ac:dyDescent="0.2">
      <c r="B13" s="295">
        <f>Inflation!A9</f>
        <v>1998</v>
      </c>
      <c r="C13" s="307">
        <f>Inflation!B9</f>
        <v>2.58E-2</v>
      </c>
      <c r="D13" s="304"/>
    </row>
    <row r="14" spans="2:6" hidden="1" x14ac:dyDescent="0.2">
      <c r="B14" s="295">
        <f>Inflation!A10</f>
        <v>1999</v>
      </c>
      <c r="C14" s="307">
        <f>Inflation!B10</f>
        <v>1.7899999999999999E-2</v>
      </c>
      <c r="D14" s="304"/>
    </row>
    <row r="15" spans="2:6" hidden="1" x14ac:dyDescent="0.2">
      <c r="B15" s="295">
        <f>Inflation!A11</f>
        <v>2000</v>
      </c>
      <c r="C15" s="307">
        <f>Inflation!B11</f>
        <v>3.0200000000000001E-2</v>
      </c>
      <c r="D15" s="304"/>
    </row>
    <row r="16" spans="2:6" hidden="1" x14ac:dyDescent="0.2">
      <c r="B16" s="295">
        <f>Inflation!A12</f>
        <v>2001</v>
      </c>
      <c r="C16" s="307">
        <f>Inflation!B12</f>
        <v>2.9499999999999998E-2</v>
      </c>
      <c r="D16" s="304"/>
    </row>
    <row r="17" spans="2:6" hidden="1" x14ac:dyDescent="0.2">
      <c r="B17" s="295">
        <f>Inflation!A13</f>
        <v>2002</v>
      </c>
      <c r="C17" s="307">
        <f>Inflation!B13</f>
        <v>1.37E-2</v>
      </c>
      <c r="D17" s="304"/>
    </row>
    <row r="18" spans="2:6" hidden="1" x14ac:dyDescent="0.2">
      <c r="B18" s="295">
        <f>Inflation!A14</f>
        <v>2003</v>
      </c>
      <c r="C18" s="307">
        <f>Inflation!B14</f>
        <v>2.2800000000000001E-2</v>
      </c>
      <c r="D18" s="304"/>
    </row>
    <row r="19" spans="2:6" hidden="1" x14ac:dyDescent="0.2">
      <c r="B19" s="295">
        <f>Inflation!A15</f>
        <v>2004</v>
      </c>
      <c r="C19" s="307">
        <f>Inflation!B15</f>
        <v>3.3399999999999999E-2</v>
      </c>
      <c r="D19" s="304"/>
    </row>
    <row r="20" spans="2:6" hidden="1" x14ac:dyDescent="0.2">
      <c r="B20" s="295">
        <f>Inflation!A16</f>
        <v>2005</v>
      </c>
      <c r="C20" s="307">
        <f>Inflation!B16</f>
        <v>3.5200000000000002E-2</v>
      </c>
      <c r="D20" s="304"/>
    </row>
    <row r="21" spans="2:6" hidden="1" x14ac:dyDescent="0.2">
      <c r="B21" s="295">
        <f>Inflation!A17</f>
        <v>2006</v>
      </c>
      <c r="C21" s="307">
        <f>Inflation!B17</f>
        <v>3.9600000000000003E-2</v>
      </c>
      <c r="D21" s="304"/>
    </row>
    <row r="22" spans="2:6" hidden="1" x14ac:dyDescent="0.2">
      <c r="B22" s="295">
        <f>Inflation!A18</f>
        <v>2007</v>
      </c>
      <c r="C22" s="307">
        <f>Inflation!B18</f>
        <v>4.0300000000000002E-2</v>
      </c>
      <c r="D22" s="304"/>
    </row>
    <row r="23" spans="2:6" hidden="1" x14ac:dyDescent="0.2">
      <c r="B23" s="295">
        <f>Inflation!A19</f>
        <v>2008</v>
      </c>
      <c r="C23" s="307">
        <f>Inflation!B19</f>
        <v>6.4100000000000004E-2</v>
      </c>
      <c r="D23" s="304"/>
    </row>
    <row r="24" spans="2:6" hidden="1" x14ac:dyDescent="0.2">
      <c r="B24" s="295">
        <f>Inflation!A20</f>
        <v>2009</v>
      </c>
      <c r="C24" s="307">
        <f>Inflation!B20</f>
        <v>-1.4200000000000001E-2</v>
      </c>
      <c r="D24" s="304"/>
    </row>
    <row r="25" spans="2:6" hidden="1" x14ac:dyDescent="0.2">
      <c r="B25" s="295">
        <f>Inflation!A21</f>
        <v>2010</v>
      </c>
      <c r="C25" s="307">
        <f>Inflation!B21</f>
        <v>1.38E-2</v>
      </c>
      <c r="D25" s="304"/>
    </row>
    <row r="26" spans="2:6" hidden="1" x14ac:dyDescent="0.2">
      <c r="B26" s="295">
        <f>Inflation!A22</f>
        <v>2011</v>
      </c>
      <c r="C26" s="307">
        <f>Inflation!B22</f>
        <v>3.7600000000000001E-2</v>
      </c>
      <c r="D26" s="304"/>
    </row>
    <row r="27" spans="2:6" hidden="1" x14ac:dyDescent="0.2">
      <c r="B27" s="295">
        <f>Inflation!A23</f>
        <v>2012</v>
      </c>
      <c r="C27" s="307">
        <f>Inflation!B23</f>
        <v>3.09E-2</v>
      </c>
      <c r="D27" s="304"/>
    </row>
    <row r="28" spans="2:6" hidden="1" x14ac:dyDescent="0.2">
      <c r="B28" s="295">
        <f>Inflation!A24</f>
        <v>2013</v>
      </c>
      <c r="C28" s="307">
        <f>Inflation!B24</f>
        <v>2.6499999999999999E-2</v>
      </c>
      <c r="D28" s="304"/>
    </row>
    <row r="29" spans="2:6" hidden="1" x14ac:dyDescent="0.2">
      <c r="B29" s="295">
        <f>Inflation!A25</f>
        <v>2014</v>
      </c>
      <c r="C29" s="307">
        <f>Inflation!B25</f>
        <v>4.7899999999999998E-2</v>
      </c>
      <c r="D29" s="304"/>
    </row>
    <row r="30" spans="2:6" hidden="1" x14ac:dyDescent="0.2">
      <c r="B30" s="295">
        <f>Inflation!A26</f>
        <v>2015</v>
      </c>
      <c r="C30" s="307">
        <f>Inflation!B26</f>
        <v>1.2999999999999999E-2</v>
      </c>
      <c r="D30" s="304"/>
    </row>
    <row r="31" spans="2:6" hidden="1" x14ac:dyDescent="0.2">
      <c r="B31" s="295">
        <f>Inflation!A27</f>
        <v>2016</v>
      </c>
      <c r="C31" s="307">
        <f>Inflation!B27</f>
        <v>1.23E-2</v>
      </c>
      <c r="D31" s="304"/>
      <c r="F31" s="74">
        <f>1+C31</f>
        <v>1.0123</v>
      </c>
    </row>
    <row r="32" spans="2:6" hidden="1" x14ac:dyDescent="0.2">
      <c r="B32" s="295">
        <f>Inflation!A28</f>
        <v>2017</v>
      </c>
      <c r="C32" s="307">
        <f>Inflation!B28</f>
        <v>3.2899999999999999E-2</v>
      </c>
      <c r="D32" s="304"/>
      <c r="F32" s="74">
        <f>1+C32</f>
        <v>1.0328999999999999</v>
      </c>
    </row>
    <row r="33" spans="2:7" hidden="1" x14ac:dyDescent="0.2">
      <c r="B33" s="295">
        <f>Inflation!A29</f>
        <v>2018</v>
      </c>
      <c r="C33" s="307">
        <f>Inflation!B29</f>
        <v>4.2299999999999997E-2</v>
      </c>
      <c r="D33" s="304"/>
      <c r="F33" s="74">
        <f>1+C33</f>
        <v>1.0423</v>
      </c>
    </row>
    <row r="34" spans="2:7" hidden="1" x14ac:dyDescent="0.2">
      <c r="B34" s="295">
        <f>Inflation!A30</f>
        <v>2019</v>
      </c>
      <c r="C34" s="307">
        <f>Inflation!B30</f>
        <v>0.03</v>
      </c>
      <c r="D34" s="304"/>
      <c r="F34" s="74">
        <f>1+C34</f>
        <v>1.03</v>
      </c>
    </row>
    <row r="35" spans="2:7" hidden="1" x14ac:dyDescent="0.2">
      <c r="B35" s="295">
        <f>Inflation!A31</f>
        <v>2020</v>
      </c>
      <c r="C35" s="307">
        <f>Inflation!B31</f>
        <v>1.32E-2</v>
      </c>
      <c r="D35" s="304"/>
      <c r="F35" s="74">
        <f>1+C35</f>
        <v>1.0132000000000001</v>
      </c>
    </row>
    <row r="36" spans="2:7" hidden="1" x14ac:dyDescent="0.2">
      <c r="B36" s="301">
        <f>B35+1</f>
        <v>2021</v>
      </c>
      <c r="C36" s="308">
        <f>_xlfn.FORECAST.ETS(B36,C26:C35,B26:B35)</f>
        <v>2.5655371775491726E-2</v>
      </c>
      <c r="D36" s="304"/>
      <c r="F36" s="74">
        <f>1+C36</f>
        <v>1.0256553717754917</v>
      </c>
    </row>
    <row r="37" spans="2:7" x14ac:dyDescent="0.2">
      <c r="B37" s="295">
        <f t="shared" ref="B37:B46" si="0">B36+1</f>
        <v>2022</v>
      </c>
      <c r="C37" s="309">
        <f t="shared" ref="C37:C45" si="1">_xlfn.FORECAST.ETS(B37,C27:C36,B27:B36)</f>
        <v>2.3539085352791238E-2</v>
      </c>
      <c r="D37" s="304"/>
      <c r="F37" s="74">
        <f>1+C37</f>
        <v>1.0235390853527913</v>
      </c>
      <c r="G37" s="74">
        <f>PRODUCT($F$37:F37)</f>
        <v>1.0235390853527913</v>
      </c>
    </row>
    <row r="38" spans="2:7" x14ac:dyDescent="0.2">
      <c r="B38" s="295">
        <f t="shared" si="0"/>
        <v>2023</v>
      </c>
      <c r="C38" s="309">
        <f>_xlfn.FORECAST.ETS(B38,C28:C37,B28:B37)</f>
        <v>1.9552079375366967E-2</v>
      </c>
      <c r="D38" s="304"/>
      <c r="F38" s="74">
        <f>1+C38</f>
        <v>1.019552079375367</v>
      </c>
      <c r="G38" s="74">
        <f>PRODUCT($F$37:F38)</f>
        <v>1.0435514027933994</v>
      </c>
    </row>
    <row r="39" spans="2:7" x14ac:dyDescent="0.2">
      <c r="B39" s="295">
        <f t="shared" si="0"/>
        <v>2024</v>
      </c>
      <c r="C39" s="309">
        <f t="shared" si="1"/>
        <v>1.9397028973291434E-2</v>
      </c>
      <c r="D39" s="304"/>
      <c r="F39" s="74">
        <f>1+C39</f>
        <v>1.0193970289732914</v>
      </c>
      <c r="G39" s="74">
        <f>PRODUCT($F$37:F39)</f>
        <v>1.0637931995885019</v>
      </c>
    </row>
    <row r="40" spans="2:7" x14ac:dyDescent="0.2">
      <c r="B40" s="295">
        <f t="shared" si="0"/>
        <v>2025</v>
      </c>
      <c r="C40" s="309">
        <f t="shared" si="1"/>
        <v>1.9426721441149913E-2</v>
      </c>
      <c r="D40" s="304"/>
      <c r="F40" s="74">
        <f>1+C40</f>
        <v>1.0194267214411499</v>
      </c>
      <c r="G40" s="74">
        <f>PRODUCT($F$37:F40)</f>
        <v>1.0844592137478972</v>
      </c>
    </row>
    <row r="41" spans="2:7" x14ac:dyDescent="0.2">
      <c r="B41" s="295">
        <f t="shared" si="0"/>
        <v>2026</v>
      </c>
      <c r="C41" s="309">
        <f>_xlfn.FORECAST.ETS(B41,C31:C40,B31:B40)</f>
        <v>1.843079100150969E-2</v>
      </c>
      <c r="D41" s="304"/>
      <c r="F41" s="74">
        <f>1+C41</f>
        <v>1.0184307910015098</v>
      </c>
      <c r="G41" s="74">
        <f>PRODUCT($F$37:F41)</f>
        <v>1.1044466548661465</v>
      </c>
    </row>
    <row r="42" spans="2:7" x14ac:dyDescent="0.2">
      <c r="B42" s="295">
        <f t="shared" si="0"/>
        <v>2027</v>
      </c>
      <c r="C42" s="309">
        <f>_xlfn.FORECAST.ETS(B42,C32:C41,B32:B41)</f>
        <v>2.5599727533889852E-2</v>
      </c>
      <c r="D42" s="304"/>
      <c r="F42" s="74">
        <f>1+C42</f>
        <v>1.0255997275338899</v>
      </c>
      <c r="G42" s="74">
        <f>PRODUCT($F$37:F42)</f>
        <v>1.1327201883064359</v>
      </c>
    </row>
    <row r="43" spans="2:7" x14ac:dyDescent="0.2">
      <c r="B43" s="295">
        <f t="shared" si="0"/>
        <v>2028</v>
      </c>
      <c r="C43" s="309">
        <f t="shared" si="1"/>
        <v>2.2057813810299934E-2</v>
      </c>
      <c r="D43" s="304"/>
      <c r="F43" s="74">
        <f>1+C43</f>
        <v>1.0220578138103</v>
      </c>
      <c r="G43" s="74">
        <f>PRODUCT($F$37:F43)</f>
        <v>1.1577055193192674</v>
      </c>
    </row>
    <row r="44" spans="2:7" x14ac:dyDescent="0.2">
      <c r="B44" s="295">
        <f t="shared" si="0"/>
        <v>2029</v>
      </c>
      <c r="C44" s="309">
        <f t="shared" si="1"/>
        <v>2.487318008510617E-2</v>
      </c>
      <c r="D44" s="304"/>
      <c r="F44" s="74">
        <f>1+C44</f>
        <v>1.0248731800851061</v>
      </c>
      <c r="G44" s="74">
        <f>PRODUCT($F$37:F44)</f>
        <v>1.1865013371868167</v>
      </c>
    </row>
    <row r="45" spans="2:7" x14ac:dyDescent="0.2">
      <c r="B45" s="301">
        <f t="shared" si="0"/>
        <v>2030</v>
      </c>
      <c r="C45" s="308">
        <f t="shared" si="1"/>
        <v>2.4607623383051124E-2</v>
      </c>
      <c r="D45" s="304"/>
      <c r="F45" s="74">
        <f>1+C45</f>
        <v>1.0246076233830512</v>
      </c>
      <c r="G45" s="74">
        <f>PRODUCT($F$37:F45)</f>
        <v>1.2156983152357965</v>
      </c>
    </row>
    <row r="46" spans="2:7" x14ac:dyDescent="0.2">
      <c r="B46" s="301">
        <f t="shared" si="0"/>
        <v>2031</v>
      </c>
      <c r="C46" s="308">
        <f t="shared" ref="C46" si="2">_xlfn.FORECAST.ETS(B46,C36:C45,B36:B45)</f>
        <v>2.4764338800359591E-2</v>
      </c>
      <c r="D46" s="304"/>
      <c r="F46" s="74">
        <f>1+C46</f>
        <v>1.0247643388003596</v>
      </c>
      <c r="G46" s="74">
        <f>PRODUCT(F37:F46)</f>
        <v>1.245804280193322</v>
      </c>
    </row>
    <row r="47" spans="2:7" x14ac:dyDescent="0.2">
      <c r="B47" s="304"/>
      <c r="C47" s="304"/>
      <c r="D47" s="304"/>
    </row>
    <row r="48" spans="2:7" x14ac:dyDescent="0.2">
      <c r="B48" s="304"/>
      <c r="C48" s="304"/>
      <c r="D48" s="304"/>
    </row>
    <row r="49" spans="2:4" x14ac:dyDescent="0.2">
      <c r="B49" s="304"/>
      <c r="C49" s="304"/>
      <c r="D49" s="304"/>
    </row>
    <row r="50" spans="2:4" x14ac:dyDescent="0.2">
      <c r="B50" s="304"/>
      <c r="C50" s="304"/>
      <c r="D50" s="304"/>
    </row>
    <row r="51" spans="2:4" x14ac:dyDescent="0.2">
      <c r="B51" s="304"/>
      <c r="C51" s="304"/>
      <c r="D51" s="304"/>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67F37-CBCC-4258-B6AF-46384DA26426}">
  <sheetPr>
    <tabColor theme="9" tint="0.79998168889431442"/>
  </sheetPr>
  <dimension ref="B3:G21"/>
  <sheetViews>
    <sheetView showGridLines="0" workbookViewId="0">
      <selection activeCell="R36" sqref="R36"/>
    </sheetView>
  </sheetViews>
  <sheetFormatPr baseColWidth="10" defaultColWidth="8.83203125" defaultRowHeight="15" x14ac:dyDescent="0.2"/>
  <cols>
    <col min="3" max="3" width="20.5" bestFit="1" customWidth="1"/>
    <col min="5" max="5" width="10.83203125" bestFit="1" customWidth="1"/>
    <col min="6" max="6" width="12.1640625" bestFit="1" customWidth="1"/>
    <col min="7" max="7" width="14.5" bestFit="1" customWidth="1"/>
  </cols>
  <sheetData>
    <row r="3" spans="2:7" x14ac:dyDescent="0.2">
      <c r="B3" s="34" t="s">
        <v>242</v>
      </c>
    </row>
    <row r="5" spans="2:7" x14ac:dyDescent="0.2">
      <c r="B5" s="294" t="str">
        <f>Inflation!A1</f>
        <v>Year</v>
      </c>
      <c r="C5" s="294" t="str">
        <f>'Exchange rates'!B2</f>
        <v>Doubloon (∂)</v>
      </c>
      <c r="D5" s="294" t="str">
        <f>'Exchange rates'!C2</f>
        <v>Euro (€)</v>
      </c>
      <c r="E5" s="294" t="s">
        <v>62</v>
      </c>
      <c r="F5" s="294" t="s">
        <v>63</v>
      </c>
      <c r="G5" s="294" t="s">
        <v>64</v>
      </c>
    </row>
    <row r="6" spans="2:7" x14ac:dyDescent="0.2">
      <c r="B6" s="295">
        <f>Inflation!A27</f>
        <v>2016</v>
      </c>
      <c r="C6" s="295">
        <f>'Exchange rates'!B3</f>
        <v>1.105</v>
      </c>
      <c r="D6" s="295">
        <f>'Exchange rates'!C3</f>
        <v>1</v>
      </c>
      <c r="E6" s="295">
        <v>0.94</v>
      </c>
      <c r="F6" s="296">
        <f>D6/E6</f>
        <v>1.0638297872340425</v>
      </c>
      <c r="G6" s="296">
        <f>C6/F6</f>
        <v>1.0387</v>
      </c>
    </row>
    <row r="7" spans="2:7" x14ac:dyDescent="0.2">
      <c r="B7" s="295">
        <f>Inflation!A28</f>
        <v>2017</v>
      </c>
      <c r="C7" s="295">
        <f>'Exchange rates'!B4</f>
        <v>1.1259999999999999</v>
      </c>
      <c r="D7" s="295">
        <f>'Exchange rates'!C4</f>
        <v>1</v>
      </c>
      <c r="E7" s="295">
        <v>0.92300000000000004</v>
      </c>
      <c r="F7" s="296">
        <f t="shared" ref="F7:F21" si="0">D7/E7</f>
        <v>1.0834236186348862</v>
      </c>
      <c r="G7" s="296">
        <f t="shared" ref="G7:G21" si="1">C7/F7</f>
        <v>1.0392979999999998</v>
      </c>
    </row>
    <row r="8" spans="2:7" x14ac:dyDescent="0.2">
      <c r="B8" s="295">
        <f>Inflation!A29</f>
        <v>2018</v>
      </c>
      <c r="C8" s="295">
        <f>'Exchange rates'!B5</f>
        <v>1.179</v>
      </c>
      <c r="D8" s="295">
        <f>'Exchange rates'!C5</f>
        <v>1</v>
      </c>
      <c r="E8" s="295">
        <v>0.84799999999999998</v>
      </c>
      <c r="F8" s="296">
        <f t="shared" si="0"/>
        <v>1.179245283018868</v>
      </c>
      <c r="G8" s="296">
        <f t="shared" si="1"/>
        <v>0.99979200000000001</v>
      </c>
    </row>
    <row r="9" spans="2:7" x14ac:dyDescent="0.2">
      <c r="B9" s="295">
        <f>Inflation!A30</f>
        <v>2019</v>
      </c>
      <c r="C9" s="295">
        <f>'Exchange rates'!B6</f>
        <v>1.1180000000000001</v>
      </c>
      <c r="D9" s="295">
        <f>'Exchange rates'!C6</f>
        <v>1</v>
      </c>
      <c r="E9" s="295">
        <v>0.89300000000000002</v>
      </c>
      <c r="F9" s="296">
        <f t="shared" si="0"/>
        <v>1.1198208286674132</v>
      </c>
      <c r="G9" s="296">
        <f t="shared" si="1"/>
        <v>0.99837400000000009</v>
      </c>
    </row>
    <row r="10" spans="2:7" x14ac:dyDescent="0.2">
      <c r="B10" s="295">
        <f>Inflation!A31</f>
        <v>2020</v>
      </c>
      <c r="C10" s="295">
        <f>'Exchange rates'!B7</f>
        <v>1.141</v>
      </c>
      <c r="D10" s="295">
        <f>'Exchange rates'!C7</f>
        <v>1</v>
      </c>
      <c r="E10" s="295">
        <v>0.877</v>
      </c>
      <c r="F10" s="296">
        <f t="shared" si="0"/>
        <v>1.1402508551881414</v>
      </c>
      <c r="G10" s="296">
        <f t="shared" si="1"/>
        <v>1.0006569999999999</v>
      </c>
    </row>
    <row r="11" spans="2:7" x14ac:dyDescent="0.2">
      <c r="B11" s="297">
        <f>B10+1</f>
        <v>2021</v>
      </c>
      <c r="C11" s="298">
        <f>_xlfn.FORECAST.ETS(B11,C6:C10,B6:B10)</f>
        <v>1.1432019051272393</v>
      </c>
      <c r="D11" s="299">
        <v>1</v>
      </c>
      <c r="E11" s="298">
        <v>0.84599999999999997</v>
      </c>
      <c r="F11" s="298">
        <f t="shared" si="0"/>
        <v>1.1820330969267139</v>
      </c>
      <c r="G11" s="298">
        <f t="shared" si="1"/>
        <v>0.96714881173764455</v>
      </c>
    </row>
    <row r="12" spans="2:7" x14ac:dyDescent="0.2">
      <c r="B12" s="295">
        <f t="shared" ref="B12:B21" si="2">B11+1</f>
        <v>2022</v>
      </c>
      <c r="C12" s="296">
        <f t="shared" ref="C12:C20" si="3">_xlfn.FORECAST.ETS(B12,C7:C11,B7:B11)</f>
        <v>1.1462028231424326</v>
      </c>
      <c r="D12" s="300">
        <v>1</v>
      </c>
      <c r="E12" s="296">
        <f>_xlfn.FORECAST.ETS(B12,E7:E11,B7:B11)</f>
        <v>0.84225745883681857</v>
      </c>
      <c r="F12" s="296">
        <f t="shared" si="0"/>
        <v>1.187285419093858</v>
      </c>
      <c r="G12" s="296">
        <f t="shared" si="1"/>
        <v>0.96539787713153269</v>
      </c>
    </row>
    <row r="13" spans="2:7" x14ac:dyDescent="0.2">
      <c r="B13" s="295">
        <f t="shared" si="2"/>
        <v>2023</v>
      </c>
      <c r="C13" s="296">
        <f t="shared" si="3"/>
        <v>1.1412307497007053</v>
      </c>
      <c r="D13" s="300">
        <v>1</v>
      </c>
      <c r="E13" s="296">
        <f t="shared" ref="E13:E19" si="4">_xlfn.FORECAST.ETS(B13,E8:E12,B8:B12)</f>
        <v>0.83486622298261925</v>
      </c>
      <c r="F13" s="296">
        <f t="shared" si="0"/>
        <v>1.1977966918189942</v>
      </c>
      <c r="G13" s="296">
        <f t="shared" si="1"/>
        <v>0.95277500555425065</v>
      </c>
    </row>
    <row r="14" spans="2:7" x14ac:dyDescent="0.2">
      <c r="B14" s="295">
        <f t="shared" si="2"/>
        <v>2024</v>
      </c>
      <c r="C14" s="296">
        <f t="shared" si="3"/>
        <v>1.1504515526133618</v>
      </c>
      <c r="D14" s="300">
        <v>1</v>
      </c>
      <c r="E14" s="296">
        <f t="shared" si="4"/>
        <v>0.81661827409672405</v>
      </c>
      <c r="F14" s="296">
        <f t="shared" si="0"/>
        <v>1.2245623588403256</v>
      </c>
      <c r="G14" s="296">
        <f t="shared" si="1"/>
        <v>0.93947976132702016</v>
      </c>
    </row>
    <row r="15" spans="2:7" x14ac:dyDescent="0.2">
      <c r="B15" s="295">
        <f t="shared" si="2"/>
        <v>2025</v>
      </c>
      <c r="C15" s="296">
        <f t="shared" si="3"/>
        <v>1.1450031936871863</v>
      </c>
      <c r="D15" s="300">
        <v>1</v>
      </c>
      <c r="E15" s="296">
        <f t="shared" si="4"/>
        <v>0.80576196581834669</v>
      </c>
      <c r="F15" s="296">
        <f t="shared" si="0"/>
        <v>1.2410613089492026</v>
      </c>
      <c r="G15" s="296">
        <f t="shared" si="1"/>
        <v>0.92260002421367238</v>
      </c>
    </row>
    <row r="16" spans="2:7" x14ac:dyDescent="0.2">
      <c r="B16" s="295">
        <f t="shared" si="2"/>
        <v>2026</v>
      </c>
      <c r="C16" s="296">
        <f t="shared" si="3"/>
        <v>1.1514519988437819</v>
      </c>
      <c r="D16" s="300">
        <v>1</v>
      </c>
      <c r="E16" s="296">
        <f t="shared" si="4"/>
        <v>0.79582287596798895</v>
      </c>
      <c r="F16" s="296">
        <f t="shared" si="0"/>
        <v>1.2565610140116452</v>
      </c>
      <c r="G16" s="296">
        <f t="shared" si="1"/>
        <v>0.91635184125894809</v>
      </c>
    </row>
    <row r="17" spans="2:7" x14ac:dyDescent="0.2">
      <c r="B17" s="295">
        <f t="shared" si="2"/>
        <v>2027</v>
      </c>
      <c r="C17" s="296">
        <f t="shared" si="3"/>
        <v>1.1470411258915552</v>
      </c>
      <c r="D17" s="300">
        <v>1</v>
      </c>
      <c r="E17" s="296">
        <f t="shared" si="4"/>
        <v>0.78228882676540945</v>
      </c>
      <c r="F17" s="296">
        <f t="shared" si="0"/>
        <v>1.2783002463869744</v>
      </c>
      <c r="G17" s="296">
        <f t="shared" si="1"/>
        <v>0.89731745662537898</v>
      </c>
    </row>
    <row r="18" spans="2:7" x14ac:dyDescent="0.2">
      <c r="B18" s="295">
        <f t="shared" si="2"/>
        <v>2028</v>
      </c>
      <c r="C18" s="296">
        <f t="shared" si="3"/>
        <v>1.1541178678516395</v>
      </c>
      <c r="D18" s="300">
        <v>1</v>
      </c>
      <c r="E18" s="296">
        <f t="shared" si="4"/>
        <v>0.77012528257112656</v>
      </c>
      <c r="F18" s="296">
        <f>D18/E18</f>
        <v>1.2984900283515142</v>
      </c>
      <c r="G18" s="296">
        <f t="shared" si="1"/>
        <v>0.88881534909963</v>
      </c>
    </row>
    <row r="19" spans="2:7" x14ac:dyDescent="0.2">
      <c r="B19" s="295">
        <f t="shared" si="2"/>
        <v>2029</v>
      </c>
      <c r="C19" s="296">
        <f t="shared" si="3"/>
        <v>1.1491256549929847</v>
      </c>
      <c r="D19" s="300">
        <v>1</v>
      </c>
      <c r="E19" s="296">
        <f t="shared" si="4"/>
        <v>0.7587847752573621</v>
      </c>
      <c r="F19" s="296">
        <f t="shared" si="0"/>
        <v>1.3178967641526853</v>
      </c>
      <c r="G19" s="296">
        <f t="shared" si="1"/>
        <v>0.87193905186632081</v>
      </c>
    </row>
    <row r="20" spans="2:7" x14ac:dyDescent="0.2">
      <c r="B20" s="295">
        <f t="shared" si="2"/>
        <v>2030</v>
      </c>
      <c r="C20" s="296">
        <f t="shared" si="3"/>
        <v>1.1562564774909008</v>
      </c>
      <c r="D20" s="300">
        <v>1</v>
      </c>
      <c r="E20" s="296">
        <f t="shared" ref="E20:E21" si="5">_xlfn.FORECAST.ETS(B20,E15:E19,B15:B19)</f>
        <v>0.74638461881017515</v>
      </c>
      <c r="F20" s="296">
        <f t="shared" si="0"/>
        <v>1.3397918108148017</v>
      </c>
      <c r="G20" s="296">
        <f t="shared" si="1"/>
        <v>0.86301205019884175</v>
      </c>
    </row>
    <row r="21" spans="2:7" x14ac:dyDescent="0.2">
      <c r="B21" s="301">
        <f t="shared" si="2"/>
        <v>2031</v>
      </c>
      <c r="C21" s="302">
        <f>_xlfn.FORECAST.ETS(B21,C16:C20,B16:B20)</f>
        <v>1.151520968837014</v>
      </c>
      <c r="D21" s="303">
        <v>1</v>
      </c>
      <c r="E21" s="302">
        <f t="shared" si="5"/>
        <v>0.73421645978669425</v>
      </c>
      <c r="F21" s="302">
        <f t="shared" si="0"/>
        <v>1.3619961615822691</v>
      </c>
      <c r="G21" s="302">
        <f t="shared" si="1"/>
        <v>0.84546564910965671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9907F-E375-3940-B8B0-76263F683054}">
  <sheetPr>
    <tabColor theme="9" tint="0.79998168889431442"/>
  </sheetPr>
  <dimension ref="A1:AA61"/>
  <sheetViews>
    <sheetView workbookViewId="0">
      <selection activeCell="A3" sqref="A3:XFD3"/>
    </sheetView>
  </sheetViews>
  <sheetFormatPr baseColWidth="10" defaultColWidth="11.5" defaultRowHeight="15" x14ac:dyDescent="0.2"/>
  <sheetData>
    <row r="1" spans="1:27" x14ac:dyDescent="0.2">
      <c r="A1" s="34" t="str">
        <f>'Spot rates'!A1</f>
        <v>Maturity</v>
      </c>
      <c r="B1" s="131" t="str">
        <f>'Spot rates'!B1</f>
        <v>1/1/2008</v>
      </c>
      <c r="C1" s="131" t="str">
        <f>'Spot rates'!C1</f>
        <v>1/1/2009</v>
      </c>
      <c r="D1" s="131" t="str">
        <f>'Spot rates'!D1</f>
        <v>1/1/2010</v>
      </c>
      <c r="E1" s="131" t="str">
        <f>'Spot rates'!E1</f>
        <v>1/1/2011</v>
      </c>
      <c r="F1" s="131" t="str">
        <f>'Spot rates'!F1</f>
        <v>1/1/2012</v>
      </c>
      <c r="G1" s="131" t="str">
        <f>'Spot rates'!G1</f>
        <v>1/1/2013</v>
      </c>
      <c r="H1" s="131" t="str">
        <f>'Spot rates'!H1</f>
        <v>1/1/2014</v>
      </c>
      <c r="I1" s="131" t="str">
        <f>'Spot rates'!I1</f>
        <v>1/1/2015</v>
      </c>
      <c r="J1" s="131" t="str">
        <f>'Spot rates'!J1</f>
        <v>1/1/2016</v>
      </c>
      <c r="K1" s="131" t="str">
        <f>'Spot rates'!K1</f>
        <v>1/1/2017</v>
      </c>
      <c r="L1" s="131" t="str">
        <f>'Spot rates'!L1</f>
        <v>1/1/2018</v>
      </c>
      <c r="M1" s="131" t="str">
        <f>'Spot rates'!M1</f>
        <v>1/1/2019</v>
      </c>
      <c r="N1" s="131" t="str">
        <f>'Spot rates'!N1</f>
        <v>1/1/2020</v>
      </c>
      <c r="O1" s="131" t="str">
        <f>'Spot rates'!O1</f>
        <v>1/1/2021</v>
      </c>
      <c r="P1" s="133">
        <v>44562</v>
      </c>
      <c r="Q1" s="133">
        <v>44927</v>
      </c>
      <c r="R1" s="133">
        <v>45292</v>
      </c>
      <c r="S1" s="133">
        <v>45658</v>
      </c>
      <c r="T1" s="133">
        <v>46023</v>
      </c>
      <c r="U1" s="133">
        <v>46388</v>
      </c>
      <c r="V1" s="133">
        <v>46753</v>
      </c>
      <c r="W1" s="133">
        <v>47119</v>
      </c>
      <c r="X1" s="133">
        <v>47484</v>
      </c>
      <c r="Y1" s="133">
        <v>47849</v>
      </c>
      <c r="Z1" s="132"/>
      <c r="AA1" s="132"/>
    </row>
    <row r="2" spans="1:27" x14ac:dyDescent="0.2">
      <c r="A2" s="131">
        <f>'Spot rates'!A2</f>
        <v>0.5</v>
      </c>
      <c r="B2" s="33">
        <f>'Spot rates'!B2</f>
        <v>3.3180000000000001E-2</v>
      </c>
      <c r="C2" s="33">
        <f>'Spot rates'!C2</f>
        <v>5.0299999999999997E-3</v>
      </c>
      <c r="D2" s="33">
        <f>'Spot rates'!D2</f>
        <v>3.1199999999999999E-3</v>
      </c>
      <c r="E2" s="33">
        <f>'Spot rates'!E2</f>
        <v>3.0599999999999998E-3</v>
      </c>
      <c r="F2" s="33">
        <f>'Spot rates'!F2</f>
        <v>2.4499999999999999E-3</v>
      </c>
      <c r="G2" s="33">
        <f>'Spot rates'!G2</f>
        <v>2.15E-3</v>
      </c>
      <c r="H2" s="33">
        <f>'Spot rates'!H2</f>
        <v>1.25E-3</v>
      </c>
      <c r="I2" s="33">
        <f>'Spot rates'!I2</f>
        <v>2.2799999999999999E-3</v>
      </c>
      <c r="J2" s="33">
        <f>'Spot rates'!J2</f>
        <v>9.5099999999999994E-3</v>
      </c>
      <c r="K2" s="33">
        <f>'Spot rates'!K2</f>
        <v>1.184E-2</v>
      </c>
      <c r="L2" s="33">
        <f>'Spot rates'!L2</f>
        <v>2.8320000000000001E-2</v>
      </c>
      <c r="M2" s="33">
        <f>'Spot rates'!M2</f>
        <v>3.9199999999999999E-2</v>
      </c>
      <c r="N2" s="33">
        <f>'Spot rates'!N2</f>
        <v>2.0910000000000002E-2</v>
      </c>
      <c r="O2" s="33">
        <f>'Spot rates'!O2</f>
        <v>1.5900000000000001E-3</v>
      </c>
      <c r="P2" s="32" t="s">
        <v>65</v>
      </c>
      <c r="Q2" s="32"/>
      <c r="R2" s="32"/>
      <c r="S2" s="32"/>
      <c r="T2" s="32"/>
      <c r="U2" s="32"/>
      <c r="V2" s="32"/>
      <c r="W2" s="32"/>
      <c r="X2" s="32"/>
      <c r="Y2" s="32"/>
    </row>
    <row r="3" spans="1:27" x14ac:dyDescent="0.2">
      <c r="A3" s="131">
        <f>'Spot rates'!A3</f>
        <v>1</v>
      </c>
      <c r="B3" s="33">
        <f>'Spot rates'!B3</f>
        <v>3.2419999999999997E-2</v>
      </c>
      <c r="C3" s="33">
        <f>'Spot rates'!C3</f>
        <v>7.9799999999999992E-3</v>
      </c>
      <c r="D3" s="33">
        <f>'Spot rates'!D3</f>
        <v>6.3600000000000002E-3</v>
      </c>
      <c r="E3" s="33">
        <f>'Spot rates'!E3</f>
        <v>4.9100000000000003E-3</v>
      </c>
      <c r="F3" s="33">
        <f>'Spot rates'!F3</f>
        <v>2.7899999999999999E-3</v>
      </c>
      <c r="G3" s="33">
        <f>'Spot rates'!G3</f>
        <v>2.7000000000000001E-3</v>
      </c>
      <c r="H3" s="33">
        <f>'Spot rates'!H3</f>
        <v>2.31E-3</v>
      </c>
      <c r="I3" s="33">
        <f>'Spot rates'!I3</f>
        <v>4.6800000000000001E-3</v>
      </c>
      <c r="J3" s="33">
        <f>'Spot rates'!J3</f>
        <v>1.0619999999999999E-2</v>
      </c>
      <c r="K3" s="33">
        <f>'Spot rates'!K3</f>
        <v>1.404E-2</v>
      </c>
      <c r="L3" s="33">
        <f>'Spot rates'!L3</f>
        <v>2.9520000000000001E-2</v>
      </c>
      <c r="M3" s="33">
        <f>'Spot rates'!M3</f>
        <v>3.8550000000000001E-2</v>
      </c>
      <c r="N3" s="33">
        <f>'Spot rates'!N3</f>
        <v>1.9980000000000001E-2</v>
      </c>
      <c r="O3" s="33">
        <f>'Spot rates'!O3</f>
        <v>1.4E-3</v>
      </c>
      <c r="P3" s="32"/>
      <c r="Q3" s="32"/>
      <c r="R3" s="32"/>
      <c r="S3" s="32"/>
      <c r="T3" s="32"/>
      <c r="U3" s="32"/>
      <c r="V3" s="32"/>
      <c r="W3" s="32"/>
      <c r="X3" s="32"/>
      <c r="Y3" s="32"/>
    </row>
    <row r="4" spans="1:27" x14ac:dyDescent="0.2">
      <c r="A4" s="131">
        <f>'Spot rates'!A4</f>
        <v>1.5</v>
      </c>
      <c r="B4" s="33">
        <f>'Spot rates'!B4</f>
        <v>3.2120000000000003E-2</v>
      </c>
      <c r="C4" s="33">
        <f>'Spot rates'!C4</f>
        <v>1.0710000000000001E-2</v>
      </c>
      <c r="D4" s="33">
        <f>'Spot rates'!D4</f>
        <v>9.7999999999999997E-3</v>
      </c>
      <c r="E4" s="33">
        <f>'Spot rates'!E4</f>
        <v>7.1700000000000002E-3</v>
      </c>
      <c r="F4" s="33">
        <f>'Spot rates'!F4</f>
        <v>3.3300000000000001E-3</v>
      </c>
      <c r="G4" s="33">
        <f>'Spot rates'!G4</f>
        <v>3.3E-3</v>
      </c>
      <c r="H4" s="33">
        <f>'Spot rates'!H4</f>
        <v>3.8E-3</v>
      </c>
      <c r="I4" s="33">
        <f>'Spot rates'!I4</f>
        <v>7.0400000000000003E-3</v>
      </c>
      <c r="J4" s="33">
        <f>'Spot rates'!J4</f>
        <v>1.1780000000000001E-2</v>
      </c>
      <c r="K4" s="33">
        <f>'Spot rates'!K4</f>
        <v>1.6250000000000001E-2</v>
      </c>
      <c r="L4" s="33">
        <f>'Spot rates'!L4</f>
        <v>3.0720000000000001E-2</v>
      </c>
      <c r="M4" s="33">
        <f>'Spot rates'!M4</f>
        <v>3.8039999999999997E-2</v>
      </c>
      <c r="N4" s="33">
        <f>'Spot rates'!N4</f>
        <v>1.9279999999999999E-2</v>
      </c>
      <c r="O4" s="33">
        <f>'Spot rates'!O4</f>
        <v>1.5299999999999999E-3</v>
      </c>
      <c r="P4" s="32"/>
      <c r="Q4" s="32"/>
      <c r="R4" s="32"/>
      <c r="S4" s="32"/>
      <c r="T4" s="32"/>
      <c r="U4" s="32"/>
      <c r="V4" s="32"/>
      <c r="W4" s="32"/>
      <c r="X4" s="32"/>
      <c r="Y4" s="32"/>
    </row>
    <row r="5" spans="1:27" x14ac:dyDescent="0.2">
      <c r="A5" s="131">
        <f>'Spot rates'!A5</f>
        <v>2</v>
      </c>
      <c r="B5" s="33">
        <f>'Spot rates'!B5</f>
        <v>3.2309999999999998E-2</v>
      </c>
      <c r="C5" s="33">
        <f>'Spot rates'!C5</f>
        <v>1.3140000000000001E-2</v>
      </c>
      <c r="D5" s="33">
        <f>'Spot rates'!D5</f>
        <v>1.358E-2</v>
      </c>
      <c r="E5" s="33">
        <f>'Spot rates'!E5</f>
        <v>9.9600000000000001E-3</v>
      </c>
      <c r="F5" s="33">
        <f>'Spot rates'!F5</f>
        <v>4.1399999999999996E-3</v>
      </c>
      <c r="G5" s="33">
        <f>'Spot rates'!G5</f>
        <v>4.1700000000000001E-3</v>
      </c>
      <c r="H5" s="33">
        <f>'Spot rates'!H5</f>
        <v>5.94E-3</v>
      </c>
      <c r="I5" s="33">
        <f>'Spot rates'!I5</f>
        <v>9.4400000000000005E-3</v>
      </c>
      <c r="J5" s="33">
        <f>'Spot rates'!J5</f>
        <v>1.308E-2</v>
      </c>
      <c r="K5" s="33">
        <f>'Spot rates'!K5</f>
        <v>1.8509999999999999E-2</v>
      </c>
      <c r="L5" s="33">
        <f>'Spot rates'!L5</f>
        <v>3.1919999999999997E-2</v>
      </c>
      <c r="M5" s="33">
        <f>'Spot rates'!M5</f>
        <v>3.7679999999999998E-2</v>
      </c>
      <c r="N5" s="33">
        <f>'Spot rates'!N5</f>
        <v>1.881E-2</v>
      </c>
      <c r="O5" s="33">
        <f>'Spot rates'!O5</f>
        <v>1.8500000000000001E-3</v>
      </c>
      <c r="P5" s="32"/>
      <c r="Q5" s="32"/>
      <c r="R5" s="32"/>
      <c r="S5" s="32"/>
      <c r="T5" s="32"/>
      <c r="U5" s="32"/>
      <c r="V5" s="32"/>
      <c r="W5" s="32"/>
      <c r="X5" s="32"/>
      <c r="Y5" s="32"/>
    </row>
    <row r="6" spans="1:27" x14ac:dyDescent="0.2">
      <c r="A6" s="131">
        <f>'Spot rates'!A6</f>
        <v>2.5</v>
      </c>
      <c r="B6" s="33">
        <f>'Spot rates'!B6</f>
        <v>3.3210000000000003E-2</v>
      </c>
      <c r="C6" s="33">
        <f>'Spot rates'!C6</f>
        <v>1.5259999999999999E-2</v>
      </c>
      <c r="D6" s="33">
        <f>'Spot rates'!D6</f>
        <v>1.755E-2</v>
      </c>
      <c r="E6" s="33">
        <f>'Spot rates'!E6</f>
        <v>1.328E-2</v>
      </c>
      <c r="F6" s="33">
        <f>'Spot rates'!F6</f>
        <v>5.2100000000000002E-3</v>
      </c>
      <c r="G6" s="33">
        <f>'Spot rates'!G6</f>
        <v>5.0699999999999999E-3</v>
      </c>
      <c r="H6" s="33">
        <f>'Spot rates'!H6</f>
        <v>8.6700000000000006E-3</v>
      </c>
      <c r="I6" s="33">
        <f>'Spot rates'!I6</f>
        <v>1.191E-2</v>
      </c>
      <c r="J6" s="33">
        <f>'Spot rates'!J6</f>
        <v>1.457E-2</v>
      </c>
      <c r="K6" s="33">
        <f>'Spot rates'!K6</f>
        <v>2.0729999999999998E-2</v>
      </c>
      <c r="L6" s="33">
        <f>'Spot rates'!L6</f>
        <v>3.3169999999999998E-2</v>
      </c>
      <c r="M6" s="33">
        <f>'Spot rates'!M6</f>
        <v>3.7429999999999998E-2</v>
      </c>
      <c r="N6" s="33">
        <f>'Spot rates'!N6</f>
        <v>1.8689999999999998E-2</v>
      </c>
      <c r="O6" s="33">
        <f>'Spot rates'!O6</f>
        <v>2.6900000000000001E-3</v>
      </c>
      <c r="P6" s="32"/>
      <c r="Q6" s="32"/>
      <c r="R6" s="32"/>
      <c r="S6" s="32"/>
      <c r="T6" s="32"/>
      <c r="U6" s="32"/>
      <c r="V6" s="32"/>
      <c r="W6" s="32"/>
      <c r="X6" s="32"/>
      <c r="Y6" s="32"/>
    </row>
    <row r="7" spans="1:27" x14ac:dyDescent="0.2">
      <c r="A7" s="131">
        <f>'Spot rates'!A7</f>
        <v>3</v>
      </c>
      <c r="B7" s="33">
        <f>'Spot rates'!B7</f>
        <v>3.465E-2</v>
      </c>
      <c r="C7" s="33">
        <f>'Spot rates'!C7</f>
        <v>1.7180000000000001E-2</v>
      </c>
      <c r="D7" s="33">
        <f>'Spot rates'!D7</f>
        <v>2.1780000000000001E-2</v>
      </c>
      <c r="E7" s="33">
        <f>'Spot rates'!E7</f>
        <v>1.703E-2</v>
      </c>
      <c r="F7" s="33">
        <f>'Spot rates'!F7</f>
        <v>6.4700000000000001E-3</v>
      </c>
      <c r="G7" s="33">
        <f>'Spot rates'!G7</f>
        <v>6.1999999999999998E-3</v>
      </c>
      <c r="H7" s="33">
        <f>'Spot rates'!H7</f>
        <v>1.1849999999999999E-2</v>
      </c>
      <c r="I7" s="33">
        <f>'Spot rates'!I7</f>
        <v>1.427E-2</v>
      </c>
      <c r="J7" s="33">
        <f>'Spot rates'!J7</f>
        <v>1.617E-2</v>
      </c>
      <c r="K7" s="33">
        <f>'Spot rates'!K7</f>
        <v>2.291E-2</v>
      </c>
      <c r="L7" s="33">
        <f>'Spot rates'!L7</f>
        <v>3.431E-2</v>
      </c>
      <c r="M7" s="33">
        <f>'Spot rates'!M7</f>
        <v>3.7319999999999999E-2</v>
      </c>
      <c r="N7" s="33">
        <f>'Spot rates'!N7</f>
        <v>1.8890000000000001E-2</v>
      </c>
      <c r="O7" s="33">
        <f>'Spot rates'!O7</f>
        <v>3.6900000000000001E-3</v>
      </c>
      <c r="P7" s="32"/>
      <c r="Q7" s="32"/>
      <c r="R7" s="32"/>
      <c r="S7" s="32"/>
      <c r="T7" s="32"/>
      <c r="U7" s="32"/>
      <c r="V7" s="32"/>
      <c r="W7" s="32"/>
      <c r="X7" s="32"/>
      <c r="Y7" s="32"/>
    </row>
    <row r="8" spans="1:27" x14ac:dyDescent="0.2">
      <c r="A8" s="131">
        <f>'Spot rates'!A8</f>
        <v>3.5</v>
      </c>
      <c r="B8" s="33">
        <f>'Spot rates'!B8</f>
        <v>3.6420000000000001E-2</v>
      </c>
      <c r="C8" s="33">
        <f>'Spot rates'!C8</f>
        <v>1.9220000000000001E-2</v>
      </c>
      <c r="D8" s="33">
        <f>'Spot rates'!D8</f>
        <v>2.5919999999999999E-2</v>
      </c>
      <c r="E8" s="33">
        <f>'Spot rates'!E8</f>
        <v>2.087E-2</v>
      </c>
      <c r="F8" s="33">
        <f>'Spot rates'!F8</f>
        <v>8.0599999999999995E-3</v>
      </c>
      <c r="G8" s="33">
        <f>'Spot rates'!G8</f>
        <v>7.5900000000000004E-3</v>
      </c>
      <c r="H8" s="33">
        <f>'Spot rates'!H8</f>
        <v>1.521E-2</v>
      </c>
      <c r="I8" s="33">
        <f>'Spot rates'!I8</f>
        <v>1.6549999999999999E-2</v>
      </c>
      <c r="J8" s="33">
        <f>'Spot rates'!J8</f>
        <v>1.77E-2</v>
      </c>
      <c r="K8" s="33">
        <f>'Spot rates'!K8</f>
        <v>2.5010000000000001E-2</v>
      </c>
      <c r="L8" s="33">
        <f>'Spot rates'!L8</f>
        <v>3.5360000000000003E-2</v>
      </c>
      <c r="M8" s="33">
        <f>'Spot rates'!M8</f>
        <v>3.7319999999999999E-2</v>
      </c>
      <c r="N8" s="33">
        <f>'Spot rates'!N8</f>
        <v>1.908E-2</v>
      </c>
      <c r="O8" s="33">
        <f>'Spot rates'!O8</f>
        <v>4.8900000000000002E-3</v>
      </c>
      <c r="P8" s="32"/>
      <c r="Q8" s="32"/>
      <c r="R8" s="32"/>
      <c r="S8" s="32"/>
      <c r="T8" s="32"/>
      <c r="U8" s="32"/>
      <c r="V8" s="32"/>
      <c r="W8" s="32"/>
      <c r="X8" s="32"/>
      <c r="Y8" s="32"/>
    </row>
    <row r="9" spans="1:27" x14ac:dyDescent="0.2">
      <c r="A9" s="131">
        <f>'Spot rates'!A9</f>
        <v>4</v>
      </c>
      <c r="B9" s="33">
        <f>'Spot rates'!B9</f>
        <v>3.8460000000000001E-2</v>
      </c>
      <c r="C9" s="33">
        <f>'Spot rates'!C9</f>
        <v>2.1360000000000001E-2</v>
      </c>
      <c r="D9" s="33">
        <f>'Spot rates'!D9</f>
        <v>2.9940000000000001E-2</v>
      </c>
      <c r="E9" s="33">
        <f>'Spot rates'!E9</f>
        <v>2.469E-2</v>
      </c>
      <c r="F9" s="33">
        <f>'Spot rates'!F9</f>
        <v>9.6900000000000007E-3</v>
      </c>
      <c r="G9" s="33">
        <f>'Spot rates'!G9</f>
        <v>9.0200000000000002E-3</v>
      </c>
      <c r="H9" s="33">
        <f>'Spot rates'!H9</f>
        <v>1.8509999999999999E-2</v>
      </c>
      <c r="I9" s="33">
        <f>'Spot rates'!I9</f>
        <v>1.857E-2</v>
      </c>
      <c r="J9" s="33">
        <f>'Spot rates'!J9</f>
        <v>1.9279999999999999E-2</v>
      </c>
      <c r="K9" s="33">
        <f>'Spot rates'!K9</f>
        <v>2.681E-2</v>
      </c>
      <c r="L9" s="33">
        <f>'Spot rates'!L9</f>
        <v>3.6269999999999997E-2</v>
      </c>
      <c r="M9" s="33">
        <f>'Spot rates'!M9</f>
        <v>3.7470000000000003E-2</v>
      </c>
      <c r="N9" s="33">
        <f>'Spot rates'!N9</f>
        <v>1.9400000000000001E-2</v>
      </c>
      <c r="O9" s="33">
        <f>'Spot rates'!O9</f>
        <v>6.11E-3</v>
      </c>
      <c r="P9" s="32"/>
      <c r="Q9" s="32"/>
      <c r="R9" s="32"/>
      <c r="S9" s="32"/>
      <c r="T9" s="32"/>
      <c r="U9" s="32"/>
      <c r="V9" s="32"/>
      <c r="W9" s="32"/>
      <c r="X9" s="32"/>
      <c r="Y9" s="32"/>
    </row>
    <row r="10" spans="1:27" x14ac:dyDescent="0.2">
      <c r="A10" s="131">
        <f>'Spot rates'!A10</f>
        <v>4.5</v>
      </c>
      <c r="B10" s="33">
        <f>'Spot rates'!B10</f>
        <v>4.0529999999999997E-2</v>
      </c>
      <c r="C10" s="33">
        <f>'Spot rates'!C10</f>
        <v>2.367E-2</v>
      </c>
      <c r="D10" s="33">
        <f>'Spot rates'!D10</f>
        <v>3.381E-2</v>
      </c>
      <c r="E10" s="33">
        <f>'Spot rates'!E10</f>
        <v>2.8410000000000001E-2</v>
      </c>
      <c r="F10" s="33">
        <f>'Spot rates'!F10</f>
        <v>1.149E-2</v>
      </c>
      <c r="G10" s="33">
        <f>'Spot rates'!G10</f>
        <v>1.0670000000000001E-2</v>
      </c>
      <c r="H10" s="33">
        <f>'Spot rates'!H10</f>
        <v>2.1690000000000001E-2</v>
      </c>
      <c r="I10" s="33">
        <f>'Spot rates'!I10</f>
        <v>2.0449999999999999E-2</v>
      </c>
      <c r="J10" s="33">
        <f>'Spot rates'!J10</f>
        <v>2.0660000000000001E-2</v>
      </c>
      <c r="K10" s="33">
        <f>'Spot rates'!K10</f>
        <v>2.8459999999999999E-2</v>
      </c>
      <c r="L10" s="33">
        <f>'Spot rates'!L10</f>
        <v>3.7069999999999999E-2</v>
      </c>
      <c r="M10" s="33">
        <f>'Spot rates'!M10</f>
        <v>3.7620000000000001E-2</v>
      </c>
      <c r="N10" s="33">
        <f>'Spot rates'!N10</f>
        <v>1.9730000000000001E-2</v>
      </c>
      <c r="O10" s="33">
        <f>'Spot rates'!O10</f>
        <v>7.3800000000000003E-3</v>
      </c>
      <c r="P10" s="32"/>
      <c r="Q10" s="32"/>
      <c r="R10" s="32"/>
      <c r="S10" s="32"/>
      <c r="T10" s="32"/>
      <c r="U10" s="32"/>
      <c r="V10" s="32"/>
      <c r="W10" s="32"/>
      <c r="X10" s="32"/>
      <c r="Y10" s="32"/>
    </row>
    <row r="11" spans="1:27" x14ac:dyDescent="0.2">
      <c r="A11" s="131">
        <f>'Spot rates'!A11</f>
        <v>5</v>
      </c>
      <c r="B11" s="33">
        <f>'Spot rates'!B11</f>
        <v>4.2630000000000001E-2</v>
      </c>
      <c r="C11" s="33">
        <f>'Spot rates'!C11</f>
        <v>2.6270000000000002E-2</v>
      </c>
      <c r="D11" s="33">
        <f>'Spot rates'!D11</f>
        <v>3.7379999999999997E-2</v>
      </c>
      <c r="E11" s="33">
        <f>'Spot rates'!E11</f>
        <v>3.1879999999999999E-2</v>
      </c>
      <c r="F11" s="33">
        <f>'Spot rates'!F11</f>
        <v>1.3429999999999999E-2</v>
      </c>
      <c r="G11" s="33">
        <f>'Spot rates'!G11</f>
        <v>1.239E-2</v>
      </c>
      <c r="H11" s="33">
        <f>'Spot rates'!H11</f>
        <v>2.4660000000000001E-2</v>
      </c>
      <c r="I11" s="33">
        <f>'Spot rates'!I11</f>
        <v>2.205E-2</v>
      </c>
      <c r="J11" s="33">
        <f>'Spot rates'!J11</f>
        <v>2.2009999999999998E-2</v>
      </c>
      <c r="K11" s="33">
        <f>'Spot rates'!K11</f>
        <v>2.9960000000000001E-2</v>
      </c>
      <c r="L11" s="33">
        <f>'Spot rates'!L11</f>
        <v>3.7859999999999998E-2</v>
      </c>
      <c r="M11" s="33">
        <f>'Spot rates'!M11</f>
        <v>3.7769999999999998E-2</v>
      </c>
      <c r="N11" s="33">
        <f>'Spot rates'!N11</f>
        <v>2.001E-2</v>
      </c>
      <c r="O11" s="33">
        <f>'Spot rates'!O11</f>
        <v>8.6700000000000006E-3</v>
      </c>
      <c r="P11" s="32"/>
      <c r="Q11" s="32"/>
      <c r="R11" s="32"/>
      <c r="S11" s="32"/>
      <c r="T11" s="32"/>
      <c r="U11" s="32"/>
      <c r="V11" s="32"/>
      <c r="W11" s="32"/>
      <c r="X11" s="32"/>
      <c r="Y11" s="32"/>
    </row>
    <row r="12" spans="1:27" x14ac:dyDescent="0.2">
      <c r="A12" s="131">
        <f>'Spot rates'!A12</f>
        <v>5.5</v>
      </c>
      <c r="B12" s="33">
        <f>'Spot rates'!B12</f>
        <v>4.4839999999999998E-2</v>
      </c>
      <c r="C12" s="33">
        <f>'Spot rates'!C12</f>
        <v>2.8910000000000002E-2</v>
      </c>
      <c r="D12" s="33">
        <f>'Spot rates'!D12</f>
        <v>4.0730000000000002E-2</v>
      </c>
      <c r="E12" s="33">
        <f>'Spot rates'!E12</f>
        <v>3.5099999999999999E-2</v>
      </c>
      <c r="F12" s="33">
        <f>'Spot rates'!F12</f>
        <v>1.541E-2</v>
      </c>
      <c r="G12" s="33">
        <f>'Spot rates'!G12</f>
        <v>1.431E-2</v>
      </c>
      <c r="H12" s="33">
        <f>'Spot rates'!H12</f>
        <v>2.7439999999999999E-2</v>
      </c>
      <c r="I12" s="33">
        <f>'Spot rates'!I12</f>
        <v>2.3480000000000001E-2</v>
      </c>
      <c r="J12" s="33">
        <f>'Spot rates'!J12</f>
        <v>2.3179999999999999E-2</v>
      </c>
      <c r="K12" s="33">
        <f>'Spot rates'!K12</f>
        <v>3.1230000000000001E-2</v>
      </c>
      <c r="L12" s="33">
        <f>'Spot rates'!L12</f>
        <v>3.8429999999999999E-2</v>
      </c>
      <c r="M12" s="33">
        <f>'Spot rates'!M12</f>
        <v>3.7920000000000002E-2</v>
      </c>
      <c r="N12" s="33">
        <f>'Spot rates'!N12</f>
        <v>2.034E-2</v>
      </c>
      <c r="O12" s="33">
        <f>'Spot rates'!O12</f>
        <v>9.8899999999999995E-3</v>
      </c>
      <c r="P12" s="32"/>
      <c r="Q12" s="32"/>
      <c r="R12" s="32"/>
      <c r="S12" s="32"/>
      <c r="T12" s="32"/>
      <c r="U12" s="32"/>
      <c r="V12" s="32"/>
      <c r="W12" s="32"/>
      <c r="X12" s="32"/>
      <c r="Y12" s="32"/>
    </row>
    <row r="13" spans="1:27" x14ac:dyDescent="0.2">
      <c r="A13" s="131">
        <f>'Spot rates'!A13</f>
        <v>6</v>
      </c>
      <c r="B13" s="33">
        <f>'Spot rates'!B13</f>
        <v>4.6969999999999998E-2</v>
      </c>
      <c r="C13" s="33">
        <f>'Spot rates'!C13</f>
        <v>3.1730000000000001E-2</v>
      </c>
      <c r="D13" s="33">
        <f>'Spot rates'!D13</f>
        <v>4.385E-2</v>
      </c>
      <c r="E13" s="33">
        <f>'Spot rates'!E13</f>
        <v>3.8179999999999999E-2</v>
      </c>
      <c r="F13" s="33">
        <f>'Spot rates'!F13</f>
        <v>1.7430000000000001E-2</v>
      </c>
      <c r="G13" s="33">
        <f>'Spot rates'!G13</f>
        <v>1.619E-2</v>
      </c>
      <c r="H13" s="33">
        <f>'Spot rates'!H13</f>
        <v>3.0030000000000001E-2</v>
      </c>
      <c r="I13" s="33">
        <f>'Spot rates'!I13</f>
        <v>2.4750000000000001E-2</v>
      </c>
      <c r="J13" s="33">
        <f>'Spot rates'!J13</f>
        <v>2.4299999999999999E-2</v>
      </c>
      <c r="K13" s="33">
        <f>'Spot rates'!K13</f>
        <v>3.2329999999999998E-2</v>
      </c>
      <c r="L13" s="33">
        <f>'Spot rates'!L13</f>
        <v>3.8960000000000002E-2</v>
      </c>
      <c r="M13" s="33">
        <f>'Spot rates'!M13</f>
        <v>3.8219999999999997E-2</v>
      </c>
      <c r="N13" s="33">
        <f>'Spot rates'!N13</f>
        <v>2.06E-2</v>
      </c>
      <c r="O13" s="33">
        <f>'Spot rates'!O13</f>
        <v>1.115E-2</v>
      </c>
      <c r="P13" s="32"/>
      <c r="Q13" s="32"/>
      <c r="R13" s="32"/>
      <c r="S13" s="32"/>
      <c r="T13" s="32"/>
      <c r="U13" s="32"/>
      <c r="V13" s="32"/>
      <c r="W13" s="32"/>
      <c r="X13" s="32"/>
      <c r="Y13" s="32"/>
    </row>
    <row r="14" spans="1:27" x14ac:dyDescent="0.2">
      <c r="A14" s="131">
        <f>'Spot rates'!A14</f>
        <v>6.5</v>
      </c>
      <c r="B14" s="33">
        <f>'Spot rates'!B14</f>
        <v>4.9099999999999998E-2</v>
      </c>
      <c r="C14" s="33">
        <f>'Spot rates'!C14</f>
        <v>3.4549999999999997E-2</v>
      </c>
      <c r="D14" s="33">
        <f>'Spot rates'!D14</f>
        <v>4.6739999999999997E-2</v>
      </c>
      <c r="E14" s="33">
        <f>'Spot rates'!E14</f>
        <v>4.095E-2</v>
      </c>
      <c r="F14" s="33">
        <f>'Spot rates'!F14</f>
        <v>1.9460000000000002E-2</v>
      </c>
      <c r="G14" s="33">
        <f>'Spot rates'!G14</f>
        <v>1.814E-2</v>
      </c>
      <c r="H14" s="33">
        <f>'Spot rates'!H14</f>
        <v>3.2370000000000003E-2</v>
      </c>
      <c r="I14" s="33">
        <f>'Spot rates'!I14</f>
        <v>2.5829999999999999E-2</v>
      </c>
      <c r="J14" s="33">
        <f>'Spot rates'!J14</f>
        <v>2.5319999999999999E-2</v>
      </c>
      <c r="K14" s="33">
        <f>'Spot rates'!K14</f>
        <v>3.3300000000000003E-2</v>
      </c>
      <c r="L14" s="33">
        <f>'Spot rates'!L14</f>
        <v>3.9350000000000003E-2</v>
      </c>
      <c r="M14" s="33">
        <f>'Spot rates'!M14</f>
        <v>3.8449999999999998E-2</v>
      </c>
      <c r="N14" s="33">
        <f>'Spot rates'!N14</f>
        <v>2.078E-2</v>
      </c>
      <c r="O14" s="33">
        <f>'Spot rates'!O14</f>
        <v>1.23E-2</v>
      </c>
      <c r="P14" s="32"/>
      <c r="Q14" s="32"/>
      <c r="R14" s="32"/>
      <c r="S14" s="32"/>
      <c r="T14" s="32"/>
      <c r="U14" s="32"/>
      <c r="V14" s="32"/>
      <c r="W14" s="32"/>
      <c r="X14" s="32"/>
      <c r="Y14" s="32"/>
    </row>
    <row r="15" spans="1:27" x14ac:dyDescent="0.2">
      <c r="A15" s="131">
        <f>'Spot rates'!A15</f>
        <v>7</v>
      </c>
      <c r="B15" s="33">
        <f>'Spot rates'!B15</f>
        <v>5.1060000000000001E-2</v>
      </c>
      <c r="C15" s="33">
        <f>'Spot rates'!C15</f>
        <v>3.7440000000000001E-2</v>
      </c>
      <c r="D15" s="33">
        <f>'Spot rates'!D15</f>
        <v>4.9369999999999997E-2</v>
      </c>
      <c r="E15" s="33">
        <f>'Spot rates'!E15</f>
        <v>4.3580000000000001E-2</v>
      </c>
      <c r="F15" s="33">
        <f>'Spot rates'!F15</f>
        <v>2.1510000000000001E-2</v>
      </c>
      <c r="G15" s="33">
        <f>'Spot rates'!G15</f>
        <v>2.0160000000000001E-2</v>
      </c>
      <c r="H15" s="33">
        <f>'Spot rates'!H15</f>
        <v>3.4520000000000002E-2</v>
      </c>
      <c r="I15" s="33">
        <f>'Spot rates'!I15</f>
        <v>2.673E-2</v>
      </c>
      <c r="J15" s="33">
        <f>'Spot rates'!J15</f>
        <v>2.622E-2</v>
      </c>
      <c r="K15" s="33">
        <f>'Spot rates'!K15</f>
        <v>3.4169999999999999E-2</v>
      </c>
      <c r="L15" s="33">
        <f>'Spot rates'!L15</f>
        <v>3.9800000000000002E-2</v>
      </c>
      <c r="M15" s="33">
        <f>'Spot rates'!M15</f>
        <v>3.875E-2</v>
      </c>
      <c r="N15" s="33">
        <f>'Spot rates'!N15</f>
        <v>2.1080000000000002E-2</v>
      </c>
      <c r="O15" s="33">
        <f>'Spot rates'!O15</f>
        <v>1.3339999999999999E-2</v>
      </c>
      <c r="P15" s="32"/>
      <c r="Q15" s="32"/>
      <c r="R15" s="32"/>
      <c r="S15" s="32"/>
      <c r="T15" s="32"/>
      <c r="U15" s="32"/>
      <c r="V15" s="32"/>
      <c r="W15" s="32"/>
      <c r="X15" s="32"/>
      <c r="Y15" s="32"/>
    </row>
    <row r="16" spans="1:27" x14ac:dyDescent="0.2">
      <c r="A16" s="131">
        <f>'Spot rates'!A16</f>
        <v>7.5</v>
      </c>
      <c r="B16" s="33">
        <f>'Spot rates'!B16</f>
        <v>5.3069999999999999E-2</v>
      </c>
      <c r="C16" s="33">
        <f>'Spot rates'!C16</f>
        <v>4.0189999999999997E-2</v>
      </c>
      <c r="D16" s="33">
        <f>'Spot rates'!D16</f>
        <v>5.1769999999999997E-2</v>
      </c>
      <c r="E16" s="33">
        <f>'Spot rates'!E16</f>
        <v>4.6019999999999998E-2</v>
      </c>
      <c r="F16" s="33">
        <f>'Spot rates'!F16</f>
        <v>2.3460000000000002E-2</v>
      </c>
      <c r="G16" s="33">
        <f>'Spot rates'!G16</f>
        <v>2.2110000000000001E-2</v>
      </c>
      <c r="H16" s="33">
        <f>'Spot rates'!H16</f>
        <v>3.644E-2</v>
      </c>
      <c r="I16" s="33">
        <f>'Spot rates'!I16</f>
        <v>2.7529999999999999E-2</v>
      </c>
      <c r="J16" s="33">
        <f>'Spot rates'!J16</f>
        <v>2.7089999999999999E-2</v>
      </c>
      <c r="K16" s="33">
        <f>'Spot rates'!K16</f>
        <v>3.4889999999999997E-2</v>
      </c>
      <c r="L16" s="33">
        <f>'Spot rates'!L16</f>
        <v>4.002E-2</v>
      </c>
      <c r="M16" s="33">
        <f>'Spot rates'!M16</f>
        <v>3.9E-2</v>
      </c>
      <c r="N16" s="33">
        <f>'Spot rates'!N16</f>
        <v>2.1260000000000001E-2</v>
      </c>
      <c r="O16" s="33">
        <f>'Spot rates'!O16</f>
        <v>1.4460000000000001E-2</v>
      </c>
      <c r="P16" s="32"/>
      <c r="Q16" s="32"/>
      <c r="R16" s="32"/>
      <c r="S16" s="32"/>
      <c r="T16" s="32"/>
      <c r="U16" s="32"/>
      <c r="V16" s="32"/>
      <c r="W16" s="32"/>
      <c r="X16" s="32"/>
      <c r="Y16" s="32"/>
    </row>
    <row r="17" spans="1:25" x14ac:dyDescent="0.2">
      <c r="A17" s="131">
        <f>'Spot rates'!A17</f>
        <v>8</v>
      </c>
      <c r="B17" s="33">
        <f>'Spot rates'!B17</f>
        <v>5.4809999999999998E-2</v>
      </c>
      <c r="C17" s="33">
        <f>'Spot rates'!C17</f>
        <v>4.2779999999999999E-2</v>
      </c>
      <c r="D17" s="33">
        <f>'Spot rates'!D17</f>
        <v>5.4059999999999997E-2</v>
      </c>
      <c r="E17" s="33">
        <f>'Spot rates'!E17</f>
        <v>4.8230000000000002E-2</v>
      </c>
      <c r="F17" s="33">
        <f>'Spot rates'!F17</f>
        <v>2.5409999999999999E-2</v>
      </c>
      <c r="G17" s="33">
        <f>'Spot rates'!G17</f>
        <v>2.3990000000000001E-2</v>
      </c>
      <c r="H17" s="33">
        <f>'Spot rates'!H17</f>
        <v>3.8330000000000003E-2</v>
      </c>
      <c r="I17" s="33">
        <f>'Spot rates'!I17</f>
        <v>2.828E-2</v>
      </c>
      <c r="J17" s="33">
        <f>'Spot rates'!J17</f>
        <v>2.792E-2</v>
      </c>
      <c r="K17" s="33">
        <f>'Spot rates'!K17</f>
        <v>3.5540000000000002E-2</v>
      </c>
      <c r="L17" s="33">
        <f>'Spot rates'!L17</f>
        <v>4.0320000000000002E-2</v>
      </c>
      <c r="M17" s="33">
        <f>'Spot rates'!M17</f>
        <v>3.9300000000000002E-2</v>
      </c>
      <c r="N17" s="33">
        <f>'Spot rates'!N17</f>
        <v>2.1510000000000001E-2</v>
      </c>
      <c r="O17" s="33">
        <f>'Spot rates'!O17</f>
        <v>1.5469999999999999E-2</v>
      </c>
      <c r="P17" s="32"/>
      <c r="Q17" s="32"/>
      <c r="R17" s="32"/>
      <c r="S17" s="32"/>
      <c r="T17" s="32"/>
      <c r="U17" s="32"/>
      <c r="V17" s="32"/>
      <c r="W17" s="32"/>
      <c r="X17" s="32"/>
      <c r="Y17" s="32"/>
    </row>
    <row r="18" spans="1:25" x14ac:dyDescent="0.2">
      <c r="A18" s="131">
        <f>'Spot rates'!A18</f>
        <v>8.5</v>
      </c>
      <c r="B18" s="33">
        <f>'Spot rates'!B18</f>
        <v>5.6520000000000001E-2</v>
      </c>
      <c r="C18" s="33">
        <f>'Spot rates'!C18</f>
        <v>4.5260000000000002E-2</v>
      </c>
      <c r="D18" s="33">
        <f>'Spot rates'!D18</f>
        <v>5.6059999999999999E-2</v>
      </c>
      <c r="E18" s="33">
        <f>'Spot rates'!E18</f>
        <v>5.033E-2</v>
      </c>
      <c r="F18" s="33">
        <f>'Spot rates'!F18</f>
        <v>2.7210000000000002E-2</v>
      </c>
      <c r="G18" s="33">
        <f>'Spot rates'!G18</f>
        <v>2.579E-2</v>
      </c>
      <c r="H18" s="33">
        <f>'Spot rates'!H18</f>
        <v>4.002E-2</v>
      </c>
      <c r="I18" s="33">
        <f>'Spot rates'!I18</f>
        <v>2.895E-2</v>
      </c>
      <c r="J18" s="33">
        <f>'Spot rates'!J18</f>
        <v>2.8670000000000001E-2</v>
      </c>
      <c r="K18" s="33">
        <f>'Spot rates'!K18</f>
        <v>3.6139999999999999E-2</v>
      </c>
      <c r="L18" s="33">
        <f>'Spot rates'!L18</f>
        <v>4.0590000000000001E-2</v>
      </c>
      <c r="M18" s="33">
        <f>'Spot rates'!M18</f>
        <v>3.9600000000000003E-2</v>
      </c>
      <c r="N18" s="33">
        <f>'Spot rates'!N18</f>
        <v>2.171E-2</v>
      </c>
      <c r="O18" s="33">
        <f>'Spot rates'!O18</f>
        <v>1.6400000000000001E-2</v>
      </c>
      <c r="P18" s="32"/>
      <c r="Q18" s="32"/>
      <c r="R18" s="32"/>
      <c r="S18" s="32"/>
      <c r="T18" s="32"/>
      <c r="U18" s="32"/>
      <c r="V18" s="32"/>
      <c r="W18" s="32"/>
      <c r="X18" s="32"/>
      <c r="Y18" s="32"/>
    </row>
    <row r="19" spans="1:25" x14ac:dyDescent="0.2">
      <c r="A19" s="131">
        <f>'Spot rates'!A19</f>
        <v>9</v>
      </c>
      <c r="B19" s="33">
        <f>'Spot rates'!B19</f>
        <v>5.808E-2</v>
      </c>
      <c r="C19" s="33">
        <f>'Spot rates'!C19</f>
        <v>4.7550000000000002E-2</v>
      </c>
      <c r="D19" s="33">
        <f>'Spot rates'!D19</f>
        <v>5.7889999999999997E-2</v>
      </c>
      <c r="E19" s="33">
        <f>'Spot rates'!E19</f>
        <v>5.2200000000000003E-2</v>
      </c>
      <c r="F19" s="33">
        <f>'Spot rates'!F19</f>
        <v>2.894E-2</v>
      </c>
      <c r="G19" s="33">
        <f>'Spot rates'!G19</f>
        <v>2.7470000000000001E-2</v>
      </c>
      <c r="H19" s="33">
        <f>'Spot rates'!H19</f>
        <v>4.1489999999999999E-2</v>
      </c>
      <c r="I19" s="33">
        <f>'Spot rates'!I19</f>
        <v>2.9479999999999999E-2</v>
      </c>
      <c r="J19" s="33">
        <f>'Spot rates'!J19</f>
        <v>2.9389999999999999E-2</v>
      </c>
      <c r="K19" s="33">
        <f>'Spot rates'!K19</f>
        <v>3.671E-2</v>
      </c>
      <c r="L19" s="33">
        <f>'Spot rates'!L19</f>
        <v>4.0820000000000002E-2</v>
      </c>
      <c r="M19" s="33">
        <f>'Spot rates'!M19</f>
        <v>3.9829999999999997E-2</v>
      </c>
      <c r="N19" s="33">
        <f>'Spot rates'!N19</f>
        <v>2.196E-2</v>
      </c>
      <c r="O19" s="33">
        <f>'Spot rates'!O19</f>
        <v>1.737E-2</v>
      </c>
      <c r="P19" s="32"/>
      <c r="Q19" s="32"/>
      <c r="R19" s="32"/>
      <c r="S19" s="32"/>
      <c r="T19" s="32"/>
      <c r="U19" s="32"/>
      <c r="V19" s="32"/>
      <c r="W19" s="32"/>
      <c r="X19" s="32"/>
      <c r="Y19" s="32"/>
    </row>
    <row r="20" spans="1:25" x14ac:dyDescent="0.2">
      <c r="A20" s="131">
        <f>'Spot rates'!A20</f>
        <v>9.5</v>
      </c>
      <c r="B20" s="33">
        <f>'Spot rates'!B20</f>
        <v>5.9520000000000003E-2</v>
      </c>
      <c r="C20" s="33">
        <f>'Spot rates'!C20</f>
        <v>4.965E-2</v>
      </c>
      <c r="D20" s="33">
        <f>'Spot rates'!D20</f>
        <v>5.951E-2</v>
      </c>
      <c r="E20" s="33">
        <f>'Spot rates'!E20</f>
        <v>5.3969999999999997E-2</v>
      </c>
      <c r="F20" s="33">
        <f>'Spot rates'!F20</f>
        <v>3.0589999999999999E-2</v>
      </c>
      <c r="G20" s="33">
        <f>'Spot rates'!G20</f>
        <v>2.9159999999999998E-2</v>
      </c>
      <c r="H20" s="33">
        <f>'Spot rates'!H20</f>
        <v>4.2930000000000003E-2</v>
      </c>
      <c r="I20" s="33">
        <f>'Spot rates'!I20</f>
        <v>3.0030000000000001E-2</v>
      </c>
      <c r="J20" s="33">
        <f>'Spot rates'!J20</f>
        <v>3.0110000000000001E-2</v>
      </c>
      <c r="K20" s="33">
        <f>'Spot rates'!K20</f>
        <v>3.7280000000000001E-2</v>
      </c>
      <c r="L20" s="33">
        <f>'Spot rates'!L20</f>
        <v>4.1009999999999998E-2</v>
      </c>
      <c r="M20" s="33">
        <f>'Spot rates'!M20</f>
        <v>4.0129999999999999E-2</v>
      </c>
      <c r="N20" s="33">
        <f>'Spot rates'!N20</f>
        <v>2.2190000000000001E-2</v>
      </c>
      <c r="O20" s="33">
        <f>'Spot rates'!O20</f>
        <v>1.8200000000000001E-2</v>
      </c>
      <c r="P20" s="32"/>
      <c r="Q20" s="32"/>
      <c r="R20" s="32"/>
      <c r="S20" s="32"/>
      <c r="T20" s="32"/>
      <c r="U20" s="32"/>
      <c r="V20" s="32"/>
      <c r="W20" s="32"/>
      <c r="X20" s="32"/>
      <c r="Y20" s="32"/>
    </row>
    <row r="21" spans="1:25" x14ac:dyDescent="0.2">
      <c r="A21" s="131">
        <f>'Spot rates'!A21</f>
        <v>10</v>
      </c>
      <c r="B21" s="33">
        <f>'Spot rates'!B21</f>
        <v>6.0859999999999997E-2</v>
      </c>
      <c r="C21" s="33">
        <f>'Spot rates'!C21</f>
        <v>5.1450000000000003E-2</v>
      </c>
      <c r="D21" s="33">
        <f>'Spot rates'!D21</f>
        <v>6.1080000000000002E-2</v>
      </c>
      <c r="E21" s="33">
        <f>'Spot rates'!E21</f>
        <v>5.5649999999999998E-2</v>
      </c>
      <c r="F21" s="33">
        <f>'Spot rates'!F21</f>
        <v>3.209E-2</v>
      </c>
      <c r="G21" s="33">
        <f>'Spot rates'!G21</f>
        <v>3.0689999999999999E-2</v>
      </c>
      <c r="H21" s="33">
        <f>'Spot rates'!H21</f>
        <v>4.4220000000000002E-2</v>
      </c>
      <c r="I21" s="33">
        <f>'Spot rates'!I21</f>
        <v>3.0599999999999999E-2</v>
      </c>
      <c r="J21" s="33">
        <f>'Spot rates'!J21</f>
        <v>3.075E-2</v>
      </c>
      <c r="K21" s="33">
        <f>'Spot rates'!K21</f>
        <v>3.773E-2</v>
      </c>
      <c r="L21" s="33">
        <f>'Spot rates'!L21</f>
        <v>4.1189999999999997E-2</v>
      </c>
      <c r="M21" s="33">
        <f>'Spot rates'!M21</f>
        <v>4.0430000000000001E-2</v>
      </c>
      <c r="N21" s="33">
        <f>'Spot rates'!N21</f>
        <v>2.2440000000000002E-2</v>
      </c>
      <c r="O21" s="33">
        <f>'Spot rates'!O21</f>
        <v>1.899E-2</v>
      </c>
      <c r="P21" s="32"/>
      <c r="Q21" s="32"/>
      <c r="R21" s="32"/>
      <c r="S21" s="32"/>
      <c r="T21" s="32"/>
      <c r="U21" s="32"/>
      <c r="V21" s="32"/>
      <c r="W21" s="32"/>
      <c r="X21" s="32"/>
      <c r="Y21" s="32"/>
    </row>
    <row r="22" spans="1:25" x14ac:dyDescent="0.2">
      <c r="A22" s="34">
        <f>'Spot rates'!A22</f>
        <v>10.5</v>
      </c>
      <c r="B22" s="33">
        <f>'Spot rates'!B22</f>
        <v>6.1969999999999997E-2</v>
      </c>
      <c r="C22" s="33">
        <f>'Spot rates'!C22</f>
        <v>5.3060000000000003E-2</v>
      </c>
      <c r="D22" s="33">
        <f>'Spot rates'!D22</f>
        <v>6.2429999999999999E-2</v>
      </c>
      <c r="E22" s="33">
        <f>'Spot rates'!E22</f>
        <v>5.7119999999999997E-2</v>
      </c>
      <c r="F22" s="33">
        <f>'Spot rates'!F22</f>
        <v>3.3590000000000002E-2</v>
      </c>
      <c r="G22" s="33">
        <f>'Spot rates'!G22</f>
        <v>3.2190000000000003E-2</v>
      </c>
      <c r="H22" s="33">
        <f>'Spot rates'!H22</f>
        <v>4.539E-2</v>
      </c>
      <c r="I22" s="33">
        <f>'Spot rates'!I22</f>
        <v>3.1050000000000001E-2</v>
      </c>
      <c r="J22" s="33">
        <f>'Spot rates'!J22</f>
        <v>3.1350000000000003E-2</v>
      </c>
      <c r="K22" s="33">
        <f>'Spot rates'!K22</f>
        <v>3.8219999999999997E-2</v>
      </c>
      <c r="L22" s="33">
        <f>'Spot rates'!L22</f>
        <v>4.1459999999999997E-2</v>
      </c>
      <c r="M22" s="33">
        <f>'Spot rates'!M22</f>
        <v>4.0730000000000002E-2</v>
      </c>
      <c r="N22" s="33">
        <f>'Spot rates'!N22</f>
        <v>2.2669999999999999E-2</v>
      </c>
      <c r="O22" s="33">
        <f>'Spot rates'!O22</f>
        <v>1.9769999999999999E-2</v>
      </c>
      <c r="P22" s="32"/>
      <c r="Q22" s="32"/>
      <c r="R22" s="32"/>
      <c r="S22" s="32"/>
      <c r="T22" s="32"/>
      <c r="U22" s="32"/>
      <c r="V22" s="32"/>
      <c r="W22" s="32"/>
      <c r="X22" s="32"/>
      <c r="Y22" s="32"/>
    </row>
    <row r="23" spans="1:25" x14ac:dyDescent="0.2">
      <c r="A23" s="34">
        <f>'Spot rates'!A23</f>
        <v>11</v>
      </c>
      <c r="B23" s="33">
        <f>'Spot rates'!B23</f>
        <v>6.3079999999999997E-2</v>
      </c>
      <c r="C23" s="33">
        <f>'Spot rates'!C23</f>
        <v>5.4480000000000001E-2</v>
      </c>
      <c r="D23" s="33">
        <f>'Spot rates'!D23</f>
        <v>6.3710000000000003E-2</v>
      </c>
      <c r="E23" s="33">
        <f>'Spot rates'!E23</f>
        <v>5.8549999999999998E-2</v>
      </c>
      <c r="F23" s="33">
        <f>'Spot rates'!F23</f>
        <v>3.4939999999999999E-2</v>
      </c>
      <c r="G23" s="33">
        <f>'Spot rates'!G23</f>
        <v>3.354E-2</v>
      </c>
      <c r="H23" s="33">
        <f>'Spot rates'!H23</f>
        <v>4.6489999999999997E-2</v>
      </c>
      <c r="I23" s="33">
        <f>'Spot rates'!I23</f>
        <v>3.1460000000000002E-2</v>
      </c>
      <c r="J23" s="33">
        <f>'Spot rates'!J23</f>
        <v>3.1919999999999997E-2</v>
      </c>
      <c r="K23" s="33">
        <f>'Spot rates'!K23</f>
        <v>3.8670000000000003E-2</v>
      </c>
      <c r="L23" s="33">
        <f>'Spot rates'!L23</f>
        <v>4.1610000000000001E-2</v>
      </c>
      <c r="M23" s="33">
        <f>'Spot rates'!M23</f>
        <v>4.0919999999999998E-2</v>
      </c>
      <c r="N23" s="33">
        <f>'Spot rates'!N23</f>
        <v>2.2970000000000001E-2</v>
      </c>
      <c r="O23" s="33">
        <f>'Spot rates'!O23</f>
        <v>2.052E-2</v>
      </c>
      <c r="P23" s="32"/>
      <c r="Q23" s="32"/>
      <c r="R23" s="32"/>
      <c r="S23" s="32"/>
      <c r="T23" s="32"/>
      <c r="U23" s="32"/>
      <c r="V23" s="32"/>
      <c r="W23" s="32"/>
      <c r="X23" s="32"/>
      <c r="Y23" s="32"/>
    </row>
    <row r="24" spans="1:25" x14ac:dyDescent="0.2">
      <c r="A24" s="34">
        <f>'Spot rates'!A24</f>
        <v>11.5</v>
      </c>
      <c r="B24" s="33">
        <f>'Spot rates'!B24</f>
        <v>6.404E-2</v>
      </c>
      <c r="C24" s="33">
        <f>'Spot rates'!C24</f>
        <v>5.568E-2</v>
      </c>
      <c r="D24" s="33">
        <f>'Spot rates'!D24</f>
        <v>6.4879999999999993E-2</v>
      </c>
      <c r="E24" s="33">
        <f>'Spot rates'!E24</f>
        <v>5.985E-2</v>
      </c>
      <c r="F24" s="33">
        <f>'Spot rates'!F24</f>
        <v>3.6179999999999997E-2</v>
      </c>
      <c r="G24" s="33">
        <f>'Spot rates'!G24</f>
        <v>3.4819999999999997E-2</v>
      </c>
      <c r="H24" s="33">
        <f>'Spot rates'!H24</f>
        <v>4.7509999999999997E-2</v>
      </c>
      <c r="I24" s="33">
        <f>'Spot rates'!I24</f>
        <v>3.1879999999999999E-2</v>
      </c>
      <c r="J24" s="33">
        <f>'Spot rates'!J24</f>
        <v>3.2370000000000003E-2</v>
      </c>
      <c r="K24" s="33">
        <f>'Spot rates'!K24</f>
        <v>3.9050000000000001E-2</v>
      </c>
      <c r="L24" s="33">
        <f>'Spot rates'!L24</f>
        <v>4.1759999999999999E-2</v>
      </c>
      <c r="M24" s="33">
        <f>'Spot rates'!M24</f>
        <v>4.1180000000000001E-2</v>
      </c>
      <c r="N24" s="33">
        <f>'Spot rates'!N24</f>
        <v>2.334E-2</v>
      </c>
      <c r="O24" s="33">
        <f>'Spot rates'!O24</f>
        <v>2.12E-2</v>
      </c>
      <c r="P24" s="32"/>
      <c r="Q24" s="32"/>
      <c r="R24" s="32"/>
      <c r="S24" s="32"/>
      <c r="T24" s="32"/>
      <c r="U24" s="32"/>
      <c r="V24" s="32"/>
      <c r="W24" s="32"/>
      <c r="X24" s="32"/>
      <c r="Y24" s="32"/>
    </row>
    <row r="25" spans="1:25" x14ac:dyDescent="0.2">
      <c r="A25" s="34">
        <f>'Spot rates'!A25</f>
        <v>12</v>
      </c>
      <c r="B25" s="33">
        <f>'Spot rates'!B25</f>
        <v>6.497E-2</v>
      </c>
      <c r="C25" s="33">
        <f>'Spot rates'!C25</f>
        <v>5.6689999999999997E-2</v>
      </c>
      <c r="D25" s="33">
        <f>'Spot rates'!D25</f>
        <v>6.5930000000000002E-2</v>
      </c>
      <c r="E25" s="33">
        <f>'Spot rates'!E25</f>
        <v>6.1129999999999997E-2</v>
      </c>
      <c r="F25" s="33">
        <f>'Spot rates'!F25</f>
        <v>3.7310000000000003E-2</v>
      </c>
      <c r="G25" s="33">
        <f>'Spot rates'!G25</f>
        <v>3.6020000000000003E-2</v>
      </c>
      <c r="H25" s="33">
        <f>'Spot rates'!H25</f>
        <v>4.8480000000000002E-2</v>
      </c>
      <c r="I25" s="33">
        <f>'Spot rates'!I25</f>
        <v>3.2210000000000003E-2</v>
      </c>
      <c r="J25" s="33">
        <f>'Spot rates'!J25</f>
        <v>3.2820000000000002E-2</v>
      </c>
      <c r="K25" s="33">
        <f>'Spot rates'!K25</f>
        <v>3.9419999999999997E-2</v>
      </c>
      <c r="L25" s="33">
        <f>'Spot rates'!L25</f>
        <v>4.1910000000000003E-2</v>
      </c>
      <c r="M25" s="33">
        <f>'Spot rates'!M25</f>
        <v>4.1399999999999999E-2</v>
      </c>
      <c r="N25" s="33">
        <f>'Spot rates'!N25</f>
        <v>2.3640000000000001E-2</v>
      </c>
      <c r="O25" s="33">
        <f>'Spot rates'!O25</f>
        <v>2.18E-2</v>
      </c>
      <c r="P25" s="32"/>
      <c r="Q25" s="32"/>
      <c r="R25" s="32"/>
      <c r="S25" s="32"/>
      <c r="T25" s="32"/>
      <c r="U25" s="32"/>
      <c r="V25" s="32"/>
      <c r="W25" s="32"/>
      <c r="X25" s="32"/>
      <c r="Y25" s="32"/>
    </row>
    <row r="26" spans="1:25" x14ac:dyDescent="0.2">
      <c r="A26" s="34">
        <f>'Spot rates'!A26</f>
        <v>12.5</v>
      </c>
      <c r="B26" s="33">
        <f>'Spot rates'!B26</f>
        <v>6.5750000000000003E-2</v>
      </c>
      <c r="C26" s="33">
        <f>'Spot rates'!C26</f>
        <v>5.7480000000000003E-2</v>
      </c>
      <c r="D26" s="33">
        <f>'Spot rates'!D26</f>
        <v>6.6860000000000003E-2</v>
      </c>
      <c r="E26" s="33">
        <f>'Spot rates'!E26</f>
        <v>6.2300000000000001E-2</v>
      </c>
      <c r="F26" s="33">
        <f>'Spot rates'!F26</f>
        <v>3.8359999999999998E-2</v>
      </c>
      <c r="G26" s="33">
        <f>'Spot rates'!G26</f>
        <v>3.7100000000000001E-2</v>
      </c>
      <c r="H26" s="33">
        <f>'Spot rates'!H26</f>
        <v>4.9279999999999997E-2</v>
      </c>
      <c r="I26" s="33">
        <f>'Spot rates'!I26</f>
        <v>3.2579999999999998E-2</v>
      </c>
      <c r="J26" s="33">
        <f>'Spot rates'!J26</f>
        <v>3.3239999999999999E-2</v>
      </c>
      <c r="K26" s="33">
        <f>'Spot rates'!K26</f>
        <v>3.9800000000000002E-2</v>
      </c>
      <c r="L26" s="33">
        <f>'Spot rates'!L26</f>
        <v>4.206E-2</v>
      </c>
      <c r="M26" s="33">
        <f>'Spot rates'!M26</f>
        <v>4.163E-2</v>
      </c>
      <c r="N26" s="33">
        <f>'Spot rates'!N26</f>
        <v>2.3939999999999999E-2</v>
      </c>
      <c r="O26" s="33">
        <f>'Spot rates'!O26</f>
        <v>2.247E-2</v>
      </c>
      <c r="P26" s="32"/>
      <c r="Q26" s="32"/>
      <c r="R26" s="32"/>
      <c r="S26" s="32"/>
      <c r="T26" s="32"/>
      <c r="U26" s="32"/>
      <c r="V26" s="32"/>
      <c r="W26" s="32"/>
      <c r="X26" s="32"/>
      <c r="Y26" s="32"/>
    </row>
    <row r="27" spans="1:25" x14ac:dyDescent="0.2">
      <c r="A27" s="34">
        <f>'Spot rates'!A27</f>
        <v>13</v>
      </c>
      <c r="B27" s="33">
        <f>'Spot rates'!B27</f>
        <v>6.6530000000000006E-2</v>
      </c>
      <c r="C27" s="33">
        <f>'Spot rates'!C27</f>
        <v>5.8110000000000002E-2</v>
      </c>
      <c r="D27" s="33">
        <f>'Spot rates'!D27</f>
        <v>6.7729999999999999E-2</v>
      </c>
      <c r="E27" s="33">
        <f>'Spot rates'!E27</f>
        <v>6.3350000000000004E-2</v>
      </c>
      <c r="F27" s="33">
        <f>'Spot rates'!F27</f>
        <v>3.9329999999999997E-2</v>
      </c>
      <c r="G27" s="33">
        <f>'Spot rates'!G27</f>
        <v>3.8150000000000003E-2</v>
      </c>
      <c r="H27" s="33">
        <f>'Spot rates'!H27</f>
        <v>5.0029999999999998E-2</v>
      </c>
      <c r="I27" s="33">
        <f>'Spot rates'!I27</f>
        <v>3.2960000000000003E-2</v>
      </c>
      <c r="J27" s="33">
        <f>'Spot rates'!J27</f>
        <v>3.3619999999999997E-2</v>
      </c>
      <c r="K27" s="33">
        <f>'Spot rates'!K27</f>
        <v>4.0169999999999997E-2</v>
      </c>
      <c r="L27" s="33">
        <f>'Spot rates'!L27</f>
        <v>4.2139999999999997E-2</v>
      </c>
      <c r="M27" s="33">
        <f>'Spot rates'!M27</f>
        <v>4.181E-2</v>
      </c>
      <c r="N27" s="33">
        <f>'Spot rates'!N27</f>
        <v>2.427E-2</v>
      </c>
      <c r="O27" s="33">
        <f>'Spot rates'!O27</f>
        <v>2.3E-2</v>
      </c>
      <c r="P27" s="32"/>
      <c r="Q27" s="32"/>
      <c r="R27" s="32"/>
      <c r="S27" s="32"/>
      <c r="T27" s="32"/>
      <c r="U27" s="32"/>
      <c r="V27" s="32"/>
      <c r="W27" s="32"/>
      <c r="X27" s="32"/>
      <c r="Y27" s="32"/>
    </row>
    <row r="28" spans="1:25" x14ac:dyDescent="0.2">
      <c r="A28" s="34">
        <f>'Spot rates'!A28</f>
        <v>13.5</v>
      </c>
      <c r="B28" s="33">
        <f>'Spot rates'!B28</f>
        <v>6.7129999999999995E-2</v>
      </c>
      <c r="C28" s="33">
        <f>'Spot rates'!C28</f>
        <v>5.8520000000000003E-2</v>
      </c>
      <c r="D28" s="33">
        <f>'Spot rates'!D28</f>
        <v>6.8519999999999998E-2</v>
      </c>
      <c r="E28" s="33">
        <f>'Spot rates'!E28</f>
        <v>6.4399999999999999E-2</v>
      </c>
      <c r="F28" s="33">
        <f>'Spot rates'!F28</f>
        <v>4.0230000000000002E-2</v>
      </c>
      <c r="G28" s="33">
        <f>'Spot rates'!G28</f>
        <v>3.909E-2</v>
      </c>
      <c r="H28" s="33">
        <f>'Spot rates'!H28</f>
        <v>5.0779999999999999E-2</v>
      </c>
      <c r="I28" s="33">
        <f>'Spot rates'!I28</f>
        <v>3.3259999999999998E-2</v>
      </c>
      <c r="J28" s="33">
        <f>'Spot rates'!J28</f>
        <v>3.3959999999999997E-2</v>
      </c>
      <c r="K28" s="33">
        <f>'Spot rates'!K28</f>
        <v>4.0469999999999999E-2</v>
      </c>
      <c r="L28" s="33">
        <f>'Spot rates'!L28</f>
        <v>4.2259999999999999E-2</v>
      </c>
      <c r="M28" s="33">
        <f>'Spot rates'!M28</f>
        <v>4.2000000000000003E-2</v>
      </c>
      <c r="N28" s="33">
        <f>'Spot rates'!N28</f>
        <v>2.469E-2</v>
      </c>
      <c r="O28" s="33">
        <f>'Spot rates'!O28</f>
        <v>2.3449999999999999E-2</v>
      </c>
      <c r="P28" s="32"/>
      <c r="Q28" s="32"/>
      <c r="R28" s="32"/>
      <c r="S28" s="32"/>
      <c r="T28" s="32"/>
      <c r="U28" s="32"/>
      <c r="V28" s="32"/>
      <c r="W28" s="32"/>
      <c r="X28" s="32"/>
      <c r="Y28" s="32"/>
    </row>
    <row r="29" spans="1:25" x14ac:dyDescent="0.2">
      <c r="A29" s="34">
        <f>'Spot rates'!A29</f>
        <v>14</v>
      </c>
      <c r="B29" s="33">
        <f>'Spot rates'!B29</f>
        <v>6.7729999999999999E-2</v>
      </c>
      <c r="C29" s="33">
        <f>'Spot rates'!C29</f>
        <v>5.8819999999999997E-2</v>
      </c>
      <c r="D29" s="33">
        <f>'Spot rates'!D29</f>
        <v>6.923E-2</v>
      </c>
      <c r="E29" s="33">
        <f>'Spot rates'!E29</f>
        <v>6.5299999999999997E-2</v>
      </c>
      <c r="F29" s="33">
        <f>'Spot rates'!F29</f>
        <v>4.1059999999999999E-2</v>
      </c>
      <c r="G29" s="33">
        <f>'Spot rates'!G29</f>
        <v>3.9899999999999998E-2</v>
      </c>
      <c r="H29" s="33">
        <f>'Spot rates'!H29</f>
        <v>5.142E-2</v>
      </c>
      <c r="I29" s="33">
        <f>'Spot rates'!I29</f>
        <v>3.3590000000000002E-2</v>
      </c>
      <c r="J29" s="33">
        <f>'Spot rates'!J29</f>
        <v>3.4259999999999999E-2</v>
      </c>
      <c r="K29" s="33">
        <f>'Spot rates'!K29</f>
        <v>4.0770000000000001E-2</v>
      </c>
      <c r="L29" s="33">
        <f>'Spot rates'!L29</f>
        <v>4.2410000000000003E-2</v>
      </c>
      <c r="M29" s="33">
        <f>'Spot rates'!M29</f>
        <v>4.2180000000000002E-2</v>
      </c>
      <c r="N29" s="33">
        <f>'Spot rates'!N29</f>
        <v>2.4989999999999998E-2</v>
      </c>
      <c r="O29" s="33">
        <f>'Spot rates'!O29</f>
        <v>2.4049999999999998E-2</v>
      </c>
      <c r="P29" s="32"/>
      <c r="Q29" s="32"/>
      <c r="R29" s="32"/>
      <c r="S29" s="32"/>
      <c r="T29" s="32"/>
      <c r="U29" s="32"/>
      <c r="V29" s="32"/>
      <c r="W29" s="32"/>
      <c r="X29" s="32"/>
      <c r="Y29" s="32"/>
    </row>
    <row r="30" spans="1:25" x14ac:dyDescent="0.2">
      <c r="A30" s="34">
        <f>'Spot rates'!A30</f>
        <v>14.5</v>
      </c>
      <c r="B30" s="33">
        <f>'Spot rates'!B30</f>
        <v>6.8210000000000007E-2</v>
      </c>
      <c r="C30" s="33">
        <f>'Spot rates'!C30</f>
        <v>5.8970000000000002E-2</v>
      </c>
      <c r="D30" s="33">
        <f>'Spot rates'!D30</f>
        <v>6.9830000000000003E-2</v>
      </c>
      <c r="E30" s="33">
        <f>'Spot rates'!E30</f>
        <v>6.6170000000000007E-2</v>
      </c>
      <c r="F30" s="33">
        <f>'Spot rates'!F30</f>
        <v>4.1730000000000003E-2</v>
      </c>
      <c r="G30" s="33">
        <f>'Spot rates'!G30</f>
        <v>4.07E-2</v>
      </c>
      <c r="H30" s="33">
        <f>'Spot rates'!H30</f>
        <v>5.2019999999999997E-2</v>
      </c>
      <c r="I30" s="33">
        <f>'Spot rates'!I30</f>
        <v>3.3860000000000001E-2</v>
      </c>
      <c r="J30" s="33">
        <f>'Spot rates'!J30</f>
        <v>3.4639999999999997E-2</v>
      </c>
      <c r="K30" s="33">
        <f>'Spot rates'!K30</f>
        <v>4.1029999999999997E-2</v>
      </c>
      <c r="L30" s="33">
        <f>'Spot rates'!L30</f>
        <v>4.2529999999999998E-2</v>
      </c>
      <c r="M30" s="33">
        <f>'Spot rates'!M30</f>
        <v>4.233E-2</v>
      </c>
      <c r="N30" s="33">
        <f>'Spot rates'!N30</f>
        <v>2.5399999999999999E-2</v>
      </c>
      <c r="O30" s="33">
        <f>'Spot rates'!O30</f>
        <v>2.4420000000000001E-2</v>
      </c>
      <c r="P30" s="32"/>
      <c r="Q30" s="32"/>
      <c r="R30" s="32"/>
      <c r="S30" s="32"/>
      <c r="T30" s="32"/>
      <c r="U30" s="32"/>
      <c r="V30" s="32"/>
      <c r="W30" s="32"/>
      <c r="X30" s="32"/>
      <c r="Y30" s="32"/>
    </row>
    <row r="31" spans="1:25" x14ac:dyDescent="0.2">
      <c r="A31" s="34">
        <f>'Spot rates'!A31</f>
        <v>15</v>
      </c>
      <c r="B31" s="33">
        <f>'Spot rates'!B31</f>
        <v>6.8580000000000002E-2</v>
      </c>
      <c r="C31" s="33">
        <f>'Spot rates'!C31</f>
        <v>5.9029999999999999E-2</v>
      </c>
      <c r="D31" s="33">
        <f>'Spot rates'!D31</f>
        <v>7.0400000000000004E-2</v>
      </c>
      <c r="E31" s="33">
        <f>'Spot rates'!E31</f>
        <v>6.7019999999999996E-2</v>
      </c>
      <c r="F31" s="33">
        <f>'Spot rates'!F31</f>
        <v>4.2479999999999997E-2</v>
      </c>
      <c r="G31" s="33">
        <f>'Spot rates'!G31</f>
        <v>4.1450000000000001E-2</v>
      </c>
      <c r="H31" s="33">
        <f>'Spot rates'!H31</f>
        <v>5.262E-2</v>
      </c>
      <c r="I31" s="33">
        <f>'Spot rates'!I31</f>
        <v>3.4160000000000003E-2</v>
      </c>
      <c r="J31" s="33">
        <f>'Spot rates'!J31</f>
        <v>3.4939999999999999E-2</v>
      </c>
      <c r="K31" s="33">
        <f>'Spot rates'!K31</f>
        <v>4.1329999999999999E-2</v>
      </c>
      <c r="L31" s="33">
        <f>'Spot rates'!L31</f>
        <v>4.2680000000000003E-2</v>
      </c>
      <c r="M31" s="33">
        <f>'Spot rates'!M31</f>
        <v>4.2479999999999997E-2</v>
      </c>
      <c r="N31" s="33">
        <f>'Spot rates'!N31</f>
        <v>2.5739999999999999E-2</v>
      </c>
      <c r="O31" s="33">
        <f>'Spot rates'!O31</f>
        <v>2.487E-2</v>
      </c>
      <c r="P31" s="32"/>
      <c r="Q31" s="32"/>
      <c r="R31" s="32"/>
      <c r="S31" s="32"/>
      <c r="T31" s="32"/>
      <c r="U31" s="32"/>
      <c r="V31" s="32"/>
      <c r="W31" s="32"/>
      <c r="X31" s="32"/>
      <c r="Y31" s="32"/>
    </row>
    <row r="32" spans="1:25" x14ac:dyDescent="0.2">
      <c r="A32" s="34">
        <f>'Spot rates'!A32</f>
        <v>15.5</v>
      </c>
      <c r="B32" s="33">
        <f>'Spot rates'!B32</f>
        <v>6.8959999999999994E-2</v>
      </c>
      <c r="C32" s="33">
        <f>'Spot rates'!C32</f>
        <v>5.9029999999999999E-2</v>
      </c>
      <c r="D32" s="33">
        <f>'Spot rates'!D32</f>
        <v>7.0919999999999997E-2</v>
      </c>
      <c r="E32" s="33">
        <f>'Spot rates'!E32</f>
        <v>6.7769999999999997E-2</v>
      </c>
      <c r="F32" s="33">
        <f>'Spot rates'!F32</f>
        <v>4.308E-2</v>
      </c>
      <c r="G32" s="33">
        <f>'Spot rates'!G32</f>
        <v>4.2079999999999999E-2</v>
      </c>
      <c r="H32" s="33">
        <f>'Spot rates'!H32</f>
        <v>5.3150000000000003E-2</v>
      </c>
      <c r="I32" s="33">
        <f>'Spot rates'!I32</f>
        <v>3.4410000000000003E-2</v>
      </c>
      <c r="J32" s="33">
        <f>'Spot rates'!J32</f>
        <v>3.524E-2</v>
      </c>
      <c r="K32" s="33">
        <f>'Spot rates'!K32</f>
        <v>4.163E-2</v>
      </c>
      <c r="L32" s="33">
        <f>'Spot rates'!L32</f>
        <v>4.2779999999999999E-2</v>
      </c>
      <c r="M32" s="33">
        <f>'Spot rates'!M32</f>
        <v>4.2659999999999997E-2</v>
      </c>
      <c r="N32" s="33">
        <f>'Spot rates'!N32</f>
        <v>2.615E-2</v>
      </c>
      <c r="O32" s="33">
        <f>'Spot rates'!O32</f>
        <v>2.5319999999999999E-2</v>
      </c>
      <c r="P32" s="32"/>
      <c r="Q32" s="32"/>
      <c r="R32" s="32"/>
      <c r="S32" s="32"/>
      <c r="T32" s="32"/>
      <c r="U32" s="32"/>
      <c r="V32" s="32"/>
      <c r="W32" s="32"/>
      <c r="X32" s="32"/>
      <c r="Y32" s="32"/>
    </row>
    <row r="33" spans="1:25" x14ac:dyDescent="0.2">
      <c r="A33" s="34">
        <f>'Spot rates'!A33</f>
        <v>16</v>
      </c>
      <c r="B33" s="33">
        <f>'Spot rates'!B33</f>
        <v>6.9260000000000002E-2</v>
      </c>
      <c r="C33" s="33">
        <f>'Spot rates'!C33</f>
        <v>5.9029999999999999E-2</v>
      </c>
      <c r="D33" s="33">
        <f>'Spot rates'!D33</f>
        <v>7.1370000000000003E-2</v>
      </c>
      <c r="E33" s="33">
        <f>'Spot rates'!E33</f>
        <v>6.8419999999999995E-2</v>
      </c>
      <c r="F33" s="33">
        <f>'Spot rates'!F33</f>
        <v>4.3679999999999997E-2</v>
      </c>
      <c r="G33" s="33">
        <f>'Spot rates'!G33</f>
        <v>4.2750000000000003E-2</v>
      </c>
      <c r="H33" s="33">
        <f>'Spot rates'!H33</f>
        <v>5.3600000000000002E-2</v>
      </c>
      <c r="I33" s="33">
        <f>'Spot rates'!I33</f>
        <v>3.4709999999999998E-2</v>
      </c>
      <c r="J33" s="33">
        <f>'Spot rates'!J33</f>
        <v>3.5540000000000002E-2</v>
      </c>
      <c r="K33" s="33">
        <f>'Spot rates'!K33</f>
        <v>4.1930000000000002E-2</v>
      </c>
      <c r="L33" s="33">
        <f>'Spot rates'!L33</f>
        <v>4.2900000000000001E-2</v>
      </c>
      <c r="M33" s="33">
        <f>'Spot rates'!M33</f>
        <v>4.2810000000000001E-2</v>
      </c>
      <c r="N33" s="33">
        <f>'Spot rates'!N33</f>
        <v>2.649E-2</v>
      </c>
      <c r="O33" s="33">
        <f>'Spot rates'!O33</f>
        <v>2.5700000000000001E-2</v>
      </c>
      <c r="P33" s="32"/>
      <c r="Q33" s="32"/>
      <c r="R33" s="32"/>
      <c r="S33" s="32"/>
      <c r="T33" s="32"/>
      <c r="U33" s="32"/>
      <c r="V33" s="32"/>
      <c r="W33" s="32"/>
      <c r="X33" s="32"/>
      <c r="Y33" s="32"/>
    </row>
    <row r="34" spans="1:25" x14ac:dyDescent="0.2">
      <c r="A34" s="34">
        <f>'Spot rates'!A34</f>
        <v>16.5</v>
      </c>
      <c r="B34" s="33">
        <f>'Spot rates'!B34</f>
        <v>6.948E-2</v>
      </c>
      <c r="C34" s="33">
        <f>'Spot rates'!C34</f>
        <v>5.9029999999999999E-2</v>
      </c>
      <c r="D34" s="33">
        <f>'Spot rates'!D34</f>
        <v>7.1749999999999994E-2</v>
      </c>
      <c r="E34" s="33">
        <f>'Spot rates'!E34</f>
        <v>6.9019999999999998E-2</v>
      </c>
      <c r="F34" s="33">
        <f>'Spot rates'!F34</f>
        <v>4.4179999999999997E-2</v>
      </c>
      <c r="G34" s="33">
        <f>'Spot rates'!G34</f>
        <v>4.335E-2</v>
      </c>
      <c r="H34" s="33">
        <f>'Spot rates'!H34</f>
        <v>5.4050000000000001E-2</v>
      </c>
      <c r="I34" s="33">
        <f>'Spot rates'!I34</f>
        <v>3.4939999999999999E-2</v>
      </c>
      <c r="J34" s="33">
        <f>'Spot rates'!J34</f>
        <v>3.5839999999999997E-2</v>
      </c>
      <c r="K34" s="33">
        <f>'Spot rates'!K34</f>
        <v>4.2229999999999997E-2</v>
      </c>
      <c r="L34" s="33">
        <f>'Spot rates'!L34</f>
        <v>4.3049999999999998E-2</v>
      </c>
      <c r="M34" s="33">
        <f>'Spot rates'!M34</f>
        <v>4.2959999999999998E-2</v>
      </c>
      <c r="N34" s="33">
        <f>'Spot rates'!N34</f>
        <v>2.6870000000000002E-2</v>
      </c>
      <c r="O34" s="33">
        <f>'Spot rates'!O34</f>
        <v>2.615E-2</v>
      </c>
      <c r="P34" s="32"/>
      <c r="Q34" s="32"/>
      <c r="R34" s="32"/>
      <c r="S34" s="32"/>
      <c r="T34" s="32"/>
      <c r="U34" s="32"/>
      <c r="V34" s="32"/>
      <c r="W34" s="32"/>
      <c r="X34" s="32"/>
      <c r="Y34" s="32"/>
    </row>
    <row r="35" spans="1:25" x14ac:dyDescent="0.2">
      <c r="A35" s="34">
        <f>'Spot rates'!A35</f>
        <v>17</v>
      </c>
      <c r="B35" s="33">
        <f>'Spot rates'!B35</f>
        <v>6.9750000000000006E-2</v>
      </c>
      <c r="C35" s="33">
        <f>'Spot rates'!C35</f>
        <v>5.91E-2</v>
      </c>
      <c r="D35" s="33">
        <f>'Spot rates'!D35</f>
        <v>7.2120000000000004E-2</v>
      </c>
      <c r="E35" s="33">
        <f>'Spot rates'!E35</f>
        <v>6.9620000000000001E-2</v>
      </c>
      <c r="F35" s="33">
        <f>'Spot rates'!F35</f>
        <v>4.4659999999999998E-2</v>
      </c>
      <c r="G35" s="33">
        <f>'Spot rates'!G35</f>
        <v>4.3799999999999999E-2</v>
      </c>
      <c r="H35" s="33">
        <f>'Spot rates'!H35</f>
        <v>5.4420000000000003E-2</v>
      </c>
      <c r="I35" s="33">
        <f>'Spot rates'!I35</f>
        <v>3.5159999999999997E-2</v>
      </c>
      <c r="J35" s="33">
        <f>'Spot rates'!J35</f>
        <v>3.6139999999999999E-2</v>
      </c>
      <c r="K35" s="33">
        <f>'Spot rates'!K35</f>
        <v>4.2439999999999999E-2</v>
      </c>
      <c r="L35" s="33">
        <f>'Spot rates'!L35</f>
        <v>4.3200000000000002E-2</v>
      </c>
      <c r="M35" s="33">
        <f>'Spot rates'!M35</f>
        <v>4.3139999999999998E-2</v>
      </c>
      <c r="N35" s="33">
        <f>'Spot rates'!N35</f>
        <v>2.7199999999999998E-2</v>
      </c>
      <c r="O35" s="33">
        <f>'Spot rates'!O35</f>
        <v>2.6450000000000001E-2</v>
      </c>
      <c r="P35" s="32"/>
      <c r="Q35" s="32"/>
      <c r="R35" s="32"/>
      <c r="S35" s="32"/>
      <c r="T35" s="32"/>
      <c r="U35" s="32"/>
      <c r="V35" s="32"/>
      <c r="W35" s="32"/>
      <c r="X35" s="32"/>
      <c r="Y35" s="32"/>
    </row>
    <row r="36" spans="1:25" x14ac:dyDescent="0.2">
      <c r="A36" s="34">
        <f>'Spot rates'!A36</f>
        <v>17.5</v>
      </c>
      <c r="B36" s="33">
        <f>'Spot rates'!B36</f>
        <v>6.9980000000000001E-2</v>
      </c>
      <c r="C36" s="33">
        <f>'Spot rates'!C36</f>
        <v>5.91E-2</v>
      </c>
      <c r="D36" s="33">
        <f>'Spot rates'!D36</f>
        <v>7.2419999999999998E-2</v>
      </c>
      <c r="E36" s="33">
        <f>'Spot rates'!E36</f>
        <v>7.0220000000000005E-2</v>
      </c>
      <c r="F36" s="33">
        <f>'Spot rates'!F36</f>
        <v>4.5150000000000003E-2</v>
      </c>
      <c r="G36" s="33">
        <f>'Spot rates'!G36</f>
        <v>4.4400000000000002E-2</v>
      </c>
      <c r="H36" s="33">
        <f>'Spot rates'!H36</f>
        <v>5.4829999999999997E-2</v>
      </c>
      <c r="I36" s="33">
        <f>'Spot rates'!I36</f>
        <v>3.5459999999999998E-2</v>
      </c>
      <c r="J36" s="33">
        <f>'Spot rates'!J36</f>
        <v>3.6409999999999998E-2</v>
      </c>
      <c r="K36" s="33">
        <f>'Spot rates'!K36</f>
        <v>4.274E-2</v>
      </c>
      <c r="L36" s="33">
        <f>'Spot rates'!L36</f>
        <v>4.3279999999999999E-2</v>
      </c>
      <c r="M36" s="33">
        <f>'Spot rates'!M36</f>
        <v>4.3290000000000002E-2</v>
      </c>
      <c r="N36" s="33">
        <f>'Spot rates'!N36</f>
        <v>2.75E-2</v>
      </c>
      <c r="O36" s="33">
        <f>'Spot rates'!O36</f>
        <v>2.682E-2</v>
      </c>
      <c r="P36" s="32"/>
      <c r="Q36" s="32"/>
      <c r="R36" s="32"/>
      <c r="S36" s="32"/>
      <c r="T36" s="32"/>
      <c r="U36" s="32"/>
      <c r="V36" s="32"/>
      <c r="W36" s="32"/>
      <c r="X36" s="32"/>
      <c r="Y36" s="32"/>
    </row>
    <row r="37" spans="1:25" x14ac:dyDescent="0.2">
      <c r="A37" s="34">
        <f>'Spot rates'!A37</f>
        <v>18</v>
      </c>
      <c r="B37" s="33">
        <f>'Spot rates'!B37</f>
        <v>7.0019999999999999E-2</v>
      </c>
      <c r="C37" s="33">
        <f>'Spot rates'!C37</f>
        <v>5.91E-2</v>
      </c>
      <c r="D37" s="33">
        <f>'Spot rates'!D37</f>
        <v>7.2650000000000006E-2</v>
      </c>
      <c r="E37" s="33">
        <f>'Spot rates'!E37</f>
        <v>7.0669999999999997E-2</v>
      </c>
      <c r="F37" s="33">
        <f>'Spot rates'!F37</f>
        <v>4.5530000000000001E-2</v>
      </c>
      <c r="G37" s="33">
        <f>'Spot rates'!G37</f>
        <v>4.4850000000000001E-2</v>
      </c>
      <c r="H37" s="33">
        <f>'Spot rates'!H37</f>
        <v>5.5199999999999999E-2</v>
      </c>
      <c r="I37" s="33">
        <f>'Spot rates'!I37</f>
        <v>3.5639999999999998E-2</v>
      </c>
      <c r="J37" s="33">
        <f>'Spot rates'!J37</f>
        <v>3.671E-2</v>
      </c>
      <c r="K37" s="33">
        <f>'Spot rates'!K37</f>
        <v>4.3040000000000002E-2</v>
      </c>
      <c r="L37" s="33">
        <f>'Spot rates'!L37</f>
        <v>4.3430000000000003E-2</v>
      </c>
      <c r="M37" s="33">
        <f>'Spot rates'!M37</f>
        <v>4.3439999999999999E-2</v>
      </c>
      <c r="N37" s="33">
        <f>'Spot rates'!N37</f>
        <v>2.7830000000000001E-2</v>
      </c>
      <c r="O37" s="33">
        <f>'Spot rates'!O37</f>
        <v>2.7119999999999998E-2</v>
      </c>
      <c r="P37" s="32"/>
      <c r="Q37" s="32"/>
      <c r="R37" s="32"/>
      <c r="S37" s="32"/>
      <c r="T37" s="32"/>
      <c r="U37" s="32"/>
      <c r="V37" s="32"/>
      <c r="W37" s="32"/>
      <c r="X37" s="32"/>
      <c r="Y37" s="32"/>
    </row>
    <row r="38" spans="1:25" x14ac:dyDescent="0.2">
      <c r="A38" s="34">
        <f>'Spot rates'!A38</f>
        <v>18.5</v>
      </c>
      <c r="B38" s="33">
        <f>'Spot rates'!B38</f>
        <v>7.0169999999999996E-2</v>
      </c>
      <c r="C38" s="33">
        <f>'Spot rates'!C38</f>
        <v>5.91E-2</v>
      </c>
      <c r="D38" s="33">
        <f>'Spot rates'!D38</f>
        <v>7.2870000000000004E-2</v>
      </c>
      <c r="E38" s="33">
        <f>'Spot rates'!E38</f>
        <v>7.1120000000000003E-2</v>
      </c>
      <c r="F38" s="33">
        <f>'Spot rates'!F38</f>
        <v>4.598E-2</v>
      </c>
      <c r="G38" s="33">
        <f>'Spot rates'!G38</f>
        <v>4.5229999999999999E-2</v>
      </c>
      <c r="H38" s="33">
        <f>'Spot rates'!H38</f>
        <v>5.5500000000000001E-2</v>
      </c>
      <c r="I38" s="33">
        <f>'Spot rates'!I38</f>
        <v>3.5909999999999997E-2</v>
      </c>
      <c r="J38" s="33">
        <f>'Spot rates'!J38</f>
        <v>3.7010000000000001E-2</v>
      </c>
      <c r="K38" s="33">
        <f>'Spot rates'!K38</f>
        <v>4.326E-2</v>
      </c>
      <c r="L38" s="33">
        <f>'Spot rates'!L38</f>
        <v>4.3580000000000001E-2</v>
      </c>
      <c r="M38" s="33">
        <f>'Spot rates'!M38</f>
        <v>4.3589999999999997E-2</v>
      </c>
      <c r="N38" s="33">
        <f>'Spot rates'!N38</f>
        <v>2.8129999999999999E-2</v>
      </c>
      <c r="O38" s="33">
        <f>'Spot rates'!O38</f>
        <v>2.742E-2</v>
      </c>
      <c r="P38" s="32"/>
      <c r="Q38" s="32"/>
      <c r="R38" s="32"/>
      <c r="S38" s="32"/>
      <c r="T38" s="32"/>
      <c r="U38" s="32"/>
      <c r="V38" s="32"/>
      <c r="W38" s="32"/>
      <c r="X38" s="32"/>
      <c r="Y38" s="32"/>
    </row>
    <row r="39" spans="1:25" x14ac:dyDescent="0.2">
      <c r="A39" s="34">
        <f>'Spot rates'!A39</f>
        <v>19</v>
      </c>
      <c r="B39" s="33">
        <f>'Spot rates'!B39</f>
        <v>7.0169999999999996E-2</v>
      </c>
      <c r="C39" s="33">
        <f>'Spot rates'!C39</f>
        <v>5.91E-2</v>
      </c>
      <c r="D39" s="33">
        <f>'Spot rates'!D39</f>
        <v>7.3020000000000002E-2</v>
      </c>
      <c r="E39" s="33">
        <f>'Spot rates'!E39</f>
        <v>7.1569999999999995E-2</v>
      </c>
      <c r="F39" s="33">
        <f>'Spot rates'!F39</f>
        <v>4.6280000000000002E-2</v>
      </c>
      <c r="G39" s="33">
        <f>'Spot rates'!G39</f>
        <v>4.5629999999999997E-2</v>
      </c>
      <c r="H39" s="33">
        <f>'Spot rates'!H39</f>
        <v>5.5800000000000002E-2</v>
      </c>
      <c r="I39" s="33">
        <f>'Spot rates'!I39</f>
        <v>3.6139999999999999E-2</v>
      </c>
      <c r="J39" s="33">
        <f>'Spot rates'!J39</f>
        <v>3.7339999999999998E-2</v>
      </c>
      <c r="K39" s="33">
        <f>'Spot rates'!K39</f>
        <v>4.3560000000000001E-2</v>
      </c>
      <c r="L39" s="33">
        <f>'Spot rates'!L39</f>
        <v>4.3700000000000003E-2</v>
      </c>
      <c r="M39" s="33">
        <f>'Spot rates'!M39</f>
        <v>4.3770000000000003E-2</v>
      </c>
      <c r="N39" s="33">
        <f>'Spot rates'!N39</f>
        <v>2.843E-2</v>
      </c>
      <c r="O39" s="33">
        <f>'Spot rates'!O39</f>
        <v>2.7720000000000002E-2</v>
      </c>
      <c r="P39" s="32"/>
      <c r="Q39" s="32"/>
      <c r="R39" s="32"/>
      <c r="S39" s="32"/>
      <c r="T39" s="32"/>
      <c r="U39" s="32"/>
      <c r="V39" s="32"/>
      <c r="W39" s="32"/>
      <c r="X39" s="32"/>
      <c r="Y39" s="32"/>
    </row>
    <row r="40" spans="1:25" x14ac:dyDescent="0.2">
      <c r="A40" s="34">
        <f>'Spot rates'!A40</f>
        <v>19.5</v>
      </c>
      <c r="B40" s="33">
        <f>'Spot rates'!B40</f>
        <v>7.0169999999999996E-2</v>
      </c>
      <c r="C40" s="33">
        <f>'Spot rates'!C40</f>
        <v>5.9200000000000003E-2</v>
      </c>
      <c r="D40" s="33">
        <f>'Spot rates'!D40</f>
        <v>7.3169999999999999E-2</v>
      </c>
      <c r="E40" s="33">
        <f>'Spot rates'!E40</f>
        <v>7.1910000000000002E-2</v>
      </c>
      <c r="F40" s="33">
        <f>'Spot rates'!F40</f>
        <v>4.6620000000000002E-2</v>
      </c>
      <c r="G40" s="33">
        <f>'Spot rates'!G40</f>
        <v>4.6010000000000002E-2</v>
      </c>
      <c r="H40" s="33">
        <f>'Spot rates'!H40</f>
        <v>5.6030000000000003E-2</v>
      </c>
      <c r="I40" s="33">
        <f>'Spot rates'!I40</f>
        <v>3.6389999999999999E-2</v>
      </c>
      <c r="J40" s="33">
        <f>'Spot rates'!J40</f>
        <v>3.764E-2</v>
      </c>
      <c r="K40" s="33">
        <f>'Spot rates'!K40</f>
        <v>4.3860000000000003E-2</v>
      </c>
      <c r="L40" s="33">
        <f>'Spot rates'!L40</f>
        <v>4.3799999999999999E-2</v>
      </c>
      <c r="M40" s="33">
        <f>'Spot rates'!M40</f>
        <v>4.3920000000000001E-2</v>
      </c>
      <c r="N40" s="33">
        <f>'Spot rates'!N40</f>
        <v>2.8760000000000001E-2</v>
      </c>
      <c r="O40" s="33">
        <f>'Spot rates'!O40</f>
        <v>2.802E-2</v>
      </c>
      <c r="P40" s="32"/>
      <c r="Q40" s="32"/>
      <c r="R40" s="32"/>
      <c r="S40" s="32"/>
      <c r="T40" s="32"/>
      <c r="U40" s="32"/>
      <c r="V40" s="32"/>
      <c r="W40" s="32"/>
      <c r="X40" s="32"/>
      <c r="Y40" s="32"/>
    </row>
    <row r="41" spans="1:25" x14ac:dyDescent="0.2">
      <c r="A41" s="34">
        <f>'Spot rates'!A41</f>
        <v>20</v>
      </c>
      <c r="B41" s="33">
        <f>'Spot rates'!B41</f>
        <v>7.0169999999999996E-2</v>
      </c>
      <c r="C41" s="33">
        <f>'Spot rates'!C41</f>
        <v>5.9200000000000003E-2</v>
      </c>
      <c r="D41" s="33">
        <f>'Spot rates'!D41</f>
        <v>7.3279999999999998E-2</v>
      </c>
      <c r="E41" s="33">
        <f>'Spot rates'!E41</f>
        <v>7.2209999999999996E-2</v>
      </c>
      <c r="F41" s="33">
        <f>'Spot rates'!F41</f>
        <v>4.6920000000000003E-2</v>
      </c>
      <c r="G41" s="33">
        <f>'Spot rates'!G41</f>
        <v>4.6309999999999997E-2</v>
      </c>
      <c r="H41" s="33">
        <f>'Spot rates'!H41</f>
        <v>5.6329999999999998E-2</v>
      </c>
      <c r="I41" s="33">
        <f>'Spot rates'!I41</f>
        <v>3.6589999999999998E-2</v>
      </c>
      <c r="J41" s="33">
        <f>'Spot rates'!J41</f>
        <v>3.798E-2</v>
      </c>
      <c r="K41" s="33">
        <f>'Spot rates'!K41</f>
        <v>4.4119999999999999E-2</v>
      </c>
      <c r="L41" s="33">
        <f>'Spot rates'!L41</f>
        <v>4.3950000000000003E-2</v>
      </c>
      <c r="M41" s="33">
        <f>'Spot rates'!M41</f>
        <v>4.4069999999999998E-2</v>
      </c>
      <c r="N41" s="33">
        <f>'Spot rates'!N41</f>
        <v>2.9059999999999999E-2</v>
      </c>
      <c r="O41" s="33">
        <f>'Spot rates'!O41</f>
        <v>2.8289999999999999E-2</v>
      </c>
      <c r="P41" s="32"/>
      <c r="Q41" s="32"/>
      <c r="R41" s="32"/>
      <c r="S41" s="32"/>
      <c r="T41" s="32"/>
      <c r="U41" s="32"/>
      <c r="V41" s="32"/>
      <c r="W41" s="32"/>
      <c r="X41" s="32"/>
      <c r="Y41" s="32"/>
    </row>
    <row r="42" spans="1:25" x14ac:dyDescent="0.2">
      <c r="A42" s="34">
        <f>'Spot rates'!A42</f>
        <v>20.5</v>
      </c>
      <c r="B42" s="33">
        <f>'Spot rates'!B42</f>
        <v>7.0169999999999996E-2</v>
      </c>
      <c r="C42" s="33">
        <f>'Spot rates'!C42</f>
        <v>5.9200000000000003E-2</v>
      </c>
      <c r="D42" s="33">
        <f>'Spot rates'!D42</f>
        <v>7.3349999999999999E-2</v>
      </c>
      <c r="E42" s="33">
        <f>'Spot rates'!E42</f>
        <v>7.2510000000000005E-2</v>
      </c>
      <c r="F42" s="33">
        <f>'Spot rates'!F42</f>
        <v>4.7149999999999997E-2</v>
      </c>
      <c r="G42" s="33">
        <f>'Spot rates'!G42</f>
        <v>4.6679999999999999E-2</v>
      </c>
      <c r="H42" s="33">
        <f>'Spot rates'!H42</f>
        <v>5.663E-2</v>
      </c>
      <c r="I42" s="33">
        <f>'Spot rates'!I42</f>
        <v>3.6839999999999998E-2</v>
      </c>
      <c r="J42" s="33">
        <f>'Spot rates'!J42</f>
        <v>3.8309999999999997E-2</v>
      </c>
      <c r="K42" s="33">
        <f>'Spot rates'!K42</f>
        <v>4.4420000000000001E-2</v>
      </c>
      <c r="L42" s="33">
        <f>'Spot rates'!L42</f>
        <v>4.41E-2</v>
      </c>
      <c r="M42" s="33">
        <f>'Spot rates'!M42</f>
        <v>4.4299999999999999E-2</v>
      </c>
      <c r="N42" s="33">
        <f>'Spot rates'!N42</f>
        <v>2.9239999999999999E-2</v>
      </c>
      <c r="O42" s="33">
        <f>'Spot rates'!O42</f>
        <v>2.8590000000000001E-2</v>
      </c>
      <c r="P42" s="32"/>
      <c r="Q42" s="32"/>
      <c r="R42" s="32"/>
      <c r="S42" s="32"/>
      <c r="T42" s="32"/>
      <c r="U42" s="32"/>
      <c r="V42" s="32"/>
      <c r="W42" s="32"/>
      <c r="X42" s="32"/>
      <c r="Y42" s="32"/>
    </row>
    <row r="43" spans="1:25" x14ac:dyDescent="0.2">
      <c r="A43" s="34">
        <f>'Spot rates'!A43</f>
        <v>21</v>
      </c>
      <c r="B43" s="33">
        <f>'Spot rates'!B43</f>
        <v>7.0169999999999996E-2</v>
      </c>
      <c r="C43" s="33">
        <f>'Spot rates'!C43</f>
        <v>5.9200000000000003E-2</v>
      </c>
      <c r="D43" s="33">
        <f>'Spot rates'!D43</f>
        <v>7.3349999999999999E-2</v>
      </c>
      <c r="E43" s="33">
        <f>'Spot rates'!E43</f>
        <v>7.2690000000000005E-2</v>
      </c>
      <c r="F43" s="33">
        <f>'Spot rates'!F43</f>
        <v>4.7399999999999998E-2</v>
      </c>
      <c r="G43" s="33">
        <f>'Spot rates'!G43</f>
        <v>4.6980000000000001E-2</v>
      </c>
      <c r="H43" s="33">
        <f>'Spot rates'!H43</f>
        <v>5.6779999999999997E-2</v>
      </c>
      <c r="I43" s="33">
        <f>'Spot rates'!I43</f>
        <v>3.6990000000000002E-2</v>
      </c>
      <c r="J43" s="33">
        <f>'Spot rates'!J43</f>
        <v>3.8760000000000003E-2</v>
      </c>
      <c r="K43" s="33">
        <f>'Spot rates'!K43</f>
        <v>4.4720000000000003E-2</v>
      </c>
      <c r="L43" s="33">
        <f>'Spot rates'!L43</f>
        <v>4.4249999999999998E-2</v>
      </c>
      <c r="M43" s="33">
        <f>'Spot rates'!M43</f>
        <v>4.4450000000000003E-2</v>
      </c>
      <c r="N43" s="33">
        <f>'Spot rates'!N43</f>
        <v>2.946E-2</v>
      </c>
      <c r="O43" s="33">
        <f>'Spot rates'!O43</f>
        <v>2.886E-2</v>
      </c>
      <c r="P43" s="32"/>
      <c r="Q43" s="32"/>
      <c r="R43" s="32"/>
      <c r="S43" s="32"/>
      <c r="T43" s="32"/>
      <c r="U43" s="32"/>
      <c r="V43" s="32"/>
      <c r="W43" s="32"/>
      <c r="X43" s="32"/>
      <c r="Y43" s="32"/>
    </row>
    <row r="44" spans="1:25" x14ac:dyDescent="0.2">
      <c r="A44" s="34">
        <f>'Spot rates'!A44</f>
        <v>21.5</v>
      </c>
      <c r="B44" s="33">
        <f>'Spot rates'!B44</f>
        <v>7.0169999999999996E-2</v>
      </c>
      <c r="C44" s="33">
        <f>'Spot rates'!C44</f>
        <v>5.9200000000000003E-2</v>
      </c>
      <c r="D44" s="33">
        <f>'Spot rates'!D44</f>
        <v>7.3380000000000001E-2</v>
      </c>
      <c r="E44" s="33">
        <f>'Spot rates'!E44</f>
        <v>7.2919999999999999E-2</v>
      </c>
      <c r="F44" s="33">
        <f>'Spot rates'!F44</f>
        <v>4.7669999999999997E-2</v>
      </c>
      <c r="G44" s="33">
        <f>'Spot rates'!G44</f>
        <v>4.7210000000000002E-2</v>
      </c>
      <c r="H44" s="33">
        <f>'Spot rates'!H44</f>
        <v>5.7000000000000002E-2</v>
      </c>
      <c r="I44" s="33">
        <f>'Spot rates'!I44</f>
        <v>3.7260000000000001E-2</v>
      </c>
      <c r="J44" s="33">
        <f>'Spot rates'!J44</f>
        <v>3.9109999999999999E-2</v>
      </c>
      <c r="K44" s="33">
        <f>'Spot rates'!K44</f>
        <v>4.4940000000000001E-2</v>
      </c>
      <c r="L44" s="33">
        <f>'Spot rates'!L44</f>
        <v>4.4400000000000002E-2</v>
      </c>
      <c r="M44" s="33">
        <f>'Spot rates'!M44</f>
        <v>4.4699999999999997E-2</v>
      </c>
      <c r="N44" s="33">
        <f>'Spot rates'!N44</f>
        <v>2.972E-2</v>
      </c>
      <c r="O44" s="33">
        <f>'Spot rates'!O44</f>
        <v>2.9010000000000001E-2</v>
      </c>
      <c r="P44" s="32"/>
      <c r="Q44" s="32"/>
      <c r="R44" s="32"/>
      <c r="S44" s="32"/>
      <c r="T44" s="32"/>
      <c r="U44" s="32"/>
      <c r="V44" s="32"/>
      <c r="W44" s="32"/>
      <c r="X44" s="32"/>
      <c r="Y44" s="32"/>
    </row>
    <row r="45" spans="1:25" x14ac:dyDescent="0.2">
      <c r="A45" s="34">
        <f>'Spot rates'!A45</f>
        <v>22</v>
      </c>
      <c r="B45" s="33">
        <f>'Spot rates'!B45</f>
        <v>7.0169999999999996E-2</v>
      </c>
      <c r="C45" s="33">
        <f>'Spot rates'!C45</f>
        <v>5.9299999999999999E-2</v>
      </c>
      <c r="D45" s="33">
        <f>'Spot rates'!D45</f>
        <v>7.3380000000000001E-2</v>
      </c>
      <c r="E45" s="33">
        <f>'Spot rates'!E45</f>
        <v>7.3099999999999998E-2</v>
      </c>
      <c r="F45" s="33">
        <f>'Spot rates'!F45</f>
        <v>4.7870000000000003E-2</v>
      </c>
      <c r="G45" s="33">
        <f>'Spot rates'!G45</f>
        <v>4.7460000000000002E-2</v>
      </c>
      <c r="H45" s="33">
        <f>'Spot rates'!H45</f>
        <v>5.7230000000000003E-2</v>
      </c>
      <c r="I45" s="33">
        <f>'Spot rates'!I45</f>
        <v>3.7490000000000002E-2</v>
      </c>
      <c r="J45" s="33">
        <f>'Spot rates'!J45</f>
        <v>3.9559999999999998E-2</v>
      </c>
      <c r="K45" s="33">
        <f>'Spot rates'!K45</f>
        <v>4.5289999999999997E-2</v>
      </c>
      <c r="L45" s="33">
        <f>'Spot rates'!L45</f>
        <v>4.4630000000000003E-2</v>
      </c>
      <c r="M45" s="33">
        <f>'Spot rates'!M45</f>
        <v>4.4850000000000001E-2</v>
      </c>
      <c r="N45" s="33">
        <f>'Spot rates'!N45</f>
        <v>2.997E-2</v>
      </c>
      <c r="O45" s="33">
        <f>'Spot rates'!O45</f>
        <v>2.9309999999999999E-2</v>
      </c>
      <c r="P45" s="32"/>
      <c r="Q45" s="32"/>
      <c r="R45" s="32"/>
      <c r="S45" s="32"/>
      <c r="T45" s="32"/>
      <c r="U45" s="32"/>
      <c r="V45" s="32"/>
      <c r="W45" s="32"/>
      <c r="X45" s="32"/>
      <c r="Y45" s="32"/>
    </row>
    <row r="46" spans="1:25" x14ac:dyDescent="0.2">
      <c r="A46" s="34">
        <f>'Spot rates'!A46</f>
        <v>22.5</v>
      </c>
      <c r="B46" s="33">
        <f>'Spot rates'!B46</f>
        <v>7.0169999999999996E-2</v>
      </c>
      <c r="C46" s="33">
        <f>'Spot rates'!C46</f>
        <v>5.9299999999999999E-2</v>
      </c>
      <c r="D46" s="33">
        <f>'Spot rates'!D46</f>
        <v>7.3380000000000001E-2</v>
      </c>
      <c r="E46" s="33">
        <f>'Spot rates'!E46</f>
        <v>7.3169999999999999E-2</v>
      </c>
      <c r="F46" s="33">
        <f>'Spot rates'!F46</f>
        <v>4.8120000000000003E-2</v>
      </c>
      <c r="G46" s="33">
        <f>'Spot rates'!G46</f>
        <v>4.7759999999999997E-2</v>
      </c>
      <c r="H46" s="33">
        <f>'Spot rates'!H46</f>
        <v>5.738E-2</v>
      </c>
      <c r="I46" s="33">
        <f>'Spot rates'!I46</f>
        <v>3.7670000000000002E-2</v>
      </c>
      <c r="J46" s="33">
        <f>'Spot rates'!J46</f>
        <v>3.993E-2</v>
      </c>
      <c r="K46" s="33">
        <f>'Spot rates'!K46</f>
        <v>4.5589999999999999E-2</v>
      </c>
      <c r="L46" s="33">
        <f>'Spot rates'!L46</f>
        <v>4.478E-2</v>
      </c>
      <c r="M46" s="33">
        <f>'Spot rates'!M46</f>
        <v>4.5080000000000002E-2</v>
      </c>
      <c r="N46" s="33">
        <f>'Spot rates'!N46</f>
        <v>3.015E-2</v>
      </c>
      <c r="O46" s="33">
        <f>'Spot rates'!O46</f>
        <v>2.9579999999999999E-2</v>
      </c>
      <c r="P46" s="32"/>
      <c r="Q46" s="32"/>
      <c r="R46" s="32"/>
      <c r="S46" s="32"/>
      <c r="T46" s="32"/>
      <c r="U46" s="32"/>
      <c r="V46" s="32"/>
      <c r="W46" s="32"/>
      <c r="X46" s="32"/>
      <c r="Y46" s="32"/>
    </row>
    <row r="47" spans="1:25" x14ac:dyDescent="0.2">
      <c r="A47" s="34">
        <f>'Spot rates'!A47</f>
        <v>23</v>
      </c>
      <c r="B47" s="33">
        <f>'Spot rates'!B47</f>
        <v>7.0169999999999996E-2</v>
      </c>
      <c r="C47" s="33">
        <f>'Spot rates'!C47</f>
        <v>5.9299999999999999E-2</v>
      </c>
      <c r="D47" s="33">
        <f>'Spot rates'!D47</f>
        <v>7.3499999999999996E-2</v>
      </c>
      <c r="E47" s="33">
        <f>'Spot rates'!E47</f>
        <v>7.3319999999999996E-2</v>
      </c>
      <c r="F47" s="33">
        <f>'Spot rates'!F47</f>
        <v>4.827E-2</v>
      </c>
      <c r="G47" s="33">
        <f>'Spot rates'!G47</f>
        <v>4.7989999999999998E-2</v>
      </c>
      <c r="H47" s="33">
        <f>'Spot rates'!H47</f>
        <v>5.7599999999999998E-2</v>
      </c>
      <c r="I47" s="33">
        <f>'Spot rates'!I47</f>
        <v>3.789E-2</v>
      </c>
      <c r="J47" s="33">
        <f>'Spot rates'!J47</f>
        <v>4.0379999999999999E-2</v>
      </c>
      <c r="K47" s="33">
        <f>'Spot rates'!K47</f>
        <v>4.5859999999999998E-2</v>
      </c>
      <c r="L47" s="33">
        <f>'Spot rates'!L47</f>
        <v>4.4929999999999998E-2</v>
      </c>
      <c r="M47" s="33">
        <f>'Spot rates'!M47</f>
        <v>4.5229999999999999E-2</v>
      </c>
      <c r="N47" s="33">
        <f>'Spot rates'!N47</f>
        <v>3.0300000000000001E-2</v>
      </c>
      <c r="O47" s="33">
        <f>'Spot rates'!O47</f>
        <v>2.981E-2</v>
      </c>
      <c r="P47" s="32"/>
      <c r="Q47" s="32"/>
      <c r="R47" s="32"/>
      <c r="S47" s="32"/>
      <c r="T47" s="32"/>
      <c r="U47" s="32"/>
      <c r="V47" s="32"/>
      <c r="W47" s="32"/>
      <c r="X47" s="32"/>
      <c r="Y47" s="32"/>
    </row>
    <row r="48" spans="1:25" x14ac:dyDescent="0.2">
      <c r="A48" s="34">
        <f>'Spot rates'!A48</f>
        <v>23.5</v>
      </c>
      <c r="B48" s="33">
        <f>'Spot rates'!B48</f>
        <v>7.0169999999999996E-2</v>
      </c>
      <c r="C48" s="33">
        <f>'Spot rates'!C48</f>
        <v>5.9299999999999999E-2</v>
      </c>
      <c r="D48" s="33">
        <f>'Spot rates'!D48</f>
        <v>7.3499999999999996E-2</v>
      </c>
      <c r="E48" s="33">
        <f>'Spot rates'!E48</f>
        <v>7.3319999999999996E-2</v>
      </c>
      <c r="F48" s="33">
        <f>'Spot rates'!F48</f>
        <v>4.8469999999999999E-2</v>
      </c>
      <c r="G48" s="33">
        <f>'Spot rates'!G48</f>
        <v>4.8210000000000003E-2</v>
      </c>
      <c r="H48" s="33">
        <f>'Spot rates'!H48</f>
        <v>5.7750000000000003E-2</v>
      </c>
      <c r="I48" s="33">
        <f>'Spot rates'!I48</f>
        <v>3.8120000000000001E-2</v>
      </c>
      <c r="J48" s="33">
        <f>'Spot rates'!J48</f>
        <v>4.0759999999999998E-2</v>
      </c>
      <c r="K48" s="33">
        <f>'Spot rates'!K48</f>
        <v>4.616E-2</v>
      </c>
      <c r="L48" s="33">
        <f>'Spot rates'!L48</f>
        <v>4.5030000000000001E-2</v>
      </c>
      <c r="M48" s="33">
        <f>'Spot rates'!M48</f>
        <v>4.548E-2</v>
      </c>
      <c r="N48" s="33">
        <f>'Spot rates'!N48</f>
        <v>3.048E-2</v>
      </c>
      <c r="O48" s="33">
        <f>'Spot rates'!O48</f>
        <v>0.03</v>
      </c>
      <c r="P48" s="32"/>
      <c r="Q48" s="32"/>
      <c r="R48" s="32"/>
      <c r="S48" s="32"/>
      <c r="T48" s="32"/>
      <c r="U48" s="32"/>
      <c r="V48" s="32"/>
      <c r="W48" s="32"/>
      <c r="X48" s="32"/>
      <c r="Y48" s="32"/>
    </row>
    <row r="49" spans="1:25" x14ac:dyDescent="0.2">
      <c r="A49" s="34">
        <f>'Spot rates'!A49</f>
        <v>24</v>
      </c>
      <c r="B49" s="33">
        <f>'Spot rates'!B49</f>
        <v>7.0169999999999996E-2</v>
      </c>
      <c r="C49" s="33">
        <f>'Spot rates'!C49</f>
        <v>5.9299999999999999E-2</v>
      </c>
      <c r="D49" s="33">
        <f>'Spot rates'!D49</f>
        <v>7.3499999999999996E-2</v>
      </c>
      <c r="E49" s="33">
        <f>'Spot rates'!E49</f>
        <v>7.3429999999999995E-2</v>
      </c>
      <c r="F49" s="33">
        <f>'Spot rates'!F49</f>
        <v>4.8689999999999997E-2</v>
      </c>
      <c r="G49" s="33">
        <f>'Spot rates'!G49</f>
        <v>4.8439999999999997E-2</v>
      </c>
      <c r="H49" s="33">
        <f>'Spot rates'!H49</f>
        <v>5.79E-2</v>
      </c>
      <c r="I49" s="33">
        <f>'Spot rates'!I49</f>
        <v>3.8269999999999998E-2</v>
      </c>
      <c r="J49" s="33">
        <f>'Spot rates'!J49</f>
        <v>4.1209999999999997E-2</v>
      </c>
      <c r="K49" s="33">
        <f>'Spot rates'!K49</f>
        <v>4.6460000000000001E-2</v>
      </c>
      <c r="L49" s="33">
        <f>'Spot rates'!L49</f>
        <v>4.5179999999999998E-2</v>
      </c>
      <c r="M49" s="33">
        <f>'Spot rates'!M49</f>
        <v>4.5629999999999997E-2</v>
      </c>
      <c r="N49" s="33">
        <f>'Spot rates'!N49</f>
        <v>3.066E-2</v>
      </c>
      <c r="O49" s="33">
        <f>'Spot rates'!O49</f>
        <v>3.023E-2</v>
      </c>
      <c r="P49" s="32"/>
      <c r="Q49" s="32"/>
      <c r="R49" s="32"/>
      <c r="S49" s="32"/>
      <c r="T49" s="32"/>
      <c r="U49" s="32"/>
      <c r="V49" s="32"/>
      <c r="W49" s="32"/>
      <c r="X49" s="32"/>
      <c r="Y49" s="32"/>
    </row>
    <row r="50" spans="1:25" x14ac:dyDescent="0.2">
      <c r="A50" s="34">
        <f>'Spot rates'!A50</f>
        <v>24.5</v>
      </c>
      <c r="B50" s="33">
        <f>'Spot rates'!B50</f>
        <v>7.0169999999999996E-2</v>
      </c>
      <c r="C50" s="33">
        <f>'Spot rates'!C50</f>
        <v>5.9299999999999999E-2</v>
      </c>
      <c r="D50" s="33">
        <f>'Spot rates'!D50</f>
        <v>7.3499999999999996E-2</v>
      </c>
      <c r="E50" s="33">
        <f>'Spot rates'!E50</f>
        <v>7.3459999999999998E-2</v>
      </c>
      <c r="F50" s="33">
        <f>'Spot rates'!F50</f>
        <v>4.8809999999999999E-2</v>
      </c>
      <c r="G50" s="33">
        <f>'Spot rates'!G50</f>
        <v>4.8590000000000001E-2</v>
      </c>
      <c r="H50" s="33">
        <f>'Spot rates'!H50</f>
        <v>5.8049999999999997E-2</v>
      </c>
      <c r="I50" s="33">
        <f>'Spot rates'!I50</f>
        <v>3.8460000000000001E-2</v>
      </c>
      <c r="J50" s="33">
        <f>'Spot rates'!J50</f>
        <v>4.1579999999999999E-2</v>
      </c>
      <c r="K50" s="33">
        <f>'Spot rates'!K50</f>
        <v>4.6710000000000002E-2</v>
      </c>
      <c r="L50" s="33">
        <f>'Spot rates'!L50</f>
        <v>4.5330000000000002E-2</v>
      </c>
      <c r="M50" s="33">
        <f>'Spot rates'!M50</f>
        <v>4.5859999999999998E-2</v>
      </c>
      <c r="N50" s="33">
        <f>'Spot rates'!N50</f>
        <v>3.0769999999999999E-2</v>
      </c>
      <c r="O50" s="33">
        <f>'Spot rates'!O50</f>
        <v>3.0349999999999999E-2</v>
      </c>
      <c r="P50" s="32"/>
      <c r="Q50" s="32"/>
      <c r="R50" s="32"/>
      <c r="S50" s="32"/>
      <c r="T50" s="32"/>
      <c r="U50" s="32"/>
      <c r="V50" s="32"/>
      <c r="W50" s="32"/>
      <c r="X50" s="32"/>
      <c r="Y50" s="32"/>
    </row>
    <row r="51" spans="1:25" x14ac:dyDescent="0.2">
      <c r="A51" s="34">
        <f>'Spot rates'!A51</f>
        <v>25</v>
      </c>
      <c r="B51" s="33">
        <f>'Spot rates'!B51</f>
        <v>7.0169999999999996E-2</v>
      </c>
      <c r="C51" s="33">
        <f>'Spot rates'!C51</f>
        <v>5.9299999999999999E-2</v>
      </c>
      <c r="D51" s="33">
        <f>'Spot rates'!D51</f>
        <v>7.3499999999999996E-2</v>
      </c>
      <c r="E51" s="33">
        <f>'Spot rates'!E51</f>
        <v>7.3499999999999996E-2</v>
      </c>
      <c r="F51" s="33">
        <f>'Spot rates'!F51</f>
        <v>4.8959999999999997E-2</v>
      </c>
      <c r="G51" s="33">
        <f>'Spot rates'!G51</f>
        <v>4.8770000000000001E-2</v>
      </c>
      <c r="H51" s="33">
        <f>'Spot rates'!H51</f>
        <v>5.8169999999999999E-2</v>
      </c>
      <c r="I51" s="33">
        <f>'Spot rates'!I51</f>
        <v>3.8609999999999998E-2</v>
      </c>
      <c r="J51" s="33">
        <f>'Spot rates'!J51</f>
        <v>4.2029999999999998E-2</v>
      </c>
      <c r="K51" s="33">
        <f>'Spot rates'!K51</f>
        <v>4.6980000000000001E-2</v>
      </c>
      <c r="L51" s="33">
        <f>'Spot rates'!L51</f>
        <v>4.548E-2</v>
      </c>
      <c r="M51" s="33">
        <f>'Spot rates'!M51</f>
        <v>4.6010000000000002E-2</v>
      </c>
      <c r="N51" s="33">
        <f>'Spot rates'!N51</f>
        <v>3.0949999999999998E-2</v>
      </c>
      <c r="O51" s="33">
        <f>'Spot rates'!O51</f>
        <v>3.0620000000000001E-2</v>
      </c>
      <c r="P51" s="32"/>
      <c r="Q51" s="32"/>
      <c r="R51" s="32"/>
      <c r="S51" s="32"/>
      <c r="T51" s="32"/>
      <c r="U51" s="32"/>
      <c r="V51" s="32"/>
      <c r="W51" s="32"/>
      <c r="X51" s="32"/>
      <c r="Y51" s="32"/>
    </row>
    <row r="52" spans="1:25" x14ac:dyDescent="0.2">
      <c r="A52" s="34">
        <f>'Spot rates'!A52</f>
        <v>25.5</v>
      </c>
      <c r="B52" s="33">
        <f>'Spot rates'!B52</f>
        <v>7.0300000000000001E-2</v>
      </c>
      <c r="C52" s="33">
        <f>'Spot rates'!C52</f>
        <v>5.9400000000000001E-2</v>
      </c>
      <c r="D52" s="33">
        <f>'Spot rates'!D52</f>
        <v>7.3499999999999996E-2</v>
      </c>
      <c r="E52" s="33">
        <f>'Spot rates'!E52</f>
        <v>7.3609999999999995E-2</v>
      </c>
      <c r="F52" s="33">
        <f>'Spot rates'!F52</f>
        <v>4.9110000000000001E-2</v>
      </c>
      <c r="G52" s="33">
        <f>'Spot rates'!G52</f>
        <v>4.8989999999999999E-2</v>
      </c>
      <c r="H52" s="33">
        <f>'Spot rates'!H52</f>
        <v>5.8319999999999997E-2</v>
      </c>
      <c r="I52" s="33">
        <f>'Spot rates'!I52</f>
        <v>3.884E-2</v>
      </c>
      <c r="J52" s="33">
        <f>'Spot rates'!J52</f>
        <v>4.2360000000000002E-2</v>
      </c>
      <c r="K52" s="33">
        <f>'Spot rates'!K52</f>
        <v>4.7280000000000003E-2</v>
      </c>
      <c r="L52" s="33">
        <f>'Spot rates'!L52</f>
        <v>4.5600000000000002E-2</v>
      </c>
      <c r="M52" s="33">
        <f>'Spot rates'!M52</f>
        <v>4.616E-2</v>
      </c>
      <c r="N52" s="33">
        <f>'Spot rates'!N52</f>
        <v>3.1099999999999999E-2</v>
      </c>
      <c r="O52" s="33">
        <f>'Spot rates'!O52</f>
        <v>3.0769999999999999E-2</v>
      </c>
      <c r="P52" s="32"/>
      <c r="Q52" s="32"/>
      <c r="R52" s="32"/>
      <c r="S52" s="32"/>
      <c r="T52" s="32"/>
      <c r="U52" s="32"/>
      <c r="V52" s="32"/>
      <c r="W52" s="32"/>
      <c r="X52" s="32"/>
      <c r="Y52" s="32"/>
    </row>
    <row r="53" spans="1:25" x14ac:dyDescent="0.2">
      <c r="A53" s="34">
        <f>'Spot rates'!A53</f>
        <v>26</v>
      </c>
      <c r="B53" s="33">
        <f>'Spot rates'!B53</f>
        <v>7.0300000000000001E-2</v>
      </c>
      <c r="C53" s="33">
        <f>'Spot rates'!C53</f>
        <v>5.9400000000000001E-2</v>
      </c>
      <c r="D53" s="33">
        <f>'Spot rates'!D53</f>
        <v>7.3499999999999996E-2</v>
      </c>
      <c r="E53" s="33">
        <f>'Spot rates'!E53</f>
        <v>7.3609999999999995E-2</v>
      </c>
      <c r="F53" s="33">
        <f>'Spot rates'!F53</f>
        <v>4.9259999999999998E-2</v>
      </c>
      <c r="G53" s="33">
        <f>'Spot rates'!G53</f>
        <v>4.9189999999999998E-2</v>
      </c>
      <c r="H53" s="33">
        <f>'Spot rates'!H53</f>
        <v>5.8470000000000001E-2</v>
      </c>
      <c r="I53" s="33">
        <f>'Spot rates'!I53</f>
        <v>3.8989999999999997E-2</v>
      </c>
      <c r="J53" s="33">
        <f>'Spot rates'!J53</f>
        <v>4.2709999999999998E-2</v>
      </c>
      <c r="K53" s="33">
        <f>'Spot rates'!K53</f>
        <v>4.7480000000000001E-2</v>
      </c>
      <c r="L53" s="33">
        <f>'Spot rates'!L53</f>
        <v>4.5749999999999999E-2</v>
      </c>
      <c r="M53" s="33">
        <f>'Spot rates'!M53</f>
        <v>4.6309999999999997E-2</v>
      </c>
      <c r="N53" s="33">
        <f>'Spot rates'!N53</f>
        <v>3.1199999999999999E-2</v>
      </c>
      <c r="O53" s="33">
        <f>'Spot rates'!O53</f>
        <v>3.099E-2</v>
      </c>
      <c r="P53" s="32"/>
      <c r="Q53" s="32"/>
      <c r="R53" s="32"/>
      <c r="S53" s="32"/>
      <c r="T53" s="32"/>
      <c r="U53" s="32"/>
      <c r="V53" s="32"/>
      <c r="W53" s="32"/>
      <c r="X53" s="32"/>
      <c r="Y53" s="32"/>
    </row>
    <row r="54" spans="1:25" x14ac:dyDescent="0.2">
      <c r="A54" s="34">
        <f>'Spot rates'!A54</f>
        <v>26.5</v>
      </c>
      <c r="B54" s="33">
        <f>'Spot rates'!B54</f>
        <v>7.0300000000000001E-2</v>
      </c>
      <c r="C54" s="33">
        <f>'Spot rates'!C54</f>
        <v>5.9400000000000001E-2</v>
      </c>
      <c r="D54" s="33">
        <f>'Spot rates'!D54</f>
        <v>7.3499999999999996E-2</v>
      </c>
      <c r="E54" s="33">
        <f>'Spot rates'!E54</f>
        <v>7.3639999999999997E-2</v>
      </c>
      <c r="F54" s="33">
        <f>'Spot rates'!F54</f>
        <v>4.9410000000000003E-2</v>
      </c>
      <c r="G54" s="33">
        <f>'Spot rates'!G54</f>
        <v>4.9340000000000002E-2</v>
      </c>
      <c r="H54" s="33">
        <f>'Spot rates'!H54</f>
        <v>5.8619999999999998E-2</v>
      </c>
      <c r="I54" s="33">
        <f>'Spot rates'!I54</f>
        <v>3.9210000000000002E-2</v>
      </c>
      <c r="J54" s="33">
        <f>'Spot rates'!J54</f>
        <v>4.308E-2</v>
      </c>
      <c r="K54" s="33">
        <f>'Spot rates'!K54</f>
        <v>4.7730000000000002E-2</v>
      </c>
      <c r="L54" s="33">
        <f>'Spot rates'!L54</f>
        <v>4.5859999999999998E-2</v>
      </c>
      <c r="M54" s="33">
        <f>'Spot rates'!M54</f>
        <v>4.6489999999999997E-2</v>
      </c>
      <c r="N54" s="33">
        <f>'Spot rates'!N54</f>
        <v>3.1350000000000003E-2</v>
      </c>
      <c r="O54" s="33">
        <f>'Spot rates'!O54</f>
        <v>3.1140000000000001E-2</v>
      </c>
      <c r="P54" s="32"/>
      <c r="Q54" s="32"/>
      <c r="R54" s="32"/>
      <c r="S54" s="32"/>
      <c r="T54" s="32"/>
      <c r="U54" s="32"/>
      <c r="V54" s="32"/>
      <c r="W54" s="32"/>
      <c r="X54" s="32"/>
      <c r="Y54" s="32"/>
    </row>
    <row r="55" spans="1:25" x14ac:dyDescent="0.2">
      <c r="A55" s="34">
        <f>'Spot rates'!A55</f>
        <v>27</v>
      </c>
      <c r="B55" s="33">
        <f>'Spot rates'!B55</f>
        <v>7.0300000000000001E-2</v>
      </c>
      <c r="C55" s="33">
        <f>'Spot rates'!C55</f>
        <v>5.9400000000000001E-2</v>
      </c>
      <c r="D55" s="33">
        <f>'Spot rates'!D55</f>
        <v>7.3599999999999999E-2</v>
      </c>
      <c r="E55" s="33">
        <f>'Spot rates'!E55</f>
        <v>7.3639999999999997E-2</v>
      </c>
      <c r="F55" s="33">
        <f>'Spot rates'!F55</f>
        <v>4.9489999999999999E-2</v>
      </c>
      <c r="G55" s="33">
        <f>'Spot rates'!G55</f>
        <v>4.9489999999999999E-2</v>
      </c>
      <c r="H55" s="33">
        <f>'Spot rates'!H55</f>
        <v>5.8770000000000003E-2</v>
      </c>
      <c r="I55" s="33">
        <f>'Spot rates'!I55</f>
        <v>3.9289999999999999E-2</v>
      </c>
      <c r="J55" s="33">
        <f>'Spot rates'!J55</f>
        <v>4.3380000000000002E-2</v>
      </c>
      <c r="K55" s="33">
        <f>'Spot rates'!K55</f>
        <v>4.793E-2</v>
      </c>
      <c r="L55" s="33">
        <f>'Spot rates'!L55</f>
        <v>4.6010000000000002E-2</v>
      </c>
      <c r="M55" s="33">
        <f>'Spot rates'!M55</f>
        <v>4.6640000000000001E-2</v>
      </c>
      <c r="N55" s="33">
        <f>'Spot rates'!N55</f>
        <v>3.1489999999999997E-2</v>
      </c>
      <c r="O55" s="33">
        <f>'Spot rates'!O55</f>
        <v>3.1260000000000003E-2</v>
      </c>
      <c r="P55" s="32"/>
      <c r="Q55" s="32"/>
      <c r="R55" s="32"/>
      <c r="S55" s="32"/>
      <c r="T55" s="32"/>
      <c r="U55" s="32"/>
      <c r="V55" s="32"/>
      <c r="W55" s="32"/>
      <c r="X55" s="32"/>
      <c r="Y55" s="32"/>
    </row>
    <row r="56" spans="1:25" x14ac:dyDescent="0.2">
      <c r="A56" s="34">
        <f>'Spot rates'!A56</f>
        <v>27.5</v>
      </c>
      <c r="B56" s="33">
        <f>'Spot rates'!B56</f>
        <v>7.0300000000000001E-2</v>
      </c>
      <c r="C56" s="33">
        <f>'Spot rates'!C56</f>
        <v>5.9400000000000001E-2</v>
      </c>
      <c r="D56" s="33">
        <f>'Spot rates'!D56</f>
        <v>7.3599999999999999E-2</v>
      </c>
      <c r="E56" s="33">
        <f>'Spot rates'!E56</f>
        <v>7.374E-2</v>
      </c>
      <c r="F56" s="33">
        <f>'Spot rates'!F56</f>
        <v>4.9639999999999997E-2</v>
      </c>
      <c r="G56" s="33">
        <f>'Spot rates'!G56</f>
        <v>4.9709999999999997E-2</v>
      </c>
      <c r="H56" s="33">
        <f>'Spot rates'!H56</f>
        <v>5.885E-2</v>
      </c>
      <c r="I56" s="33">
        <f>'Spot rates'!I56</f>
        <v>3.9440000000000003E-2</v>
      </c>
      <c r="J56" s="33">
        <f>'Spot rates'!J56</f>
        <v>4.3679999999999997E-2</v>
      </c>
      <c r="K56" s="33">
        <f>'Spot rates'!K56</f>
        <v>4.8149999999999998E-2</v>
      </c>
      <c r="L56" s="33">
        <f>'Spot rates'!L56</f>
        <v>4.616E-2</v>
      </c>
      <c r="M56" s="33">
        <f>'Spot rates'!M56</f>
        <v>4.6789999999999998E-2</v>
      </c>
      <c r="N56" s="33">
        <f>'Spot rates'!N56</f>
        <v>3.1559999999999998E-2</v>
      </c>
      <c r="O56" s="33">
        <f>'Spot rates'!O56</f>
        <v>3.141E-2</v>
      </c>
      <c r="P56" s="32"/>
      <c r="Q56" s="32"/>
      <c r="R56" s="32"/>
      <c r="S56" s="32"/>
      <c r="T56" s="32"/>
      <c r="U56" s="32"/>
      <c r="V56" s="32"/>
      <c r="W56" s="32"/>
      <c r="X56" s="32"/>
      <c r="Y56" s="32"/>
    </row>
    <row r="57" spans="1:25" x14ac:dyDescent="0.2">
      <c r="A57" s="34">
        <f>'Spot rates'!A57</f>
        <v>28</v>
      </c>
      <c r="B57" s="33">
        <f>'Spot rates'!B57</f>
        <v>7.0300000000000001E-2</v>
      </c>
      <c r="C57" s="33">
        <f>'Spot rates'!C57</f>
        <v>4.9500000000000002E-2</v>
      </c>
      <c r="D57" s="33">
        <f>'Spot rates'!D57</f>
        <v>7.3599999999999999E-2</v>
      </c>
      <c r="E57" s="33">
        <f>'Spot rates'!E57</f>
        <v>7.3789999999999994E-2</v>
      </c>
      <c r="F57" s="33">
        <f>'Spot rates'!F57</f>
        <v>4.9790000000000001E-2</v>
      </c>
      <c r="G57" s="33">
        <f>'Spot rates'!G57</f>
        <v>4.9860000000000002E-2</v>
      </c>
      <c r="H57" s="33">
        <f>'Spot rates'!H57</f>
        <v>5.8999999999999997E-2</v>
      </c>
      <c r="I57" s="33">
        <f>'Spot rates'!I57</f>
        <v>3.959E-2</v>
      </c>
      <c r="J57" s="33">
        <f>'Spot rates'!J57</f>
        <v>4.3979999999999998E-2</v>
      </c>
      <c r="K57" s="33">
        <f>'Spot rates'!K57</f>
        <v>4.8379999999999999E-2</v>
      </c>
      <c r="L57" s="33">
        <f>'Spot rates'!L57</f>
        <v>4.616E-2</v>
      </c>
      <c r="M57" s="33">
        <f>'Spot rates'!M57</f>
        <v>4.6940000000000003E-2</v>
      </c>
      <c r="N57" s="33">
        <f>'Spot rates'!N57</f>
        <v>3.1710000000000002E-2</v>
      </c>
      <c r="O57" s="33">
        <f>'Spot rates'!O57</f>
        <v>3.1559999999999998E-2</v>
      </c>
      <c r="P57" s="32"/>
      <c r="Q57" s="32"/>
      <c r="R57" s="32"/>
      <c r="S57" s="32"/>
      <c r="T57" s="32"/>
      <c r="U57" s="32"/>
      <c r="V57" s="32"/>
      <c r="W57" s="32"/>
      <c r="X57" s="32"/>
      <c r="Y57" s="32"/>
    </row>
    <row r="58" spans="1:25" x14ac:dyDescent="0.2">
      <c r="A58" s="34">
        <f>'Spot rates'!A58</f>
        <v>28.5</v>
      </c>
      <c r="B58" s="33">
        <f>'Spot rates'!B58</f>
        <v>7.0300000000000001E-2</v>
      </c>
      <c r="C58" s="33">
        <f>'Spot rates'!C58</f>
        <v>5.9029999999999999E-2</v>
      </c>
      <c r="D58" s="33">
        <f>'Spot rates'!D58</f>
        <v>7.3599999999999999E-2</v>
      </c>
      <c r="E58" s="33">
        <f>'Spot rates'!E58</f>
        <v>7.3819999999999997E-2</v>
      </c>
      <c r="F58" s="33">
        <f>'Spot rates'!F58</f>
        <v>4.9939999999999998E-2</v>
      </c>
      <c r="G58" s="33">
        <f>'Spot rates'!G58</f>
        <v>5.0009999999999999E-2</v>
      </c>
      <c r="H58" s="33">
        <f>'Spot rates'!H58</f>
        <v>5.9069999999999998E-2</v>
      </c>
      <c r="I58" s="33">
        <f>'Spot rates'!I58</f>
        <v>3.9710000000000002E-2</v>
      </c>
      <c r="J58" s="33">
        <f>'Spot rates'!J58</f>
        <v>4.4209999999999999E-2</v>
      </c>
      <c r="K58" s="33">
        <f>'Spot rates'!K58</f>
        <v>4.8529999999999997E-2</v>
      </c>
      <c r="L58" s="33">
        <f>'Spot rates'!L58</f>
        <v>4.6309999999999997E-2</v>
      </c>
      <c r="M58" s="33">
        <f>'Spot rates'!M58</f>
        <v>4.709E-2</v>
      </c>
      <c r="N58" s="33">
        <f>'Spot rates'!N58</f>
        <v>3.1789999999999999E-2</v>
      </c>
      <c r="O58" s="33">
        <f>'Spot rates'!O58</f>
        <v>3.168E-2</v>
      </c>
      <c r="P58" s="32"/>
      <c r="Q58" s="32"/>
      <c r="R58" s="32"/>
      <c r="S58" s="32"/>
      <c r="T58" s="32"/>
      <c r="U58" s="32"/>
      <c r="V58" s="32"/>
      <c r="W58" s="32"/>
      <c r="X58" s="32"/>
      <c r="Y58" s="32"/>
    </row>
    <row r="59" spans="1:25" x14ac:dyDescent="0.2">
      <c r="A59" s="34">
        <f>'Spot rates'!A59</f>
        <v>29</v>
      </c>
      <c r="B59" s="33">
        <f>'Spot rates'!B59</f>
        <v>7.0300000000000001E-2</v>
      </c>
      <c r="C59" s="33">
        <f>'Spot rates'!C59</f>
        <v>5.9029999999999999E-2</v>
      </c>
      <c r="D59" s="33">
        <f>'Spot rates'!D59</f>
        <v>7.3599999999999999E-2</v>
      </c>
      <c r="E59" s="33">
        <f>'Spot rates'!E59</f>
        <v>7.3940000000000006E-2</v>
      </c>
      <c r="F59" s="33">
        <f>'Spot rates'!F59</f>
        <v>5.006E-2</v>
      </c>
      <c r="G59" s="33">
        <f>'Spot rates'!G59</f>
        <v>5.0160000000000003E-2</v>
      </c>
      <c r="H59" s="33">
        <f>'Spot rates'!H59</f>
        <v>5.9220000000000002E-2</v>
      </c>
      <c r="I59" s="33">
        <f>'Spot rates'!I59</f>
        <v>3.9809999999999998E-2</v>
      </c>
      <c r="J59" s="33">
        <f>'Spot rates'!J59</f>
        <v>4.4510000000000001E-2</v>
      </c>
      <c r="K59" s="33">
        <f>'Spot rates'!K59</f>
        <v>4.8680000000000001E-2</v>
      </c>
      <c r="L59" s="33">
        <f>'Spot rates'!L59</f>
        <v>4.6379999999999998E-2</v>
      </c>
      <c r="M59" s="33">
        <f>'Spot rates'!M59</f>
        <v>4.7120000000000002E-2</v>
      </c>
      <c r="N59" s="33">
        <f>'Spot rates'!N59</f>
        <v>3.1890000000000002E-2</v>
      </c>
      <c r="O59" s="33">
        <f>'Spot rates'!O59</f>
        <v>3.1829999999999997E-2</v>
      </c>
      <c r="P59" s="32"/>
      <c r="Q59" s="32"/>
      <c r="R59" s="32"/>
      <c r="S59" s="32"/>
      <c r="T59" s="32"/>
      <c r="U59" s="32"/>
      <c r="V59" s="32"/>
      <c r="W59" s="32"/>
      <c r="X59" s="32"/>
      <c r="Y59" s="32"/>
    </row>
    <row r="60" spans="1:25" x14ac:dyDescent="0.2">
      <c r="A60" s="34">
        <f>'Spot rates'!A60</f>
        <v>29.5</v>
      </c>
      <c r="B60" s="33">
        <f>'Spot rates'!B60</f>
        <v>7.0300000000000001E-2</v>
      </c>
      <c r="C60" s="33">
        <f>'Spot rates'!C60</f>
        <v>5.9029999999999999E-2</v>
      </c>
      <c r="D60" s="33">
        <f>'Spot rates'!D60</f>
        <v>7.3599999999999999E-2</v>
      </c>
      <c r="E60" s="33">
        <f>'Spot rates'!E60</f>
        <v>7.4039999999999995E-2</v>
      </c>
      <c r="F60" s="33">
        <f>'Spot rates'!F60</f>
        <v>5.0209999999999998E-2</v>
      </c>
      <c r="G60" s="33">
        <f>'Spot rates'!G60</f>
        <v>5.0340000000000003E-2</v>
      </c>
      <c r="H60" s="33">
        <f>'Spot rates'!H60</f>
        <v>5.9369999999999999E-2</v>
      </c>
      <c r="I60" s="33">
        <f>'Spot rates'!I60</f>
        <v>3.9960000000000002E-2</v>
      </c>
      <c r="J60" s="33">
        <f>'Spot rates'!J60</f>
        <v>4.4659999999999998E-2</v>
      </c>
      <c r="K60" s="33">
        <f>'Spot rates'!K60</f>
        <v>4.8829999999999998E-2</v>
      </c>
      <c r="L60" s="33">
        <f>'Spot rates'!L60</f>
        <v>4.6460000000000001E-2</v>
      </c>
      <c r="M60" s="33">
        <f>'Spot rates'!M60</f>
        <v>4.7239999999999997E-2</v>
      </c>
      <c r="N60" s="33">
        <f>'Spot rates'!N60</f>
        <v>3.2039999999999999E-2</v>
      </c>
      <c r="O60" s="33">
        <f>'Spot rates'!O60</f>
        <v>3.1980000000000001E-2</v>
      </c>
      <c r="P60" s="32"/>
      <c r="Q60" s="32"/>
      <c r="R60" s="32"/>
      <c r="S60" s="32"/>
      <c r="T60" s="32"/>
      <c r="U60" s="32"/>
      <c r="V60" s="32"/>
      <c r="W60" s="32"/>
      <c r="X60" s="32"/>
      <c r="Y60" s="32"/>
    </row>
    <row r="61" spans="1:25" x14ac:dyDescent="0.2">
      <c r="A61" s="34">
        <f>'Spot rates'!A61</f>
        <v>30</v>
      </c>
      <c r="B61" s="33">
        <f>'Spot rates'!B61</f>
        <v>7.0300000000000001E-2</v>
      </c>
      <c r="C61" s="33">
        <f>'Spot rates'!C61</f>
        <v>5.9029999999999999E-2</v>
      </c>
      <c r="D61" s="33">
        <f>'Spot rates'!D61</f>
        <v>7.3599999999999999E-2</v>
      </c>
      <c r="E61" s="33">
        <f>'Spot rates'!E61</f>
        <v>7.4190000000000006E-2</v>
      </c>
      <c r="F61" s="33">
        <f>'Spot rates'!F61</f>
        <v>5.0360000000000002E-2</v>
      </c>
      <c r="G61" s="33">
        <f>'Spot rates'!G61</f>
        <v>5.049E-2</v>
      </c>
      <c r="H61" s="33">
        <f>'Spot rates'!H61</f>
        <v>5.9490000000000001E-2</v>
      </c>
      <c r="I61" s="33">
        <f>'Spot rates'!I61</f>
        <v>4.0039999999999999E-2</v>
      </c>
      <c r="J61" s="33">
        <f>'Spot rates'!J61</f>
        <v>4.4810000000000003E-2</v>
      </c>
      <c r="K61" s="33">
        <f>'Spot rates'!K61</f>
        <v>4.895E-2</v>
      </c>
      <c r="L61" s="33">
        <f>'Spot rates'!L61</f>
        <v>4.6460000000000001E-2</v>
      </c>
      <c r="M61" s="33">
        <f>'Spot rates'!M61</f>
        <v>4.727E-2</v>
      </c>
      <c r="N61" s="33">
        <f>'Spot rates'!N61</f>
        <v>3.2120000000000003E-2</v>
      </c>
      <c r="O61" s="33">
        <f>'Spot rates'!O61</f>
        <v>3.2099999999999997E-2</v>
      </c>
      <c r="P61" s="32"/>
      <c r="Q61" s="32"/>
      <c r="R61" s="32"/>
      <c r="S61" s="32"/>
      <c r="T61" s="32"/>
      <c r="U61" s="32"/>
      <c r="V61" s="32"/>
      <c r="W61" s="32"/>
      <c r="X61" s="32"/>
      <c r="Y61" s="3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80C43-4F32-4676-9C42-926EF05E8FAF}">
  <sheetPr>
    <tabColor theme="9" tint="0.79998168889431442"/>
  </sheetPr>
  <dimension ref="B2:K85"/>
  <sheetViews>
    <sheetView showGridLines="0" topLeftCell="A43" zoomScaleNormal="100" workbookViewId="0">
      <selection activeCell="E79" sqref="E79:E80"/>
    </sheetView>
  </sheetViews>
  <sheetFormatPr baseColWidth="10" defaultColWidth="8.83203125" defaultRowHeight="15" x14ac:dyDescent="0.2"/>
  <cols>
    <col min="1" max="1" width="3.5" customWidth="1"/>
    <col min="3" max="3" width="31.5" bestFit="1" customWidth="1"/>
    <col min="4" max="4" width="32.5" customWidth="1"/>
    <col min="5" max="5" width="35.1640625" bestFit="1" customWidth="1"/>
    <col min="6" max="6" width="27.1640625" bestFit="1" customWidth="1"/>
  </cols>
  <sheetData>
    <row r="2" spans="2:5" x14ac:dyDescent="0.2">
      <c r="B2" s="56" t="s">
        <v>1</v>
      </c>
      <c r="C2" s="44" t="s">
        <v>66</v>
      </c>
      <c r="D2" s="54" t="s">
        <v>67</v>
      </c>
      <c r="E2" s="34"/>
    </row>
    <row r="3" spans="2:5" x14ac:dyDescent="0.2">
      <c r="B3" s="91">
        <v>2016</v>
      </c>
      <c r="C3" s="152">
        <v>198687000</v>
      </c>
      <c r="D3" s="208">
        <f>C3*'Exchange Rate Projection'!C6</f>
        <v>219549135</v>
      </c>
      <c r="E3" s="151"/>
    </row>
    <row r="4" spans="2:5" x14ac:dyDescent="0.2">
      <c r="B4" s="91">
        <v>2017</v>
      </c>
      <c r="C4" s="152">
        <v>197513000</v>
      </c>
      <c r="D4" s="208">
        <f>C4*'Exchange Rate Projection'!C7</f>
        <v>222399637.99999997</v>
      </c>
      <c r="E4" s="151"/>
    </row>
    <row r="5" spans="2:5" x14ac:dyDescent="0.2">
      <c r="B5" s="91">
        <v>2018</v>
      </c>
      <c r="C5" s="152">
        <v>205510000</v>
      </c>
      <c r="D5" s="208">
        <f>C5*'Exchange Rate Projection'!C8</f>
        <v>242296290</v>
      </c>
      <c r="E5" s="151"/>
    </row>
    <row r="6" spans="2:5" x14ac:dyDescent="0.2">
      <c r="B6" s="91">
        <v>2019</v>
      </c>
      <c r="C6" s="152">
        <v>195766000</v>
      </c>
      <c r="D6" s="208">
        <f>C6*'Exchange Rate Projection'!C9</f>
        <v>218866388.00000003</v>
      </c>
      <c r="E6" s="151"/>
    </row>
    <row r="7" spans="2:5" x14ac:dyDescent="0.2">
      <c r="B7" s="91">
        <v>2020</v>
      </c>
      <c r="C7" s="152">
        <v>195809000</v>
      </c>
      <c r="D7" s="208">
        <f>C7*'Exchange Rate Projection'!C10</f>
        <v>223418069</v>
      </c>
      <c r="E7" s="151"/>
    </row>
    <row r="8" spans="2:5" x14ac:dyDescent="0.2">
      <c r="B8" s="93">
        <v>2021</v>
      </c>
      <c r="C8" s="153">
        <v>193286000</v>
      </c>
      <c r="D8" s="209">
        <f>C8*'Exchange Rate Projection'!C11</f>
        <v>220964923.43442357</v>
      </c>
      <c r="E8" s="151"/>
    </row>
    <row r="9" spans="2:5" x14ac:dyDescent="0.2">
      <c r="D9" s="154"/>
    </row>
    <row r="10" spans="2:5" x14ac:dyDescent="0.2">
      <c r="B10" s="56" t="s">
        <v>1</v>
      </c>
      <c r="C10" s="44" t="s">
        <v>68</v>
      </c>
      <c r="D10" s="54" t="s">
        <v>67</v>
      </c>
      <c r="E10" s="34"/>
    </row>
    <row r="11" spans="2:5" x14ac:dyDescent="0.2">
      <c r="B11" s="91">
        <v>2016</v>
      </c>
      <c r="C11" s="152">
        <v>171329000</v>
      </c>
      <c r="D11" s="208">
        <f>C11*'Exchange Rate Projection'!C6</f>
        <v>189318545</v>
      </c>
      <c r="E11" s="151"/>
    </row>
    <row r="12" spans="2:5" x14ac:dyDescent="0.2">
      <c r="B12" s="91">
        <v>2017</v>
      </c>
      <c r="C12" s="152">
        <v>171530000</v>
      </c>
      <c r="D12" s="208">
        <f>C12*'Exchange Rate Projection'!C7</f>
        <v>193142779.99999997</v>
      </c>
      <c r="E12" s="151"/>
    </row>
    <row r="13" spans="2:5" x14ac:dyDescent="0.2">
      <c r="B13" s="91">
        <v>2018</v>
      </c>
      <c r="C13" s="152">
        <v>172982000</v>
      </c>
      <c r="D13" s="208">
        <f>C13*'Exchange Rate Projection'!C8</f>
        <v>203945778</v>
      </c>
      <c r="E13" s="151"/>
    </row>
    <row r="14" spans="2:5" x14ac:dyDescent="0.2">
      <c r="B14" s="91">
        <v>2019</v>
      </c>
      <c r="C14" s="152">
        <v>173010000</v>
      </c>
      <c r="D14" s="208">
        <f>C14*'Exchange Rate Projection'!C9</f>
        <v>193425180.00000003</v>
      </c>
      <c r="E14" s="151"/>
    </row>
    <row r="15" spans="2:5" x14ac:dyDescent="0.2">
      <c r="B15" s="91">
        <v>2020</v>
      </c>
      <c r="C15" s="152">
        <v>182709000</v>
      </c>
      <c r="D15" s="208">
        <f>C15*'Exchange Rate Projection'!C10</f>
        <v>208470969</v>
      </c>
      <c r="E15" s="151"/>
    </row>
    <row r="16" spans="2:5" x14ac:dyDescent="0.2">
      <c r="B16" s="93">
        <v>2021</v>
      </c>
      <c r="C16" s="153">
        <v>140209000</v>
      </c>
      <c r="D16" s="209">
        <f>C16*'Exchange Rate Projection'!C11</f>
        <v>160287195.91598511</v>
      </c>
      <c r="E16" s="151"/>
    </row>
    <row r="17" spans="2:5" x14ac:dyDescent="0.2">
      <c r="D17" s="154"/>
    </row>
    <row r="18" spans="2:5" x14ac:dyDescent="0.2">
      <c r="B18" s="56" t="s">
        <v>1</v>
      </c>
      <c r="C18" s="44" t="s">
        <v>69</v>
      </c>
      <c r="D18" s="54" t="s">
        <v>67</v>
      </c>
      <c r="E18" s="34"/>
    </row>
    <row r="19" spans="2:5" x14ac:dyDescent="0.2">
      <c r="B19" s="91">
        <v>2016</v>
      </c>
      <c r="C19" s="152">
        <v>70000000</v>
      </c>
      <c r="D19" s="208">
        <f>C19*'Exchange Rate Projection'!C6</f>
        <v>77350000</v>
      </c>
      <c r="E19" s="151"/>
    </row>
    <row r="20" spans="2:5" x14ac:dyDescent="0.2">
      <c r="B20" s="91">
        <v>2017</v>
      </c>
      <c r="C20" s="152">
        <v>74700000</v>
      </c>
      <c r="D20" s="208">
        <f>C20*'Exchange Rate Projection'!C7</f>
        <v>84112199.999999985</v>
      </c>
      <c r="E20" s="151"/>
    </row>
    <row r="21" spans="2:5" x14ac:dyDescent="0.2">
      <c r="B21" s="91">
        <v>2018</v>
      </c>
      <c r="C21" s="152">
        <v>86900000</v>
      </c>
      <c r="D21" s="208">
        <f>C21*'Exchange Rate Projection'!C8</f>
        <v>102455100</v>
      </c>
      <c r="E21" s="151"/>
    </row>
    <row r="22" spans="2:5" x14ac:dyDescent="0.2">
      <c r="B22" s="91">
        <v>2019</v>
      </c>
      <c r="C22" s="152">
        <v>108800000</v>
      </c>
      <c r="D22" s="208">
        <f>C22*'Exchange Rate Projection'!C9</f>
        <v>121638400.00000001</v>
      </c>
      <c r="E22" s="151"/>
    </row>
    <row r="23" spans="2:5" x14ac:dyDescent="0.2">
      <c r="B23" s="91">
        <v>2020</v>
      </c>
      <c r="C23" s="152">
        <v>129600000</v>
      </c>
      <c r="D23" s="208">
        <f>C23*'Exchange Rate Projection'!C10</f>
        <v>147873600</v>
      </c>
      <c r="E23" s="151"/>
    </row>
    <row r="24" spans="2:5" x14ac:dyDescent="0.2">
      <c r="B24" s="93">
        <v>2021</v>
      </c>
      <c r="C24" s="153">
        <v>141200000</v>
      </c>
      <c r="D24" s="209">
        <f>C24*'Exchange Rate Projection'!C11</f>
        <v>161420109.00396618</v>
      </c>
      <c r="E24" s="151"/>
    </row>
    <row r="26" spans="2:5" x14ac:dyDescent="0.2">
      <c r="B26" s="56" t="s">
        <v>1</v>
      </c>
      <c r="C26" s="54" t="s">
        <v>70</v>
      </c>
      <c r="D26" s="34" t="s">
        <v>71</v>
      </c>
      <c r="E26" s="34" t="s">
        <v>72</v>
      </c>
    </row>
    <row r="27" spans="2:5" x14ac:dyDescent="0.2">
      <c r="B27" s="91">
        <v>2016</v>
      </c>
      <c r="C27" s="210">
        <f>AVERAGE(D19,D11,D3)</f>
        <v>162072560</v>
      </c>
      <c r="D27">
        <f>'Inflation projection'!F31</f>
        <v>1.0123</v>
      </c>
      <c r="E27" s="162">
        <f t="shared" ref="E27:E32" si="0">C27/D27</f>
        <v>160103289.53867429</v>
      </c>
    </row>
    <row r="28" spans="2:5" x14ac:dyDescent="0.2">
      <c r="B28" s="91">
        <v>2017</v>
      </c>
      <c r="C28" s="210">
        <f t="shared" ref="C28:C31" si="1">AVERAGE(D20,D12,D4)</f>
        <v>166551539.33333328</v>
      </c>
      <c r="D28">
        <f>D27*'Inflation projection'!F32</f>
        <v>1.0456046699999999</v>
      </c>
      <c r="E28" s="162">
        <f t="shared" si="0"/>
        <v>159287294.81796721</v>
      </c>
    </row>
    <row r="29" spans="2:5" x14ac:dyDescent="0.2">
      <c r="B29" s="91">
        <v>2018</v>
      </c>
      <c r="C29" s="210">
        <f t="shared" si="1"/>
        <v>182899056</v>
      </c>
      <c r="D29">
        <f>'Inflation projection'!F33</f>
        <v>1.0423</v>
      </c>
      <c r="E29" s="163">
        <f>C29/D29</f>
        <v>175476404.10630336</v>
      </c>
    </row>
    <row r="30" spans="2:5" x14ac:dyDescent="0.2">
      <c r="B30" s="91">
        <v>2019</v>
      </c>
      <c r="C30" s="210">
        <f t="shared" si="1"/>
        <v>177976656.00000003</v>
      </c>
      <c r="D30">
        <f>D29*'Inflation projection'!F34</f>
        <v>1.073569</v>
      </c>
      <c r="E30" s="163">
        <f t="shared" si="0"/>
        <v>165780360.64752245</v>
      </c>
    </row>
    <row r="31" spans="2:5" x14ac:dyDescent="0.2">
      <c r="B31" s="91">
        <v>2020</v>
      </c>
      <c r="C31" s="210">
        <f t="shared" si="1"/>
        <v>193254212.66666666</v>
      </c>
      <c r="D31">
        <f>'Inflation projection'!F35</f>
        <v>1.0132000000000001</v>
      </c>
      <c r="E31" s="163">
        <f t="shared" si="0"/>
        <v>190736490.98565599</v>
      </c>
    </row>
    <row r="32" spans="2:5" x14ac:dyDescent="0.2">
      <c r="B32" s="93">
        <v>2021</v>
      </c>
      <c r="C32" s="211">
        <f>AVERAGE(D24,D16,D8)</f>
        <v>180890742.78479162</v>
      </c>
      <c r="D32">
        <f>D31*'Inflation projection'!F36</f>
        <v>1.0391940226829284</v>
      </c>
      <c r="E32" s="163">
        <f t="shared" si="0"/>
        <v>174068305.66420966</v>
      </c>
    </row>
    <row r="33" spans="2:6" x14ac:dyDescent="0.2">
      <c r="C33" s="162"/>
      <c r="E33" s="163"/>
    </row>
    <row r="34" spans="2:6" x14ac:dyDescent="0.2">
      <c r="B34" s="178" t="s">
        <v>1</v>
      </c>
      <c r="C34" s="179" t="s">
        <v>72</v>
      </c>
      <c r="D34" s="46" t="s">
        <v>73</v>
      </c>
      <c r="E34" s="171" t="s">
        <v>74</v>
      </c>
      <c r="F34" s="46" t="s">
        <v>75</v>
      </c>
    </row>
    <row r="35" spans="2:6" x14ac:dyDescent="0.2">
      <c r="B35" s="167">
        <v>2016</v>
      </c>
      <c r="C35" s="212">
        <f t="shared" ref="C35:C40" si="2">E27</f>
        <v>160103289.53867429</v>
      </c>
      <c r="D35" s="180"/>
      <c r="E35" s="181">
        <f>1+'Inflation projection'!C31</f>
        <v>1.0123</v>
      </c>
      <c r="F35" s="217">
        <f t="shared" ref="F35:F50" si="3">C35*E35</f>
        <v>162072560</v>
      </c>
    </row>
    <row r="36" spans="2:6" x14ac:dyDescent="0.2">
      <c r="B36" s="164">
        <v>2017</v>
      </c>
      <c r="C36" s="213">
        <f t="shared" si="2"/>
        <v>159287294.81796721</v>
      </c>
      <c r="D36" s="182">
        <f>C36/C35-1</f>
        <v>-5.0966767957005832E-3</v>
      </c>
      <c r="E36" s="181">
        <f>E35*(1+'Inflation projection'!C32)</f>
        <v>1.0456046699999999</v>
      </c>
      <c r="F36" s="217">
        <f t="shared" si="3"/>
        <v>166551539.33333328</v>
      </c>
    </row>
    <row r="37" spans="2:6" x14ac:dyDescent="0.2">
      <c r="B37" s="164">
        <v>2018</v>
      </c>
      <c r="C37" s="213">
        <f t="shared" si="2"/>
        <v>175476404.10630336</v>
      </c>
      <c r="D37" s="182">
        <f>C37/C36-1</f>
        <v>0.10163465521112025</v>
      </c>
      <c r="E37" s="181">
        <f>1+'Inflation projection'!C33</f>
        <v>1.0423</v>
      </c>
      <c r="F37" s="217">
        <f t="shared" si="3"/>
        <v>182899056</v>
      </c>
    </row>
    <row r="38" spans="2:6" x14ac:dyDescent="0.2">
      <c r="B38" s="164">
        <v>2019</v>
      </c>
      <c r="C38" s="213">
        <f t="shared" si="2"/>
        <v>165780360.64752245</v>
      </c>
      <c r="D38" s="182">
        <f>C38/C37-1</f>
        <v>-5.5255539957993816E-2</v>
      </c>
      <c r="E38" s="181">
        <f>E37*(1+'Inflation projection'!C34)</f>
        <v>1.073569</v>
      </c>
      <c r="F38" s="217">
        <f t="shared" si="3"/>
        <v>177976656.00000003</v>
      </c>
    </row>
    <row r="39" spans="2:6" x14ac:dyDescent="0.2">
      <c r="B39" s="164">
        <v>2020</v>
      </c>
      <c r="C39" s="213">
        <f t="shared" si="2"/>
        <v>190736490.98565599</v>
      </c>
      <c r="D39" s="182">
        <f>C39/C38-1</f>
        <v>0.15053731479806931</v>
      </c>
      <c r="E39" s="181">
        <f>1+'Inflation projection'!C35</f>
        <v>1.0132000000000001</v>
      </c>
      <c r="F39" s="217">
        <f t="shared" si="3"/>
        <v>193254212.66666666</v>
      </c>
    </row>
    <row r="40" spans="2:6" ht="16" thickBot="1" x14ac:dyDescent="0.25">
      <c r="B40" s="164">
        <v>2021</v>
      </c>
      <c r="C40" s="213">
        <f t="shared" si="2"/>
        <v>174068305.66420966</v>
      </c>
      <c r="D40" s="182">
        <f>C40/C39-1</f>
        <v>-8.7388549696554074E-2</v>
      </c>
      <c r="E40" s="181">
        <f>E39*(1+'Inflation projection'!C36)</f>
        <v>1.0391940226829284</v>
      </c>
      <c r="F40" s="217">
        <f>C40*E40</f>
        <v>180890742.78479162</v>
      </c>
    </row>
    <row r="41" spans="2:6" x14ac:dyDescent="0.2">
      <c r="B41" s="170">
        <v>2022</v>
      </c>
      <c r="C41" s="214">
        <f>C40*(1+D41)</f>
        <v>177703938.19660547</v>
      </c>
      <c r="D41" s="172">
        <f>AVERAGE($D$36:$D$40)</f>
        <v>2.0886240711788219E-2</v>
      </c>
      <c r="E41" s="173">
        <f>1+'Inflation projection'!C37</f>
        <v>1.0235390853527913</v>
      </c>
      <c r="F41" s="218">
        <f t="shared" si="3"/>
        <v>181886926.3653425</v>
      </c>
    </row>
    <row r="42" spans="2:6" x14ac:dyDescent="0.2">
      <c r="B42" s="165">
        <f>B41+1</f>
        <v>2023</v>
      </c>
      <c r="C42" s="215">
        <f t="shared" ref="C42:C50" si="4">C41*(1+D42)</f>
        <v>181415505.4252125</v>
      </c>
      <c r="D42" s="174">
        <f t="shared" ref="D42:D50" si="5">AVERAGE($D$36:$D$40)</f>
        <v>2.0886240711788219E-2</v>
      </c>
      <c r="E42" s="175">
        <f>E41*(1+'Inflation projection'!C38)</f>
        <v>1.0435514027933994</v>
      </c>
      <c r="F42" s="219">
        <f t="shared" si="3"/>
        <v>189316405.17495406</v>
      </c>
    </row>
    <row r="43" spans="2:6" x14ac:dyDescent="0.2">
      <c r="B43" s="165">
        <f t="shared" ref="B43:B50" si="6">B42+1</f>
        <v>2024</v>
      </c>
      <c r="C43" s="215">
        <f t="shared" si="4"/>
        <v>185204593.3403742</v>
      </c>
      <c r="D43" s="174">
        <f t="shared" si="5"/>
        <v>2.0886240711788219E-2</v>
      </c>
      <c r="E43" s="175">
        <f>1+'Inflation projection'!C39</f>
        <v>1.0193970289732914</v>
      </c>
      <c r="F43" s="219">
        <f t="shared" si="3"/>
        <v>188797012.2033841</v>
      </c>
    </row>
    <row r="44" spans="2:6" x14ac:dyDescent="0.2">
      <c r="B44" s="165">
        <f t="shared" si="6"/>
        <v>2025</v>
      </c>
      <c r="C44" s="215">
        <f t="shared" si="4"/>
        <v>189072821.0578101</v>
      </c>
      <c r="D44" s="174">
        <f t="shared" si="5"/>
        <v>2.0886240711788219E-2</v>
      </c>
      <c r="E44" s="175">
        <f>E43*(1+'Inflation projection'!C40)</f>
        <v>1.0392005710930914</v>
      </c>
      <c r="F44" s="219">
        <f t="shared" si="3"/>
        <v>196484583.62145814</v>
      </c>
    </row>
    <row r="45" spans="2:6" x14ac:dyDescent="0.2">
      <c r="B45" s="165">
        <f t="shared" si="6"/>
        <v>2026</v>
      </c>
      <c r="C45" s="215">
        <f t="shared" si="4"/>
        <v>193021841.51048037</v>
      </c>
      <c r="D45" s="174">
        <f t="shared" si="5"/>
        <v>2.0886240711788219E-2</v>
      </c>
      <c r="E45" s="175">
        <f>1+'Inflation projection'!C41</f>
        <v>1.0184307910015098</v>
      </c>
      <c r="F45" s="219">
        <f t="shared" si="3"/>
        <v>196579386.73008659</v>
      </c>
    </row>
    <row r="46" spans="2:6" x14ac:dyDescent="0.2">
      <c r="B46" s="165">
        <f t="shared" si="6"/>
        <v>2027</v>
      </c>
      <c r="C46" s="215">
        <f t="shared" si="4"/>
        <v>197053342.15490091</v>
      </c>
      <c r="D46" s="174">
        <f t="shared" si="5"/>
        <v>2.0886240711788219E-2</v>
      </c>
      <c r="E46" s="175">
        <f>E45*(1+'Inflation projection'!C42)</f>
        <v>1.0445023417632724</v>
      </c>
      <c r="F46" s="219">
        <f t="shared" si="3"/>
        <v>205822677.33307335</v>
      </c>
    </row>
    <row r="47" spans="2:6" x14ac:dyDescent="0.2">
      <c r="B47" s="165">
        <f t="shared" si="6"/>
        <v>2028</v>
      </c>
      <c r="C47" s="215">
        <f t="shared" si="4"/>
        <v>201169045.69221053</v>
      </c>
      <c r="D47" s="174">
        <f t="shared" si="5"/>
        <v>2.0886240711788219E-2</v>
      </c>
      <c r="E47" s="175">
        <f>1+'Inflation projection'!C43</f>
        <v>1.0220578138103</v>
      </c>
      <c r="F47" s="219">
        <f t="shared" si="3"/>
        <v>205606395.04648504</v>
      </c>
    </row>
    <row r="48" spans="2:6" x14ac:dyDescent="0.2">
      <c r="B48" s="165">
        <f t="shared" si="6"/>
        <v>2029</v>
      </c>
      <c r="C48" s="215">
        <f t="shared" si="4"/>
        <v>205370710.80429876</v>
      </c>
      <c r="D48" s="174">
        <f t="shared" si="5"/>
        <v>2.0886240711788219E-2</v>
      </c>
      <c r="E48" s="175">
        <f>E47*(1+'Inflation projection'!C44)</f>
        <v>1.0474796418705934</v>
      </c>
      <c r="F48" s="219">
        <f t="shared" si="3"/>
        <v>215121638.60399607</v>
      </c>
    </row>
    <row r="49" spans="2:11" x14ac:dyDescent="0.2">
      <c r="B49" s="165">
        <f t="shared" si="6"/>
        <v>2030</v>
      </c>
      <c r="C49" s="215">
        <f t="shared" si="4"/>
        <v>209660132.9053084</v>
      </c>
      <c r="D49" s="174">
        <f t="shared" si="5"/>
        <v>2.0886240711788219E-2</v>
      </c>
      <c r="E49" s="175">
        <f>1+'Inflation projection'!C45</f>
        <v>1.0246076233830512</v>
      </c>
      <c r="F49" s="219">
        <f t="shared" si="3"/>
        <v>214819370.49428269</v>
      </c>
    </row>
    <row r="50" spans="2:11" x14ac:dyDescent="0.2">
      <c r="B50" s="166">
        <f t="shared" si="6"/>
        <v>2031</v>
      </c>
      <c r="C50" s="216">
        <f t="shared" si="4"/>
        <v>214039144.90883419</v>
      </c>
      <c r="D50" s="176">
        <f t="shared" si="5"/>
        <v>2.0886240711788219E-2</v>
      </c>
      <c r="E50" s="177">
        <f>1+'Inflation projection'!C46</f>
        <v>1.0247643388003596</v>
      </c>
      <c r="F50" s="220">
        <f t="shared" si="3"/>
        <v>219339682.80989581</v>
      </c>
    </row>
    <row r="51" spans="2:11" ht="16" thickBot="1" x14ac:dyDescent="0.25">
      <c r="C51" s="162"/>
      <c r="D51" s="168"/>
      <c r="E51" s="169"/>
    </row>
    <row r="52" spans="2:11" ht="33" customHeight="1" thickBot="1" x14ac:dyDescent="0.25">
      <c r="C52" s="193" t="s">
        <v>75</v>
      </c>
      <c r="D52" s="191" t="s">
        <v>240</v>
      </c>
      <c r="E52" s="198" t="s">
        <v>77</v>
      </c>
      <c r="F52" s="192" t="s">
        <v>78</v>
      </c>
    </row>
    <row r="53" spans="2:11" x14ac:dyDescent="0.2">
      <c r="B53" s="183">
        <v>2022</v>
      </c>
      <c r="C53" s="221">
        <f t="shared" ref="C53:C62" si="7">F41</f>
        <v>181886926.3653425</v>
      </c>
      <c r="D53" s="187">
        <v>0.3</v>
      </c>
      <c r="E53" s="189">
        <f>50%</f>
        <v>0.5</v>
      </c>
      <c r="F53" s="224">
        <f t="shared" ref="F53:F62" si="8">C53*D53*(1-E53)</f>
        <v>27283038.954801373</v>
      </c>
    </row>
    <row r="54" spans="2:11" x14ac:dyDescent="0.2">
      <c r="B54" s="184">
        <f t="shared" ref="B54:B62" si="9">B53+1</f>
        <v>2023</v>
      </c>
      <c r="C54" s="222">
        <f t="shared" si="7"/>
        <v>189316405.17495406</v>
      </c>
      <c r="D54" s="187">
        <v>0.3</v>
      </c>
      <c r="E54" s="189">
        <f>35%</f>
        <v>0.35</v>
      </c>
      <c r="F54" s="224">
        <f t="shared" si="8"/>
        <v>36916699.009116046</v>
      </c>
    </row>
    <row r="55" spans="2:11" x14ac:dyDescent="0.2">
      <c r="B55" s="184">
        <f t="shared" si="9"/>
        <v>2024</v>
      </c>
      <c r="C55" s="222">
        <f t="shared" si="7"/>
        <v>188797012.2033841</v>
      </c>
      <c r="D55" s="187">
        <v>0.3</v>
      </c>
      <c r="E55" s="189">
        <f>20%</f>
        <v>0.2</v>
      </c>
      <c r="F55" s="224">
        <f t="shared" si="8"/>
        <v>45311282.928812183</v>
      </c>
    </row>
    <row r="56" spans="2:11" x14ac:dyDescent="0.2">
      <c r="B56" s="184">
        <f t="shared" si="9"/>
        <v>2025</v>
      </c>
      <c r="C56" s="222">
        <f t="shared" si="7"/>
        <v>196484583.62145814</v>
      </c>
      <c r="D56" s="187">
        <v>0.3</v>
      </c>
      <c r="E56" s="189">
        <f>10%</f>
        <v>0.1</v>
      </c>
      <c r="F56" s="224">
        <f t="shared" si="8"/>
        <v>53050837.577793695</v>
      </c>
      <c r="J56" s="71"/>
      <c r="K56" s="71"/>
    </row>
    <row r="57" spans="2:11" x14ac:dyDescent="0.2">
      <c r="B57" s="184">
        <f t="shared" si="9"/>
        <v>2026</v>
      </c>
      <c r="C57" s="222">
        <f t="shared" si="7"/>
        <v>196579386.73008659</v>
      </c>
      <c r="D57" s="187">
        <v>0.3</v>
      </c>
      <c r="E57" s="189">
        <v>0</v>
      </c>
      <c r="F57" s="224">
        <f t="shared" si="8"/>
        <v>58973816.019025974</v>
      </c>
    </row>
    <row r="58" spans="2:11" x14ac:dyDescent="0.2">
      <c r="B58" s="184">
        <f t="shared" si="9"/>
        <v>2027</v>
      </c>
      <c r="C58" s="222">
        <f t="shared" si="7"/>
        <v>205822677.33307335</v>
      </c>
      <c r="D58" s="187">
        <v>0.3</v>
      </c>
      <c r="E58" s="189">
        <v>0</v>
      </c>
      <c r="F58" s="224">
        <f t="shared" si="8"/>
        <v>61746803.199922003</v>
      </c>
    </row>
    <row r="59" spans="2:11" x14ac:dyDescent="0.2">
      <c r="B59" s="184">
        <f t="shared" si="9"/>
        <v>2028</v>
      </c>
      <c r="C59" s="222">
        <f t="shared" si="7"/>
        <v>205606395.04648504</v>
      </c>
      <c r="D59" s="187">
        <v>0.3</v>
      </c>
      <c r="E59" s="189">
        <v>0</v>
      </c>
      <c r="F59" s="224">
        <f t="shared" si="8"/>
        <v>61681918.513945505</v>
      </c>
    </row>
    <row r="60" spans="2:11" x14ac:dyDescent="0.2">
      <c r="B60" s="184">
        <f t="shared" si="9"/>
        <v>2029</v>
      </c>
      <c r="C60" s="222">
        <f t="shared" si="7"/>
        <v>215121638.60399607</v>
      </c>
      <c r="D60" s="187">
        <v>0.3</v>
      </c>
      <c r="E60" s="189">
        <v>0</v>
      </c>
      <c r="F60" s="224">
        <f t="shared" si="8"/>
        <v>64536491.581198819</v>
      </c>
    </row>
    <row r="61" spans="2:11" x14ac:dyDescent="0.2">
      <c r="B61" s="184">
        <f t="shared" si="9"/>
        <v>2030</v>
      </c>
      <c r="C61" s="222">
        <f t="shared" si="7"/>
        <v>214819370.49428269</v>
      </c>
      <c r="D61" s="187">
        <v>0.3</v>
      </c>
      <c r="E61" s="189">
        <v>0</v>
      </c>
      <c r="F61" s="224">
        <f t="shared" si="8"/>
        <v>64445811.148284808</v>
      </c>
    </row>
    <row r="62" spans="2:11" ht="16" thickBot="1" x14ac:dyDescent="0.25">
      <c r="B62" s="185">
        <f t="shared" si="9"/>
        <v>2031</v>
      </c>
      <c r="C62" s="223">
        <f t="shared" si="7"/>
        <v>219339682.80989581</v>
      </c>
      <c r="D62" s="188">
        <v>0.3</v>
      </c>
      <c r="E62" s="190">
        <v>0</v>
      </c>
      <c r="F62" s="225">
        <f t="shared" si="8"/>
        <v>65801904.84296874</v>
      </c>
    </row>
    <row r="63" spans="2:11" x14ac:dyDescent="0.2">
      <c r="C63" s="162"/>
      <c r="D63" s="189"/>
      <c r="E63" s="189"/>
      <c r="F63" s="163"/>
    </row>
    <row r="64" spans="2:11" x14ac:dyDescent="0.2">
      <c r="C64" s="162"/>
      <c r="D64" s="189"/>
      <c r="E64" s="189"/>
      <c r="F64" s="163"/>
    </row>
    <row r="65" spans="2:6" x14ac:dyDescent="0.2">
      <c r="C65" s="162"/>
      <c r="D65" s="189"/>
      <c r="E65" s="189"/>
      <c r="F65" s="163"/>
    </row>
    <row r="66" spans="2:6" ht="15.75" customHeight="1" x14ac:dyDescent="0.2">
      <c r="B66" s="34" t="s">
        <v>79</v>
      </c>
    </row>
    <row r="67" spans="2:6" x14ac:dyDescent="0.2">
      <c r="B67" s="56" t="s">
        <v>1</v>
      </c>
      <c r="C67" s="54" t="s">
        <v>80</v>
      </c>
      <c r="D67" t="s">
        <v>81</v>
      </c>
    </row>
    <row r="68" spans="2:6" x14ac:dyDescent="0.2">
      <c r="B68" s="91">
        <v>2026</v>
      </c>
      <c r="C68" s="155">
        <f>C27*PRODUCT('Inflation projection'!F31:F40)</f>
        <v>205029726.22272572</v>
      </c>
    </row>
    <row r="69" spans="2:6" x14ac:dyDescent="0.2">
      <c r="B69" s="91">
        <v>2027</v>
      </c>
      <c r="C69" s="155">
        <f>C28*PRODUCT('Inflation projection'!F32:F41)</f>
        <v>211971891.43969834</v>
      </c>
    </row>
    <row r="70" spans="2:6" x14ac:dyDescent="0.2">
      <c r="B70" s="91">
        <v>2028</v>
      </c>
      <c r="C70" s="155">
        <f>C29*PRODUCT('Inflation projection'!F33:F42)</f>
        <v>231132335.36306745</v>
      </c>
    </row>
    <row r="71" spans="2:6" x14ac:dyDescent="0.2">
      <c r="B71" s="91">
        <v>2029</v>
      </c>
      <c r="C71" s="155">
        <f>C30*PRODUCT('Inflation projection'!F34:F43)</f>
        <v>220543880.16042989</v>
      </c>
    </row>
    <row r="72" spans="2:6" x14ac:dyDescent="0.2">
      <c r="B72" s="91">
        <v>2030</v>
      </c>
      <c r="C72" s="155">
        <f>C31*PRODUCT('Inflation projection'!F35:F44)</f>
        <v>238283429.33325103</v>
      </c>
    </row>
    <row r="73" spans="2:6" x14ac:dyDescent="0.2">
      <c r="B73" s="93">
        <v>2031</v>
      </c>
      <c r="C73" s="156">
        <f>C32*PRODUCT('Inflation projection'!F36:F45)</f>
        <v>225550407.39713645</v>
      </c>
    </row>
    <row r="75" spans="2:6" x14ac:dyDescent="0.2">
      <c r="B75" s="56" t="s">
        <v>1</v>
      </c>
      <c r="C75" s="44" t="s">
        <v>82</v>
      </c>
      <c r="D75" s="46" t="s">
        <v>83</v>
      </c>
      <c r="E75" s="54" t="s">
        <v>84</v>
      </c>
      <c r="F75" s="54" t="s">
        <v>76</v>
      </c>
    </row>
    <row r="76" spans="2:6" x14ac:dyDescent="0.2">
      <c r="B76" s="91">
        <v>2022</v>
      </c>
      <c r="C76" s="157">
        <v>10000000</v>
      </c>
      <c r="D76" s="161">
        <f>C76*$F$76</f>
        <v>4500000</v>
      </c>
      <c r="E76" s="156">
        <f>(C80-C76)/4</f>
        <v>48757431.55568143</v>
      </c>
      <c r="F76" s="160">
        <v>0.45</v>
      </c>
    </row>
    <row r="77" spans="2:6" x14ac:dyDescent="0.2">
      <c r="B77" s="91">
        <f>B76+1</f>
        <v>2023</v>
      </c>
      <c r="C77" s="157">
        <f>C76+$E$76</f>
        <v>58757431.55568143</v>
      </c>
      <c r="D77" s="161">
        <f t="shared" ref="D77:D85" si="10">C77*$F$76</f>
        <v>26440844.200056642</v>
      </c>
    </row>
    <row r="78" spans="2:6" x14ac:dyDescent="0.2">
      <c r="B78" s="91">
        <f t="shared" ref="B78:B85" si="11">B77+1</f>
        <v>2024</v>
      </c>
      <c r="C78" s="157">
        <f>C77+$E$76</f>
        <v>107514863.11136286</v>
      </c>
      <c r="D78" s="161">
        <f>C78*$F$76</f>
        <v>48381688.400113285</v>
      </c>
    </row>
    <row r="79" spans="2:6" x14ac:dyDescent="0.2">
      <c r="B79" s="91">
        <f t="shared" si="11"/>
        <v>2025</v>
      </c>
      <c r="C79" s="157">
        <f>C78+$E$76</f>
        <v>156272294.66704428</v>
      </c>
      <c r="D79" s="161">
        <f t="shared" si="10"/>
        <v>70322532.600169927</v>
      </c>
    </row>
    <row r="80" spans="2:6" x14ac:dyDescent="0.2">
      <c r="B80" s="91">
        <f t="shared" si="11"/>
        <v>2026</v>
      </c>
      <c r="C80" s="157">
        <f>C68</f>
        <v>205029726.22272572</v>
      </c>
      <c r="D80" s="161">
        <f>C80*$F$76</f>
        <v>92263376.800226569</v>
      </c>
    </row>
    <row r="81" spans="2:4" x14ac:dyDescent="0.2">
      <c r="B81" s="91">
        <f t="shared" si="11"/>
        <v>2027</v>
      </c>
      <c r="C81" s="157">
        <f t="shared" ref="C81:C85" si="12">C69</f>
        <v>211971891.43969834</v>
      </c>
      <c r="D81" s="161">
        <f t="shared" si="10"/>
        <v>95387351.147864252</v>
      </c>
    </row>
    <row r="82" spans="2:4" x14ac:dyDescent="0.2">
      <c r="B82" s="91">
        <f t="shared" si="11"/>
        <v>2028</v>
      </c>
      <c r="C82" s="157">
        <f t="shared" si="12"/>
        <v>231132335.36306745</v>
      </c>
      <c r="D82" s="161">
        <f t="shared" si="10"/>
        <v>104009550.91338035</v>
      </c>
    </row>
    <row r="83" spans="2:4" x14ac:dyDescent="0.2">
      <c r="B83" s="91">
        <f t="shared" si="11"/>
        <v>2029</v>
      </c>
      <c r="C83" s="157">
        <f>C71</f>
        <v>220543880.16042989</v>
      </c>
      <c r="D83" s="161">
        <f t="shared" si="10"/>
        <v>99244746.072193459</v>
      </c>
    </row>
    <row r="84" spans="2:4" x14ac:dyDescent="0.2">
      <c r="B84" s="91">
        <f t="shared" si="11"/>
        <v>2030</v>
      </c>
      <c r="C84" s="157">
        <f t="shared" si="12"/>
        <v>238283429.33325103</v>
      </c>
      <c r="D84" s="161">
        <f t="shared" si="10"/>
        <v>107227543.19996296</v>
      </c>
    </row>
    <row r="85" spans="2:4" x14ac:dyDescent="0.2">
      <c r="B85" s="93">
        <f t="shared" si="11"/>
        <v>2031</v>
      </c>
      <c r="C85" s="158">
        <f t="shared" si="12"/>
        <v>225550407.39713645</v>
      </c>
      <c r="D85" s="159">
        <f t="shared" si="10"/>
        <v>101497683.32871141</v>
      </c>
    </row>
  </sheetData>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3025C-232A-B84B-AED6-B3F9FC4D5D53}">
  <sheetPr>
    <tabColor theme="9" tint="0.79998168889431442"/>
  </sheetPr>
  <dimension ref="B2:Z60"/>
  <sheetViews>
    <sheetView showGridLines="0" workbookViewId="0">
      <selection activeCell="AB28" sqref="AB28"/>
    </sheetView>
  </sheetViews>
  <sheetFormatPr baseColWidth="10" defaultColWidth="11.5" defaultRowHeight="15" x14ac:dyDescent="0.2"/>
  <cols>
    <col min="2" max="2" width="26.1640625" customWidth="1"/>
    <col min="3" max="3" width="10.5" hidden="1" customWidth="1"/>
    <col min="4" max="4" width="11.1640625" hidden="1" customWidth="1"/>
    <col min="5" max="5" width="8" hidden="1" customWidth="1"/>
    <col min="6" max="6" width="7.5" hidden="1" customWidth="1"/>
    <col min="7" max="7" width="7.1640625" hidden="1" customWidth="1"/>
    <col min="8" max="8" width="14" hidden="1" customWidth="1"/>
    <col min="9" max="9" width="7.1640625" hidden="1" customWidth="1"/>
    <col min="10" max="10" width="7.83203125" hidden="1" customWidth="1"/>
    <col min="11" max="11" width="13.5" hidden="1" customWidth="1"/>
    <col min="12" max="12" width="16.5" hidden="1" customWidth="1"/>
    <col min="13" max="13" width="13.5" hidden="1" customWidth="1"/>
    <col min="14" max="14" width="7.1640625" hidden="1" customWidth="1"/>
    <col min="15" max="15" width="7.5" hidden="1" customWidth="1"/>
    <col min="16" max="16" width="16" hidden="1" customWidth="1"/>
    <col min="17" max="17" width="19.5" hidden="1" customWidth="1"/>
    <col min="18" max="18" width="8.5" hidden="1" customWidth="1"/>
    <col min="19" max="19" width="7.1640625" bestFit="1" customWidth="1"/>
    <col min="20" max="20" width="12.5" hidden="1" customWidth="1"/>
    <col min="21" max="21" width="13.1640625" hidden="1" customWidth="1"/>
    <col min="22" max="22" width="19.5" hidden="1" customWidth="1"/>
    <col min="23" max="23" width="7.1640625" hidden="1" customWidth="1"/>
    <col min="24" max="25" width="18.5" customWidth="1"/>
  </cols>
  <sheetData>
    <row r="2" spans="2:26" x14ac:dyDescent="0.2">
      <c r="B2" s="70" t="s">
        <v>12</v>
      </c>
    </row>
    <row r="4" spans="2:26" x14ac:dyDescent="0.2">
      <c r="B4" s="46" t="s">
        <v>1</v>
      </c>
      <c r="C4" s="44" t="str" cm="1">
        <f t="array" ref="C4:W4">TRANSPOSE(Revenue!$A$3:$A$23)</f>
        <v>Bernepamar</v>
      </c>
      <c r="D4" s="44" t="str">
        <v>Byasier Pujan</v>
      </c>
      <c r="E4" s="44" t="str">
        <v>Cuandbo</v>
      </c>
      <c r="F4" s="44" t="str">
        <v>Djipines</v>
      </c>
      <c r="G4" s="44" t="str">
        <v>Dosqaly</v>
      </c>
      <c r="H4" s="44" t="str">
        <v>Eastern Sleboube</v>
      </c>
      <c r="I4" s="44" t="str">
        <v>Esia</v>
      </c>
      <c r="J4" s="44" t="str">
        <v>Galamily</v>
      </c>
      <c r="K4" s="44" t="str">
        <v>Giumle Lizeibon</v>
      </c>
      <c r="L4" s="44" t="str">
        <v>Greri Landmoslands</v>
      </c>
      <c r="M4" s="44" t="str">
        <v>Manlisgamncent</v>
      </c>
      <c r="N4" s="44" t="str">
        <v>Mico</v>
      </c>
      <c r="O4" s="44" t="str">
        <v>Nganion</v>
      </c>
      <c r="P4" s="44" t="str">
        <v>Nkasland Cronestan</v>
      </c>
      <c r="Q4" s="44" t="str">
        <v>People's Land of Maneau</v>
      </c>
      <c r="R4" s="44" t="str">
        <v>Quewenia</v>
      </c>
      <c r="S4" s="44" t="str">
        <v>Rarita</v>
      </c>
      <c r="T4" s="44" t="str">
        <v>Sobianitedrucy</v>
      </c>
      <c r="U4" s="44" t="str">
        <v>Southern Ristan</v>
      </c>
      <c r="V4" s="44" t="str">
        <v>Unicorporated Tiagascar</v>
      </c>
      <c r="W4" s="54" t="str">
        <v>Xikong</v>
      </c>
      <c r="X4" s="46" t="s">
        <v>85</v>
      </c>
      <c r="Y4" s="54" t="s">
        <v>86</v>
      </c>
      <c r="Z4" s="34"/>
    </row>
    <row r="5" spans="2:26" x14ac:dyDescent="0.2">
      <c r="B5" s="47">
        <v>2016</v>
      </c>
      <c r="C5" s="33">
        <f>INDEX(Revenue!$R$3:$U$23,MATCH(C$4,Revenue!$A$3:$A$23,0),MATCH($B$2,Revenue!$R$2:$U$2,0))</f>
        <v>93.87</v>
      </c>
      <c r="D5" s="33">
        <f>INDEX(Revenue!$R$3:$U$23,MATCH(D$4,Revenue!$A$3:$A$23,0),MATCH($B$2,Revenue!$R$2:$U$2,0))</f>
        <v>295.5</v>
      </c>
      <c r="E5" s="33">
        <f>INDEX(Revenue!$R$3:$U$23,MATCH(E$4,Revenue!$A$3:$A$23,0),MATCH($B$2,Revenue!$R$2:$U$2,0))</f>
        <v>263.39</v>
      </c>
      <c r="F5" s="33">
        <f>INDEX(Revenue!$R$3:$U$23,MATCH(F$4,Revenue!$A$3:$A$23,0),MATCH($B$2,Revenue!$R$2:$U$2,0))</f>
        <v>237.79999999999998</v>
      </c>
      <c r="G5" s="33">
        <f>INDEX(Revenue!$R$3:$U$23,MATCH(G$4,Revenue!$A$3:$A$23,0),MATCH($B$2,Revenue!$R$2:$U$2,0))</f>
        <v>283.35000000000002</v>
      </c>
      <c r="H5" s="33">
        <f>INDEX(Revenue!$R$3:$U$23,MATCH(H$4,Revenue!$A$3:$A$23,0),MATCH($B$2,Revenue!$R$2:$U$2,0))</f>
        <v>112.08</v>
      </c>
      <c r="I5" s="33">
        <f>INDEX(Revenue!$R$3:$U$23,MATCH(I$4,Revenue!$A$3:$A$23,0),MATCH($B$2,Revenue!$R$2:$U$2,0))</f>
        <v>240.60999999999999</v>
      </c>
      <c r="J5" s="33">
        <f>INDEX(Revenue!$R$3:$U$23,MATCH(J$4,Revenue!$A$3:$A$23,0),MATCH($B$2,Revenue!$R$2:$U$2,0))</f>
        <v>200.87</v>
      </c>
      <c r="K5" s="33">
        <f>INDEX(Revenue!$R$3:$U$23,MATCH(K$4,Revenue!$A$3:$A$23,0),MATCH($B$2,Revenue!$R$2:$U$2,0))</f>
        <v>211.59</v>
      </c>
      <c r="L5" s="33">
        <f>INDEX(Revenue!$R$3:$U$23,MATCH(L$4,Revenue!$A$3:$A$23,0),MATCH($B$2,Revenue!$R$2:$U$2,0))</f>
        <v>239.99</v>
      </c>
      <c r="M5" s="33">
        <f>INDEX(Revenue!$R$3:$U$23,MATCH(M$4,Revenue!$A$3:$A$23,0),MATCH($B$2,Revenue!$R$2:$U$2,0))</f>
        <v>252.32</v>
      </c>
      <c r="N5" s="33">
        <f>INDEX(Revenue!$R$3:$U$23,MATCH(N$4,Revenue!$A$3:$A$23,0),MATCH($B$2,Revenue!$R$2:$U$2,0))</f>
        <v>420.77</v>
      </c>
      <c r="O5" s="33">
        <f>INDEX(Revenue!$R$3:$U$23,MATCH(O$4,Revenue!$A$3:$A$23,0),MATCH($B$2,Revenue!$R$2:$U$2,0))</f>
        <v>389.95</v>
      </c>
      <c r="P5" s="33">
        <f>INDEX(Revenue!$R$3:$U$23,MATCH(P$4,Revenue!$A$3:$A$23,0),MATCH($B$2,Revenue!$R$2:$U$2,0))</f>
        <v>136.17000000000002</v>
      </c>
      <c r="Q5" s="33">
        <f>INDEX(Revenue!$R$3:$U$23,MATCH(Q$4,Revenue!$A$3:$A$23,0),MATCH($B$2,Revenue!$R$2:$U$2,0))</f>
        <v>469.29</v>
      </c>
      <c r="R5" s="33">
        <f>INDEX(Revenue!$R$3:$U$23,MATCH(R$4,Revenue!$A$3:$A$23,0),MATCH($B$2,Revenue!$R$2:$U$2,0))</f>
        <v>335.55</v>
      </c>
      <c r="S5" s="33">
        <f>INDEX(Revenue!$R$3:$U$23,MATCH(S$4,Revenue!$A$3:$A$23,0),MATCH($B$2,Revenue!$R$2:$U$2,0))</f>
        <v>146.24</v>
      </c>
      <c r="T5" s="33">
        <f>INDEX(Revenue!$R$3:$U$23,MATCH(T$4,Revenue!$A$3:$A$23,0),MATCH($B$2,Revenue!$R$2:$U$2,0))</f>
        <v>368.13</v>
      </c>
      <c r="U5" s="33">
        <f>INDEX(Revenue!$R$3:$U$23,MATCH(U$4,Revenue!$A$3:$A$23,0),MATCH($B$2,Revenue!$R$2:$U$2,0))</f>
        <v>405.85</v>
      </c>
      <c r="V5" s="33">
        <f>INDEX(Revenue!$R$3:$U$23,MATCH(V$4,Revenue!$A$3:$A$23,0),MATCH($B$2,Revenue!$R$2:$U$2,0))</f>
        <v>160.41000000000003</v>
      </c>
      <c r="W5" s="53">
        <f>INDEX(Revenue!$R$3:$U$23,MATCH(W$4,Revenue!$A$3:$A$23,0),MATCH($B$2,Revenue!$R$2:$U$2,0))</f>
        <v>143.56</v>
      </c>
      <c r="X5" s="47" cm="1">
        <f t="array" ref="X5">INDEX('Population projection'!$F$3:$F$23,MATCH('Revenue projection'!B5,'Population projection'!$B$3:$B$23,0),)</f>
        <v>12331271</v>
      </c>
      <c r="Y5" s="57">
        <f>X5*S5</f>
        <v>1803325071.0400002</v>
      </c>
    </row>
    <row r="6" spans="2:26" x14ac:dyDescent="0.2">
      <c r="B6" s="47">
        <f>B5+1</f>
        <v>2017</v>
      </c>
      <c r="C6" s="33">
        <f>INDEX(Revenue!$N$3:$Q$23,MATCH(C$4,Revenue!$A$3:$A$23,0),MATCH($B$2,Revenue!$R$2:$U$2,0))</f>
        <v>137.35000000000002</v>
      </c>
      <c r="D6" s="33">
        <f>INDEX(Revenue!$N$3:$Q$23,MATCH(D$4,Revenue!$A$3:$A$23,0),MATCH($B$2,Revenue!$R$2:$U$2,0))</f>
        <v>295.43</v>
      </c>
      <c r="E6" s="33">
        <f>INDEX(Revenue!$N$3:$Q$23,MATCH(E$4,Revenue!$A$3:$A$23,0),MATCH($B$2,Revenue!$R$2:$U$2,0))</f>
        <v>315.69</v>
      </c>
      <c r="F6" s="33">
        <f>INDEX(Revenue!$N$3:$Q$23,MATCH(F$4,Revenue!$A$3:$A$23,0),MATCH($B$2,Revenue!$R$2:$U$2,0))</f>
        <v>261.60000000000002</v>
      </c>
      <c r="G6" s="33">
        <f>INDEX(Revenue!$N$3:$Q$23,MATCH(G$4,Revenue!$A$3:$A$23,0),MATCH($B$2,Revenue!$R$2:$U$2,0))</f>
        <v>263.55</v>
      </c>
      <c r="H6" s="33">
        <f>INDEX(Revenue!$N$3:$Q$23,MATCH(H$4,Revenue!$A$3:$A$23,0),MATCH($B$2,Revenue!$R$2:$U$2,0))</f>
        <v>103.38</v>
      </c>
      <c r="I6" s="33">
        <f>INDEX(Revenue!$N$3:$Q$23,MATCH(I$4,Revenue!$A$3:$A$23,0),MATCH($B$2,Revenue!$R$2:$U$2,0))</f>
        <v>237.68</v>
      </c>
      <c r="J6" s="33">
        <f>INDEX(Revenue!$N$3:$Q$23,MATCH(J$4,Revenue!$A$3:$A$23,0),MATCH($B$2,Revenue!$R$2:$U$2,0))</f>
        <v>247.92000000000002</v>
      </c>
      <c r="K6" s="33">
        <f>INDEX(Revenue!$N$3:$Q$23,MATCH(K$4,Revenue!$A$3:$A$23,0),MATCH($B$2,Revenue!$R$2:$U$2,0))</f>
        <v>291.84999999999997</v>
      </c>
      <c r="L6" s="33">
        <f>INDEX(Revenue!$N$3:$Q$23,MATCH(L$4,Revenue!$A$3:$A$23,0),MATCH($B$2,Revenue!$R$2:$U$2,0))</f>
        <v>253.08</v>
      </c>
      <c r="M6" s="33">
        <f>INDEX(Revenue!$N$3:$Q$23,MATCH(M$4,Revenue!$A$3:$A$23,0),MATCH($B$2,Revenue!$R$2:$U$2,0))</f>
        <v>299.43</v>
      </c>
      <c r="N6" s="33">
        <f>INDEX(Revenue!$N$3:$Q$23,MATCH(N$4,Revenue!$A$3:$A$23,0),MATCH($B$2,Revenue!$R$2:$U$2,0))</f>
        <v>400.3</v>
      </c>
      <c r="O6" s="33">
        <f>INDEX(Revenue!$N$3:$Q$23,MATCH(O$4,Revenue!$A$3:$A$23,0),MATCH($B$2,Revenue!$R$2:$U$2,0))</f>
        <v>407.23</v>
      </c>
      <c r="P6" s="33">
        <f>INDEX(Revenue!$N$3:$Q$23,MATCH(P$4,Revenue!$A$3:$A$23,0),MATCH($B$2,Revenue!$R$2:$U$2,0))</f>
        <v>174.44</v>
      </c>
      <c r="Q6" s="33">
        <f>INDEX(Revenue!$N$3:$Q$23,MATCH(Q$4,Revenue!$A$3:$A$23,0),MATCH($B$2,Revenue!$R$2:$U$2,0))</f>
        <v>457.14</v>
      </c>
      <c r="R6" s="33">
        <f>INDEX(Revenue!$N$3:$Q$23,MATCH(R$4,Revenue!$A$3:$A$23,0),MATCH($B$2,Revenue!$R$2:$U$2,0))</f>
        <v>345.92</v>
      </c>
      <c r="S6" s="33">
        <f>INDEX(Revenue!$N$3:$Q$23,MATCH(S$4,Revenue!$A$3:$A$23,0),MATCH($B$2,Revenue!$R$2:$U$2,0))</f>
        <v>155.81</v>
      </c>
      <c r="T6" s="33">
        <f>INDEX(Revenue!$N$3:$Q$23,MATCH(T$4,Revenue!$A$3:$A$23,0),MATCH($B$2,Revenue!$R$2:$U$2,0))</f>
        <v>441.34000000000003</v>
      </c>
      <c r="U6" s="33">
        <f>INDEX(Revenue!$N$3:$Q$23,MATCH(U$4,Revenue!$A$3:$A$23,0),MATCH($B$2,Revenue!$R$2:$U$2,0))</f>
        <v>439.49</v>
      </c>
      <c r="V6" s="33">
        <f>INDEX(Revenue!$N$3:$Q$23,MATCH(V$4,Revenue!$A$3:$A$23,0),MATCH($B$2,Revenue!$R$2:$U$2,0))</f>
        <v>166.41000000000003</v>
      </c>
      <c r="W6" s="53">
        <f>INDEX(Revenue!$N$3:$Q$23,MATCH(W$4,Revenue!$A$3:$A$23,0),MATCH($B$2,Revenue!$R$2:$U$2,0))</f>
        <v>169.58</v>
      </c>
      <c r="X6" s="47" cm="1">
        <f t="array" ref="X6">INDEX('Population projection'!$F$3:$F$23,MATCH('Revenue projection'!B6,'Population projection'!$B$3:$B$23,0),)</f>
        <v>12393007</v>
      </c>
      <c r="Y6" s="57">
        <f t="shared" ref="Y6:Y18" si="0">X6*S6</f>
        <v>1930954420.6700001</v>
      </c>
    </row>
    <row r="7" spans="2:26" x14ac:dyDescent="0.2">
      <c r="B7" s="47">
        <f t="shared" ref="B7:B18" si="1">B6+1</f>
        <v>2018</v>
      </c>
      <c r="C7" s="33">
        <f>INDEX(Revenue!$J$3:$M$23,MATCH(C$4,Revenue!$A$3:$A$23,0),MATCH($B$2,Revenue!$R$2:$U$2,0))</f>
        <v>147.94</v>
      </c>
      <c r="D7" s="33">
        <f>INDEX(Revenue!$J$3:$M$23,MATCH(D$4,Revenue!$A$3:$A$23,0),MATCH($B$2,Revenue!$R$2:$U$2,0))</f>
        <v>316.52</v>
      </c>
      <c r="E7" s="33">
        <f>INDEX(Revenue!$J$3:$M$23,MATCH(E$4,Revenue!$A$3:$A$23,0),MATCH($B$2,Revenue!$R$2:$U$2,0))</f>
        <v>327.33</v>
      </c>
      <c r="F7" s="33">
        <f>INDEX(Revenue!$J$3:$M$23,MATCH(F$4,Revenue!$A$3:$A$23,0),MATCH($B$2,Revenue!$R$2:$U$2,0))</f>
        <v>317.51</v>
      </c>
      <c r="G7" s="33">
        <f>INDEX(Revenue!$J$3:$M$23,MATCH(G$4,Revenue!$A$3:$A$23,0),MATCH($B$2,Revenue!$R$2:$U$2,0))</f>
        <v>293.11</v>
      </c>
      <c r="H7" s="33">
        <f>INDEX(Revenue!$J$3:$M$23,MATCH(H$4,Revenue!$A$3:$A$23,0),MATCH($B$2,Revenue!$R$2:$U$2,0))</f>
        <v>95.4</v>
      </c>
      <c r="I7" s="33">
        <f>INDEX(Revenue!$J$3:$M$23,MATCH(I$4,Revenue!$A$3:$A$23,0),MATCH($B$2,Revenue!$R$2:$U$2,0))</f>
        <v>253.89</v>
      </c>
      <c r="J7" s="33">
        <f>INDEX(Revenue!$J$3:$M$23,MATCH(J$4,Revenue!$A$3:$A$23,0),MATCH($B$2,Revenue!$R$2:$U$2,0))</f>
        <v>204.66000000000003</v>
      </c>
      <c r="K7" s="33">
        <f>INDEX(Revenue!$J$3:$M$23,MATCH(K$4,Revenue!$A$3:$A$23,0),MATCH($B$2,Revenue!$R$2:$U$2,0))</f>
        <v>265.74</v>
      </c>
      <c r="L7" s="33">
        <f>INDEX(Revenue!$J$3:$M$23,MATCH(L$4,Revenue!$A$3:$A$23,0),MATCH($B$2,Revenue!$R$2:$U$2,0))</f>
        <v>306.57</v>
      </c>
      <c r="M7" s="33">
        <f>INDEX(Revenue!$J$3:$M$23,MATCH(M$4,Revenue!$A$3:$A$23,0),MATCH($B$2,Revenue!$R$2:$U$2,0))</f>
        <v>287.59000000000003</v>
      </c>
      <c r="N7" s="33">
        <f>INDEX(Revenue!$J$3:$M$23,MATCH(N$4,Revenue!$A$3:$A$23,0),MATCH($B$2,Revenue!$R$2:$U$2,0))</f>
        <v>470.90999999999997</v>
      </c>
      <c r="O7" s="33">
        <f>INDEX(Revenue!$J$3:$M$23,MATCH(O$4,Revenue!$A$3:$A$23,0),MATCH($B$2,Revenue!$R$2:$U$2,0))</f>
        <v>431.7</v>
      </c>
      <c r="P7" s="33">
        <f>INDEX(Revenue!$J$3:$M$23,MATCH(P$4,Revenue!$A$3:$A$23,0),MATCH($B$2,Revenue!$R$2:$U$2,0))</f>
        <v>207.87</v>
      </c>
      <c r="Q7" s="33">
        <f>INDEX(Revenue!$J$3:$M$23,MATCH(Q$4,Revenue!$A$3:$A$23,0),MATCH($B$2,Revenue!$R$2:$U$2,0))</f>
        <v>447.46000000000004</v>
      </c>
      <c r="R7" s="33">
        <f>INDEX(Revenue!$J$3:$M$23,MATCH(R$4,Revenue!$A$3:$A$23,0),MATCH($B$2,Revenue!$R$2:$U$2,0))</f>
        <v>309.60000000000002</v>
      </c>
      <c r="S7" s="33">
        <f>INDEX(Revenue!$J$3:$M$23,MATCH(S$4,Revenue!$A$3:$A$23,0),MATCH($B$2,Revenue!$R$2:$U$2,0))</f>
        <v>163.81</v>
      </c>
      <c r="T7" s="33">
        <f>INDEX(Revenue!$J$3:$M$23,MATCH(T$4,Revenue!$A$3:$A$23,0),MATCH($B$2,Revenue!$R$2:$U$2,0))</f>
        <v>428.06</v>
      </c>
      <c r="U7" s="33">
        <f>INDEX(Revenue!$J$3:$M$23,MATCH(U$4,Revenue!$A$3:$A$23,0),MATCH($B$2,Revenue!$R$2:$U$2,0))</f>
        <v>486.83000000000004</v>
      </c>
      <c r="V7" s="33">
        <f>INDEX(Revenue!$J$3:$M$23,MATCH(V$4,Revenue!$A$3:$A$23,0),MATCH($B$2,Revenue!$R$2:$U$2,0))</f>
        <v>178.01</v>
      </c>
      <c r="W7" s="53">
        <f>INDEX(Revenue!$J$3:$M$23,MATCH(W$4,Revenue!$A$3:$A$23,0),MATCH($B$2,Revenue!$R$2:$U$2,0))</f>
        <v>186.66</v>
      </c>
      <c r="X7" s="47" cm="1">
        <f t="array" ref="X7">INDEX('Population projection'!$F$3:$F$23,MATCH('Revenue projection'!B7,'Population projection'!$B$3:$B$23,0),)</f>
        <v>12463353</v>
      </c>
      <c r="Y7" s="57">
        <f t="shared" si="0"/>
        <v>2041621854.9300001</v>
      </c>
    </row>
    <row r="8" spans="2:26" x14ac:dyDescent="0.2">
      <c r="B8" s="47">
        <f t="shared" si="1"/>
        <v>2019</v>
      </c>
      <c r="C8" s="33">
        <f>INDEX(Revenue!$F$3:$I$23,MATCH(C$4,Revenue!$A$3:$A$23,0),MATCH($B$2,Revenue!$R$2:$U$2,0))</f>
        <v>193.31</v>
      </c>
      <c r="D8" s="33">
        <f>INDEX(Revenue!$F$3:$I$23,MATCH(D$4,Revenue!$A$3:$A$23,0),MATCH($B$2,Revenue!$R$2:$U$2,0))</f>
        <v>337.11</v>
      </c>
      <c r="E8" s="33">
        <f>INDEX(Revenue!$F$3:$I$23,MATCH(E$4,Revenue!$A$3:$A$23,0),MATCH($B$2,Revenue!$R$2:$U$2,0))</f>
        <v>317.2</v>
      </c>
      <c r="F8" s="33">
        <f>INDEX(Revenue!$F$3:$I$23,MATCH(F$4,Revenue!$A$3:$A$23,0),MATCH($B$2,Revenue!$R$2:$U$2,0))</f>
        <v>449.32000000000005</v>
      </c>
      <c r="G8" s="33">
        <f>INDEX(Revenue!$F$3:$I$23,MATCH(G$4,Revenue!$A$3:$A$23,0),MATCH($B$2,Revenue!$R$2:$U$2,0))</f>
        <v>343.19</v>
      </c>
      <c r="H8" s="33">
        <f>INDEX(Revenue!$F$3:$I$23,MATCH(H$4,Revenue!$A$3:$A$23,0),MATCH($B$2,Revenue!$R$2:$U$2,0))</f>
        <v>102.87</v>
      </c>
      <c r="I8" s="33">
        <f>INDEX(Revenue!$F$3:$I$23,MATCH(I$4,Revenue!$A$3:$A$23,0),MATCH($B$2,Revenue!$R$2:$U$2,0))</f>
        <v>265.39</v>
      </c>
      <c r="J8" s="33">
        <f>INDEX(Revenue!$F$3:$I$23,MATCH(J$4,Revenue!$A$3:$A$23,0),MATCH($B$2,Revenue!$R$2:$U$2,0))</f>
        <v>272.23</v>
      </c>
      <c r="K8" s="33">
        <f>INDEX(Revenue!$F$3:$I$23,MATCH(K$4,Revenue!$A$3:$A$23,0),MATCH($B$2,Revenue!$R$2:$U$2,0))</f>
        <v>299.26</v>
      </c>
      <c r="L8" s="33">
        <f>INDEX(Revenue!$F$3:$I$23,MATCH(L$4,Revenue!$A$3:$A$23,0),MATCH($B$2,Revenue!$R$2:$U$2,0))</f>
        <v>360.76</v>
      </c>
      <c r="M8" s="33">
        <f>INDEX(Revenue!$F$3:$I$23,MATCH(M$4,Revenue!$A$3:$A$23,0),MATCH($B$2,Revenue!$R$2:$U$2,0))</f>
        <v>339.37</v>
      </c>
      <c r="N8" s="33">
        <f>INDEX(Revenue!$F$3:$I$23,MATCH(N$4,Revenue!$A$3:$A$23,0),MATCH($B$2,Revenue!$R$2:$U$2,0))</f>
        <v>475.72</v>
      </c>
      <c r="O8" s="33">
        <f>INDEX(Revenue!$F$3:$I$23,MATCH(O$4,Revenue!$A$3:$A$23,0),MATCH($B$2,Revenue!$R$2:$U$2,0))</f>
        <v>521.65000000000009</v>
      </c>
      <c r="P8" s="33">
        <f>INDEX(Revenue!$F$3:$I$23,MATCH(P$4,Revenue!$A$3:$A$23,0),MATCH($B$2,Revenue!$R$2:$U$2,0))</f>
        <v>252.99</v>
      </c>
      <c r="Q8" s="33">
        <f>INDEX(Revenue!$F$3:$I$23,MATCH(Q$4,Revenue!$A$3:$A$23,0),MATCH($B$2,Revenue!$R$2:$U$2,0))</f>
        <v>475.63</v>
      </c>
      <c r="R8" s="33">
        <f>INDEX(Revenue!$F$3:$I$23,MATCH(R$4,Revenue!$A$3:$A$23,0),MATCH($B$2,Revenue!$R$2:$U$2,0))</f>
        <v>311.59000000000003</v>
      </c>
      <c r="S8" s="33">
        <f>INDEX(Revenue!$F$3:$I$23,MATCH(S$4,Revenue!$A$3:$A$23,0),MATCH($B$2,Revenue!$R$2:$U$2,0))</f>
        <v>183.93</v>
      </c>
      <c r="T8" s="33">
        <f>INDEX(Revenue!$F$3:$I$23,MATCH(T$4,Revenue!$A$3:$A$23,0),MATCH($B$2,Revenue!$R$2:$U$2,0))</f>
        <v>506.65999999999997</v>
      </c>
      <c r="U8" s="33">
        <f>INDEX(Revenue!$F$3:$I$23,MATCH(U$4,Revenue!$A$3:$A$23,0),MATCH($B$2,Revenue!$R$2:$U$2,0))</f>
        <v>489.37</v>
      </c>
      <c r="V8" s="33">
        <f>INDEX(Revenue!$F$3:$I$23,MATCH(V$4,Revenue!$A$3:$A$23,0),MATCH($B$2,Revenue!$R$2:$U$2,0))</f>
        <v>238.75</v>
      </c>
      <c r="W8" s="53">
        <f>INDEX(Revenue!$F$3:$I$23,MATCH(W$4,Revenue!$A$3:$A$23,0),MATCH($B$2,Revenue!$R$2:$U$2,0))</f>
        <v>223.67</v>
      </c>
      <c r="X8" s="47" cm="1">
        <f t="array" ref="X8">INDEX('Population projection'!$F$3:$F$23,MATCH('Revenue projection'!B8,'Population projection'!$B$3:$B$23,0),)</f>
        <v>12548788</v>
      </c>
      <c r="Y8" s="57">
        <f t="shared" si="0"/>
        <v>2308098576.8400002</v>
      </c>
    </row>
    <row r="9" spans="2:26" x14ac:dyDescent="0.2">
      <c r="B9" s="48">
        <f t="shared" si="1"/>
        <v>2020</v>
      </c>
      <c r="C9" s="45">
        <f>INDEX(Revenue!$B$3:$E$23,MATCH(C$4,Revenue!$A$3:$A$23,0),MATCH($B$2,Revenue!$R$2:$U$2,0))</f>
        <v>155.73000000000002</v>
      </c>
      <c r="D9" s="45">
        <f>INDEX(Revenue!$B$3:$E$23,MATCH(D$4,Revenue!$A$3:$A$23,0),MATCH($B$2,Revenue!$R$2:$U$2,0))</f>
        <v>302.27</v>
      </c>
      <c r="E9" s="45">
        <f>INDEX(Revenue!$B$3:$E$23,MATCH(E$4,Revenue!$A$3:$A$23,0),MATCH($B$2,Revenue!$R$2:$U$2,0))</f>
        <v>315.09000000000003</v>
      </c>
      <c r="F9" s="45">
        <f>INDEX(Revenue!$B$3:$E$23,MATCH(F$4,Revenue!$A$3:$A$23,0),MATCH($B$2,Revenue!$R$2:$U$2,0))</f>
        <v>426.70000000000005</v>
      </c>
      <c r="G9" s="45">
        <f>INDEX(Revenue!$B$3:$E$23,MATCH(G$4,Revenue!$A$3:$A$23,0),MATCH($B$2,Revenue!$R$2:$U$2,0))</f>
        <v>291.31</v>
      </c>
      <c r="H9" s="45">
        <f>INDEX(Revenue!$B$3:$E$23,MATCH(H$4,Revenue!$A$3:$A$23,0),MATCH($B$2,Revenue!$R$2:$U$2,0))</f>
        <v>135.69999999999999</v>
      </c>
      <c r="I9" s="45">
        <f>INDEX(Revenue!$B$3:$E$23,MATCH(I$4,Revenue!$A$3:$A$23,0),MATCH($B$2,Revenue!$R$2:$U$2,0))</f>
        <v>254.48000000000002</v>
      </c>
      <c r="J9" s="45">
        <f>INDEX(Revenue!$B$3:$E$23,MATCH(J$4,Revenue!$A$3:$A$23,0),MATCH($B$2,Revenue!$R$2:$U$2,0))</f>
        <v>225.67</v>
      </c>
      <c r="K9" s="45">
        <f>INDEX(Revenue!$B$3:$E$23,MATCH(K$4,Revenue!$A$3:$A$23,0),MATCH($B$2,Revenue!$R$2:$U$2,0))</f>
        <v>253.39</v>
      </c>
      <c r="L9" s="45">
        <f>INDEX(Revenue!$B$3:$E$23,MATCH(L$4,Revenue!$A$3:$A$23,0),MATCH($B$2,Revenue!$R$2:$U$2,0))</f>
        <v>332.71000000000004</v>
      </c>
      <c r="M9" s="45">
        <f>INDEX(Revenue!$B$3:$E$23,MATCH(M$4,Revenue!$A$3:$A$23,0),MATCH($B$2,Revenue!$R$2:$U$2,0))</f>
        <v>335.38</v>
      </c>
      <c r="N9" s="45">
        <f>INDEX(Revenue!$B$3:$E$23,MATCH(N$4,Revenue!$A$3:$A$23,0),MATCH($B$2,Revenue!$R$2:$U$2,0))</f>
        <v>433.65</v>
      </c>
      <c r="O9" s="45">
        <f>INDEX(Revenue!$B$3:$E$23,MATCH(O$4,Revenue!$A$3:$A$23,0),MATCH($B$2,Revenue!$R$2:$U$2,0))</f>
        <v>441.52000000000004</v>
      </c>
      <c r="P9" s="45">
        <f>INDEX(Revenue!$B$3:$E$23,MATCH(P$4,Revenue!$A$3:$A$23,0),MATCH($B$2,Revenue!$R$2:$U$2,0))</f>
        <v>216.25</v>
      </c>
      <c r="Q9" s="45">
        <f>INDEX(Revenue!$B$3:$E$23,MATCH(Q$4,Revenue!$A$3:$A$23,0),MATCH($B$2,Revenue!$R$2:$U$2,0))</f>
        <v>385.77</v>
      </c>
      <c r="R9" s="45">
        <f>INDEX(Revenue!$B$3:$E$23,MATCH(R$4,Revenue!$A$3:$A$23,0),MATCH($B$2,Revenue!$R$2:$U$2,0))</f>
        <v>269.14</v>
      </c>
      <c r="S9" s="45">
        <f>INDEX(Revenue!$B$3:$E$23,MATCH(S$4,Revenue!$A$3:$A$23,0),MATCH($B$2,Revenue!$R$2:$U$2,0))</f>
        <v>163.13</v>
      </c>
      <c r="T9" s="45">
        <f>INDEX(Revenue!$B$3:$E$23,MATCH(T$4,Revenue!$A$3:$A$23,0),MATCH($B$2,Revenue!$R$2:$U$2,0))</f>
        <v>438.70000000000005</v>
      </c>
      <c r="U9" s="45">
        <f>INDEX(Revenue!$B$3:$E$23,MATCH(U$4,Revenue!$A$3:$A$23,0),MATCH($B$2,Revenue!$R$2:$U$2,0))</f>
        <v>444.16999999999996</v>
      </c>
      <c r="V9" s="45">
        <f>INDEX(Revenue!$B$3:$E$23,MATCH(V$4,Revenue!$A$3:$A$23,0),MATCH($B$2,Revenue!$R$2:$U$2,0))</f>
        <v>164.82999999999998</v>
      </c>
      <c r="W9" s="55">
        <f>INDEX(Revenue!$B$3:$E$23,MATCH(W$4,Revenue!$A$3:$A$23,0),MATCH($B$2,Revenue!$R$2:$U$2,0))</f>
        <v>200.35</v>
      </c>
      <c r="X9" s="48" cm="1">
        <f t="array" ref="X9">INDEX('Population projection'!$F$3:$F$23,MATCH('Revenue projection'!B9,'Population projection'!$B$3:$B$23,0),)</f>
        <v>12569472</v>
      </c>
      <c r="Y9" s="58">
        <f t="shared" si="0"/>
        <v>2050457967.3599999</v>
      </c>
    </row>
    <row r="10" spans="2:26" x14ac:dyDescent="0.2">
      <c r="B10" s="59">
        <f t="shared" si="1"/>
        <v>2021</v>
      </c>
      <c r="C10" s="35">
        <f>_xlfn.FORECAST.LINEAR($B10,C$5:C9,$B$5:$B9)</f>
        <v>199.54400000000169</v>
      </c>
      <c r="D10" s="35">
        <f>_xlfn.FORECAST.LINEAR($B10,D$5:D9,$B$5:$B9)</f>
        <v>325.9320000000007</v>
      </c>
      <c r="E10" s="35">
        <f>_xlfn.FORECAST.LINEAR($B10,E$5:E9,$B$5:$B9)</f>
        <v>339.21299999999974</v>
      </c>
      <c r="F10" s="35">
        <f>_xlfn.FORECAST.LINEAR($B10,F$5:F9,$B$5:$B9)</f>
        <v>508.24199999999837</v>
      </c>
      <c r="G10" s="35">
        <f>_xlfn.FORECAST.LINEAR($B10,G$5:G9,$B$5:$B9)</f>
        <v>323.56999999999971</v>
      </c>
      <c r="H10" s="35">
        <f>_xlfn.FORECAST.LINEAR($B10,H$5:H9,$B$5:$B9)</f>
        <v>123.90500000000065</v>
      </c>
      <c r="I10" s="35">
        <f>_xlfn.FORECAST.LINEAR($B10,I$5:I9,$B$5:$B9)</f>
        <v>267.04500000000007</v>
      </c>
      <c r="J10" s="35">
        <f>_xlfn.FORECAST.LINEAR($B10,J$5:J9,$B$5:$B9)</f>
        <v>252.4429999999993</v>
      </c>
      <c r="K10" s="35">
        <f>_xlfn.FORECAST.LINEAR($B10,K$5:K9,$B$5:$B9)</f>
        <v>291.66900000000169</v>
      </c>
      <c r="L10" s="35">
        <f>_xlfn.FORECAST.LINEAR($B10,L$5:L9,$B$5:$B9)</f>
        <v>386.55800000000454</v>
      </c>
      <c r="M10" s="35">
        <f>_xlfn.FORECAST.LINEAR($B10,M$5:M9,$B$5:$B9)</f>
        <v>364.6359999999986</v>
      </c>
      <c r="N10" s="35">
        <f>_xlfn.FORECAST.LINEAR($B10,N$5:N9,$B$5:$B9)</f>
        <v>470.6239999999998</v>
      </c>
      <c r="O10" s="35">
        <f>_xlfn.FORECAST.LINEAR($B10,O$5:O9,$B$5:$B9)</f>
        <v>503.67799999999988</v>
      </c>
      <c r="P10" s="35">
        <f>_xlfn.FORECAST.LINEAR($B10,P$5:P9,$B$5:$B9)</f>
        <v>269.15699999999924</v>
      </c>
      <c r="Q10" s="35">
        <f>_xlfn.FORECAST.LINEAR($B10,Q$5:Q9,$B$5:$B9)</f>
        <v>402.49299999999857</v>
      </c>
      <c r="R10" s="35">
        <f>_xlfn.FORECAST.LINEAR($B10,R$5:R9,$B$5:$B9)</f>
        <v>264.21500000000378</v>
      </c>
      <c r="S10" s="35">
        <f>_xlfn.FORECAST.LINEAR($B10,S$5:S9,$B$5:$B9)</f>
        <v>181.15400000000227</v>
      </c>
      <c r="T10" s="35">
        <f>_xlfn.FORECAST.LINEAR($B10,T$5:T9,$B$5:$B9)</f>
        <v>498.51599999999598</v>
      </c>
      <c r="U10" s="35">
        <f>_xlfn.FORECAST.LINEAR($B10,U$5:U9,$B$5:$B9)</f>
        <v>491.09800000000178</v>
      </c>
      <c r="V10" s="35">
        <f>_xlfn.FORECAST.LINEAR($B10,V$5:V9,$B$5:$B9)</f>
        <v>206.03599999999824</v>
      </c>
      <c r="W10" s="67">
        <f>_xlfn.FORECAST.LINEAR($B10,W$5:W9,$B$5:$B9)</f>
        <v>235.06500000000233</v>
      </c>
      <c r="X10" s="59" cm="1">
        <f t="array" ref="X10">INDEX('Population projection'!$F$3:$F$23,MATCH('Revenue projection'!B10,'Population projection'!$B$3:$B$23,0),)</f>
        <v>12630242.517640233</v>
      </c>
      <c r="Y10" s="57">
        <f t="shared" si="0"/>
        <v>2288018953.0406275</v>
      </c>
    </row>
    <row r="11" spans="2:26" x14ac:dyDescent="0.2">
      <c r="B11" s="59">
        <f t="shared" si="1"/>
        <v>2022</v>
      </c>
      <c r="C11" s="35">
        <f>_xlfn.FORECAST.LINEAR($B11,C$5:C10,$B$5:$B10)</f>
        <v>217.51200000000244</v>
      </c>
      <c r="D11" s="35">
        <f>_xlfn.FORECAST.LINEAR($B11,D$5:D10,$B$5:$B10)</f>
        <v>331.45400000000154</v>
      </c>
      <c r="E11" s="35">
        <f>_xlfn.FORECAST.LINEAR($B11,E$5:E10,$B$5:$B10)</f>
        <v>349.7039999999979</v>
      </c>
      <c r="F11" s="35">
        <f>_xlfn.FORECAST.LINEAR($B11,F$5:F10,$B$5:$B10)</f>
        <v>564.79399999999441</v>
      </c>
      <c r="G11" s="35">
        <f>_xlfn.FORECAST.LINEAR($B11,G$5:G10,$B$5:$B10)</f>
        <v>333.1260000000002</v>
      </c>
      <c r="H11" s="35">
        <f>_xlfn.FORECAST.LINEAR($B11,H$5:H10,$B$5:$B10)</f>
        <v>128.57799999999952</v>
      </c>
      <c r="I11" s="35">
        <f>_xlfn.FORECAST.LINEAR($B11,I$5:I10,$B$5:$B10)</f>
        <v>272.59000000000196</v>
      </c>
      <c r="J11" s="35">
        <f>_xlfn.FORECAST.LINEAR($B11,J$5:J10,$B$5:$B10)</f>
        <v>259.83399999999892</v>
      </c>
      <c r="K11" s="35">
        <f>_xlfn.FORECAST.LINEAR($B11,K$5:K10,$B$5:$B10)</f>
        <v>300.77000000000044</v>
      </c>
      <c r="L11" s="35">
        <f>_xlfn.FORECAST.LINEAR($B11,L$5:L10,$B$5:$B10)</f>
        <v>415.87000000000262</v>
      </c>
      <c r="M11" s="35">
        <f>_xlfn.FORECAST.LINEAR($B11,M$5:M10,$B$5:$B10)</f>
        <v>385.24199999999837</v>
      </c>
      <c r="N11" s="35">
        <f>_xlfn.FORECAST.LINEAR($B11,N$5:N10,$B$5:$B10)</f>
        <v>480.74200000000201</v>
      </c>
      <c r="O11" s="35">
        <f>_xlfn.FORECAST.LINEAR($B11,O$5:O10,$B$5:$B10)</f>
        <v>525.43400000000111</v>
      </c>
      <c r="P11" s="35">
        <f>_xlfn.FORECAST.LINEAR($B11,P$5:P10,$B$5:$B10)</f>
        <v>293.02799999999843</v>
      </c>
      <c r="Q11" s="35">
        <f>_xlfn.FORECAST.LINEAR($B11,Q$5:Q10,$B$5:$B10)</f>
        <v>387.63799999999901</v>
      </c>
      <c r="R11" s="35">
        <f>_xlfn.FORECAST.LINEAR($B11,R$5:R10,$B$5:$B10)</f>
        <v>247.50000000000728</v>
      </c>
      <c r="S11" s="35">
        <f>_xlfn.FORECAST.LINEAR($B11,S$5:S10,$B$5:$B10)</f>
        <v>187.34400000000096</v>
      </c>
      <c r="T11" s="35">
        <f>_xlfn.FORECAST.LINEAR($B11,T$5:T10,$B$5:$B10)</f>
        <v>519.16199999999662</v>
      </c>
      <c r="U11" s="35">
        <f>_xlfn.FORECAST.LINEAR($B11,U$5:U10,$B$5:$B10)</f>
        <v>503.75000000000364</v>
      </c>
      <c r="V11" s="35">
        <f>_xlfn.FORECAST.LINEAR($B11,V$5:V10,$B$5:$B10)</f>
        <v>214.15400000000045</v>
      </c>
      <c r="W11" s="64">
        <f>_xlfn.FORECAST.LINEAR($B11,W$5:W10,$B$5:$B10)</f>
        <v>251.83200000000215</v>
      </c>
      <c r="X11" s="59" cm="1">
        <f t="array" ref="X11">INDEX('Population projection'!$F$3:$F$23,MATCH('Revenue projection'!B11,'Population projection'!$B$3:$B$23,0),)</f>
        <v>12692485.711932613</v>
      </c>
      <c r="Y11" s="57">
        <f t="shared" si="0"/>
        <v>2377861043.2163157</v>
      </c>
    </row>
    <row r="12" spans="2:26" x14ac:dyDescent="0.2">
      <c r="B12" s="59">
        <f t="shared" si="1"/>
        <v>2023</v>
      </c>
      <c r="C12" s="35">
        <f>_xlfn.FORECAST.LINEAR($B12,C$5:C11,$B$5:$B11)</f>
        <v>235.47999999999593</v>
      </c>
      <c r="D12" s="35">
        <f>_xlfn.FORECAST.LINEAR($B12,D$5:D11,$B$5:$B11)</f>
        <v>336.97600000000239</v>
      </c>
      <c r="E12" s="35">
        <f>_xlfn.FORECAST.LINEAR($B12,E$5:E11,$B$5:$B11)</f>
        <v>360.19499999999971</v>
      </c>
      <c r="F12" s="35">
        <f>_xlfn.FORECAST.LINEAR($B12,F$5:F11,$B$5:$B11)</f>
        <v>621.3459999999759</v>
      </c>
      <c r="G12" s="35">
        <f>_xlfn.FORECAST.LINEAR($B12,G$5:G11,$B$5:$B11)</f>
        <v>342.68199999999706</v>
      </c>
      <c r="H12" s="35">
        <f>_xlfn.FORECAST.LINEAR($B12,H$5:H11,$B$5:$B11)</f>
        <v>133.25099999999838</v>
      </c>
      <c r="I12" s="35">
        <f>_xlfn.FORECAST.LINEAR($B12,I$5:I11,$B$5:$B11)</f>
        <v>278.13500000000022</v>
      </c>
      <c r="J12" s="35">
        <f>_xlfn.FORECAST.LINEAR($B12,J$5:J11,$B$5:$B11)</f>
        <v>267.22499999999854</v>
      </c>
      <c r="K12" s="35">
        <f>_xlfn.FORECAST.LINEAR($B12,K$5:K11,$B$5:$B11)</f>
        <v>309.87099999999919</v>
      </c>
      <c r="L12" s="35">
        <f>_xlfn.FORECAST.LINEAR($B12,L$5:L11,$B$5:$B11)</f>
        <v>445.1820000000007</v>
      </c>
      <c r="M12" s="35">
        <f>_xlfn.FORECAST.LINEAR($B12,M$5:M11,$B$5:$B11)</f>
        <v>405.84799999999814</v>
      </c>
      <c r="N12" s="35">
        <f>_xlfn.FORECAST.LINEAR($B12,N$5:N11,$B$5:$B11)</f>
        <v>490.86000000000058</v>
      </c>
      <c r="O12" s="35">
        <f>_xlfn.FORECAST.LINEAR($B12,O$5:O11,$B$5:$B11)</f>
        <v>547.19000000000233</v>
      </c>
      <c r="P12" s="35">
        <f>_xlfn.FORECAST.LINEAR($B12,P$5:P11,$B$5:$B11)</f>
        <v>316.89899999999761</v>
      </c>
      <c r="Q12" s="35">
        <f>_xlfn.FORECAST.LINEAR($B12,Q$5:Q11,$B$5:$B11)</f>
        <v>372.78299999999945</v>
      </c>
      <c r="R12" s="35">
        <f>_xlfn.FORECAST.LINEAR($B12,R$5:R11,$B$5:$B11)</f>
        <v>230.78500000000349</v>
      </c>
      <c r="S12" s="35">
        <f>_xlfn.FORECAST.LINEAR($B12,S$5:S11,$B$5:$B11)</f>
        <v>193.53400000000147</v>
      </c>
      <c r="T12" s="35">
        <f>_xlfn.FORECAST.LINEAR($B12,T$5:T11,$B$5:$B11)</f>
        <v>539.80799999999726</v>
      </c>
      <c r="U12" s="35">
        <f>_xlfn.FORECAST.LINEAR($B12,U$5:U11,$B$5:$B11)</f>
        <v>516.40200000000186</v>
      </c>
      <c r="V12" s="35">
        <f>_xlfn.FORECAST.LINEAR($B12,V$5:V11,$B$5:$B11)</f>
        <v>222.27200000000084</v>
      </c>
      <c r="W12" s="64">
        <f>_xlfn.FORECAST.LINEAR($B12,W$5:W11,$B$5:$B11)</f>
        <v>268.59900000000198</v>
      </c>
      <c r="X12" s="59" cm="1">
        <f t="array" ref="X12">INDEX('Population projection'!$F$3:$F$23,MATCH('Revenue projection'!B12,'Population projection'!$B$3:$B$23,0),)</f>
        <v>12756213.47054033</v>
      </c>
      <c r="Y12" s="57">
        <f t="shared" si="0"/>
        <v>2468761017.8075709</v>
      </c>
    </row>
    <row r="13" spans="2:26" x14ac:dyDescent="0.2">
      <c r="B13" s="59">
        <f t="shared" si="1"/>
        <v>2024</v>
      </c>
      <c r="C13" s="35">
        <f>_xlfn.FORECAST.LINEAR($B13,C$5:C12,$B$5:$B12)</f>
        <v>253.44799999999668</v>
      </c>
      <c r="D13" s="35">
        <f>_xlfn.FORECAST.LINEAR($B13,D$5:D12,$B$5:$B12)</f>
        <v>342.49800000000323</v>
      </c>
      <c r="E13" s="35">
        <f>_xlfn.FORECAST.LINEAR($B13,E$5:E12,$B$5:$B12)</f>
        <v>370.68600000000151</v>
      </c>
      <c r="F13" s="35">
        <f>_xlfn.FORECAST.LINEAR($B13,F$5:F12,$B$5:$B12)</f>
        <v>677.89799999997194</v>
      </c>
      <c r="G13" s="35">
        <f>_xlfn.FORECAST.LINEAR($B13,G$5:G12,$B$5:$B12)</f>
        <v>352.23800000000119</v>
      </c>
      <c r="H13" s="35">
        <f>_xlfn.FORECAST.LINEAR($B13,H$5:H12,$B$5:$B12)</f>
        <v>137.92400000000089</v>
      </c>
      <c r="I13" s="35">
        <f>_xlfn.FORECAST.LINEAR($B13,I$5:I12,$B$5:$B12)</f>
        <v>283.68000000000211</v>
      </c>
      <c r="J13" s="35">
        <f>_xlfn.FORECAST.LINEAR($B13,J$5:J12,$B$5:$B12)</f>
        <v>274.61599999999999</v>
      </c>
      <c r="K13" s="35">
        <f>_xlfn.FORECAST.LINEAR($B13,K$5:K12,$B$5:$B12)</f>
        <v>318.97200000000157</v>
      </c>
      <c r="L13" s="35">
        <f>_xlfn.FORECAST.LINEAR($B13,L$5:L12,$B$5:$B12)</f>
        <v>474.49399999999878</v>
      </c>
      <c r="M13" s="35">
        <f>_xlfn.FORECAST.LINEAR($B13,M$5:M12,$B$5:$B12)</f>
        <v>426.4539999999979</v>
      </c>
      <c r="N13" s="35">
        <f>_xlfn.FORECAST.LINEAR($B13,N$5:N12,$B$5:$B12)</f>
        <v>500.97800000000279</v>
      </c>
      <c r="O13" s="35">
        <f>_xlfn.FORECAST.LINEAR($B13,O$5:O12,$B$5:$B12)</f>
        <v>568.94600000000355</v>
      </c>
      <c r="P13" s="35">
        <f>_xlfn.FORECAST.LINEAR($B13,P$5:P12,$B$5:$B12)</f>
        <v>340.7699999999968</v>
      </c>
      <c r="Q13" s="35">
        <f>_xlfn.FORECAST.LINEAR($B13,Q$5:Q12,$B$5:$B12)</f>
        <v>357.92799999999988</v>
      </c>
      <c r="R13" s="35">
        <f>_xlfn.FORECAST.LINEAR($B13,R$5:R12,$B$5:$B12)</f>
        <v>214.07000000000698</v>
      </c>
      <c r="S13" s="35">
        <f>_xlfn.FORECAST.LINEAR($B13,S$5:S12,$B$5:$B12)</f>
        <v>199.72400000000198</v>
      </c>
      <c r="T13" s="35">
        <f>_xlfn.FORECAST.LINEAR($B13,T$5:T12,$B$5:$B12)</f>
        <v>560.4539999999979</v>
      </c>
      <c r="U13" s="35">
        <f>_xlfn.FORECAST.LINEAR($B13,U$5:U12,$B$5:$B12)</f>
        <v>529.05400000000373</v>
      </c>
      <c r="V13" s="35">
        <f>_xlfn.FORECAST.LINEAR($B13,V$5:V12,$B$5:$B12)</f>
        <v>230.38999999999942</v>
      </c>
      <c r="W13" s="64">
        <f>_xlfn.FORECAST.LINEAR($B13,W$5:W12,$B$5:$B12)</f>
        <v>285.3660000000018</v>
      </c>
      <c r="X13" s="59" cm="1">
        <f t="array" ref="X13">INDEX('Population projection'!$F$3:$F$23,MATCH('Revenue projection'!B13,'Population projection'!$B$3:$B$23,0),)</f>
        <v>12821438.795467623</v>
      </c>
      <c r="Y13" s="57">
        <f t="shared" si="0"/>
        <v>2560749041.986001</v>
      </c>
    </row>
    <row r="14" spans="2:26" x14ac:dyDescent="0.2">
      <c r="B14" s="59">
        <f t="shared" si="1"/>
        <v>2025</v>
      </c>
      <c r="C14" s="35">
        <f>_xlfn.FORECAST.LINEAR($B14,C$5:C13,$B$5:$B13)</f>
        <v>271.41599999999744</v>
      </c>
      <c r="D14" s="35">
        <f>_xlfn.FORECAST.LINEAR($B14,D$5:D13,$B$5:$B13)</f>
        <v>348.02000000000407</v>
      </c>
      <c r="E14" s="35">
        <f>_xlfn.FORECAST.LINEAR($B14,E$5:E13,$B$5:$B13)</f>
        <v>381.17699999999968</v>
      </c>
      <c r="F14" s="35">
        <f>_xlfn.FORECAST.LINEAR($B14,F$5:F13,$B$5:$B13)</f>
        <v>734.44999999996799</v>
      </c>
      <c r="G14" s="35">
        <f>_xlfn.FORECAST.LINEAR($B14,G$5:G13,$B$5:$B13)</f>
        <v>361.79400000000169</v>
      </c>
      <c r="H14" s="35">
        <f>_xlfn.FORECAST.LINEAR($B14,H$5:H13,$B$5:$B13)</f>
        <v>142.59699999999975</v>
      </c>
      <c r="I14" s="35">
        <f>_xlfn.FORECAST.LINEAR($B14,I$5:I13,$B$5:$B13)</f>
        <v>289.22500000000036</v>
      </c>
      <c r="J14" s="35">
        <f>_xlfn.FORECAST.LINEAR($B14,J$5:J13,$B$5:$B13)</f>
        <v>282.00699999999961</v>
      </c>
      <c r="K14" s="35">
        <f>_xlfn.FORECAST.LINEAR($B14,K$5:K13,$B$5:$B13)</f>
        <v>328.07299999999668</v>
      </c>
      <c r="L14" s="35">
        <f>_xlfn.FORECAST.LINEAR($B14,L$5:L13,$B$5:$B13)</f>
        <v>503.80600000000413</v>
      </c>
      <c r="M14" s="35">
        <f>_xlfn.FORECAST.LINEAR($B14,M$5:M13,$B$5:$B13)</f>
        <v>447.05999999999767</v>
      </c>
      <c r="N14" s="35">
        <f>_xlfn.FORECAST.LINEAR($B14,N$5:N13,$B$5:$B13)</f>
        <v>511.09600000000137</v>
      </c>
      <c r="O14" s="35">
        <f>_xlfn.FORECAST.LINEAR($B14,O$5:O13,$B$5:$B13)</f>
        <v>590.70200000000477</v>
      </c>
      <c r="P14" s="35">
        <f>_xlfn.FORECAST.LINEAR($B14,P$5:P13,$B$5:$B13)</f>
        <v>364.64100000000326</v>
      </c>
      <c r="Q14" s="35">
        <f>_xlfn.FORECAST.LINEAR($B14,Q$5:Q13,$B$5:$B13)</f>
        <v>343.07299999999668</v>
      </c>
      <c r="R14" s="35">
        <f>_xlfn.FORECAST.LINEAR($B14,R$5:R13,$B$5:$B13)</f>
        <v>197.3550000000032</v>
      </c>
      <c r="S14" s="35">
        <f>_xlfn.FORECAST.LINEAR($B14,S$5:S13,$B$5:$B13)</f>
        <v>205.91400000000067</v>
      </c>
      <c r="T14" s="35">
        <f>_xlfn.FORECAST.LINEAR($B14,T$5:T13,$B$5:$B13)</f>
        <v>581.09999999999127</v>
      </c>
      <c r="U14" s="35">
        <f>_xlfn.FORECAST.LINEAR($B14,U$5:U13,$B$5:$B13)</f>
        <v>541.70600000000195</v>
      </c>
      <c r="V14" s="35">
        <f>_xlfn.FORECAST.LINEAR($B14,V$5:V13,$B$5:$B13)</f>
        <v>238.50799999999981</v>
      </c>
      <c r="W14" s="64">
        <f>_xlfn.FORECAST.LINEAR($B14,W$5:W13,$B$5:$B13)</f>
        <v>302.13300000000163</v>
      </c>
      <c r="X14" s="59" cm="1">
        <f t="array" ref="X14">INDEX('Population projection'!$F$3:$F$23,MATCH('Revenue projection'!B14,'Population projection'!$B$3:$B$23,0),)</f>
        <v>12888175.818660446</v>
      </c>
      <c r="Y14" s="57">
        <f t="shared" si="0"/>
        <v>2653855835.5236554</v>
      </c>
    </row>
    <row r="15" spans="2:26" x14ac:dyDescent="0.2">
      <c r="B15" s="59">
        <f t="shared" si="1"/>
        <v>2026</v>
      </c>
      <c r="C15" s="35">
        <f>_xlfn.FORECAST.LINEAR($B15,C$5:C14,$B$5:$B14)</f>
        <v>289.38399999999092</v>
      </c>
      <c r="D15" s="35">
        <f>_xlfn.FORECAST.LINEAR($B15,D$5:D14,$B$5:$B14)</f>
        <v>353.5420000000031</v>
      </c>
      <c r="E15" s="35">
        <f>_xlfn.FORECAST.LINEAR($B15,E$5:E14,$B$5:$B14)</f>
        <v>391.66799999999785</v>
      </c>
      <c r="F15" s="35">
        <f>_xlfn.FORECAST.LINEAR($B15,F$5:F14,$B$5:$B14)</f>
        <v>791.00199999996403</v>
      </c>
      <c r="G15" s="35">
        <f>_xlfn.FORECAST.LINEAR($B15,G$5:G14,$B$5:$B14)</f>
        <v>371.35000000000218</v>
      </c>
      <c r="H15" s="35">
        <f>_xlfn.FORECAST.LINEAR($B15,H$5:H14,$B$5:$B14)</f>
        <v>147.27000000000044</v>
      </c>
      <c r="I15" s="35">
        <f>_xlfn.FORECAST.LINEAR($B15,I$5:I14,$B$5:$B14)</f>
        <v>294.77000000000226</v>
      </c>
      <c r="J15" s="35">
        <f>_xlfn.FORECAST.LINEAR($B15,J$5:J14,$B$5:$B14)</f>
        <v>289.39799999999923</v>
      </c>
      <c r="K15" s="35">
        <f>_xlfn.FORECAST.LINEAR($B15,K$5:K14,$B$5:$B14)</f>
        <v>337.17399999999907</v>
      </c>
      <c r="L15" s="35">
        <f>_xlfn.FORECAST.LINEAR($B15,L$5:L14,$B$5:$B14)</f>
        <v>533.11800000000221</v>
      </c>
      <c r="M15" s="35">
        <f>_xlfn.FORECAST.LINEAR($B15,M$5:M14,$B$5:$B14)</f>
        <v>467.66599999999744</v>
      </c>
      <c r="N15" s="35">
        <f>_xlfn.FORECAST.LINEAR($B15,N$5:N14,$B$5:$B14)</f>
        <v>521.21400000000358</v>
      </c>
      <c r="O15" s="35">
        <f>_xlfn.FORECAST.LINEAR($B15,O$5:O14,$B$5:$B14)</f>
        <v>612.458000000006</v>
      </c>
      <c r="P15" s="35">
        <f>_xlfn.FORECAST.LINEAR($B15,P$5:P14,$B$5:$B14)</f>
        <v>388.51200000000244</v>
      </c>
      <c r="Q15" s="35">
        <f>_xlfn.FORECAST.LINEAR($B15,Q$5:Q14,$B$5:$B14)</f>
        <v>328.21799999999712</v>
      </c>
      <c r="R15" s="35">
        <f>_xlfn.FORECAST.LINEAR($B15,R$5:R14,$B$5:$B14)</f>
        <v>180.64000000000669</v>
      </c>
      <c r="S15" s="35">
        <f>_xlfn.FORECAST.LINEAR($B15,S$5:S14,$B$5:$B14)</f>
        <v>212.104000000003</v>
      </c>
      <c r="T15" s="35">
        <f>_xlfn.FORECAST.LINEAR($B15,T$5:T14,$B$5:$B14)</f>
        <v>601.74599999999191</v>
      </c>
      <c r="U15" s="35">
        <f>_xlfn.FORECAST.LINEAR($B15,U$5:U14,$B$5:$B14)</f>
        <v>554.35800000000381</v>
      </c>
      <c r="V15" s="35">
        <f>_xlfn.FORECAST.LINEAR($B15,V$5:V14,$B$5:$B14)</f>
        <v>246.62599999999838</v>
      </c>
      <c r="W15" s="64">
        <f>_xlfn.FORECAST.LINEAR($B15,W$5:W14,$B$5:$B14)</f>
        <v>318.90000000000146</v>
      </c>
      <c r="X15" s="59" cm="1">
        <f t="array" ref="X15">INDEX('Population projection'!$F$3:$F$23,MATCH('Revenue projection'!B15,'Population projection'!$B$3:$B$23,0),)</f>
        <v>12956439.819164585</v>
      </c>
      <c r="Y15" s="57">
        <f t="shared" si="0"/>
        <v>2748112711.4041243</v>
      </c>
    </row>
    <row r="16" spans="2:26" x14ac:dyDescent="0.2">
      <c r="B16" s="59">
        <f t="shared" si="1"/>
        <v>2027</v>
      </c>
      <c r="C16" s="35">
        <f>_xlfn.FORECAST.LINEAR($B16,C$5:C15,$B$5:$B15)</f>
        <v>307.35199999999895</v>
      </c>
      <c r="D16" s="35">
        <f>_xlfn.FORECAST.LINEAR($B16,D$5:D15,$B$5:$B15)</f>
        <v>359.06400000000394</v>
      </c>
      <c r="E16" s="35">
        <f>_xlfn.FORECAST.LINEAR($B16,E$5:E15,$B$5:$B15)</f>
        <v>402.15899999999965</v>
      </c>
      <c r="F16" s="35">
        <f>_xlfn.FORECAST.LINEAR($B16,F$5:F15,$B$5:$B15)</f>
        <v>847.55399999996007</v>
      </c>
      <c r="G16" s="35">
        <f>_xlfn.FORECAST.LINEAR($B16,G$5:G15,$B$5:$B15)</f>
        <v>380.90599999999904</v>
      </c>
      <c r="H16" s="35">
        <f>_xlfn.FORECAST.LINEAR($B16,H$5:H15,$B$5:$B15)</f>
        <v>151.94300000000112</v>
      </c>
      <c r="I16" s="35">
        <f>_xlfn.FORECAST.LINEAR($B16,I$5:I15,$B$5:$B15)</f>
        <v>300.31500000000233</v>
      </c>
      <c r="J16" s="35">
        <f>_xlfn.FORECAST.LINEAR($B16,J$5:J15,$B$5:$B15)</f>
        <v>296.78899999999885</v>
      </c>
      <c r="K16" s="35">
        <f>_xlfn.FORECAST.LINEAR($B16,K$5:K15,$B$5:$B15)</f>
        <v>346.27500000000146</v>
      </c>
      <c r="L16" s="35">
        <f>_xlfn.FORECAST.LINEAR($B16,L$5:L15,$B$5:$B15)</f>
        <v>562.43000000000757</v>
      </c>
      <c r="M16" s="35">
        <f>_xlfn.FORECAST.LINEAR($B16,M$5:M15,$B$5:$B15)</f>
        <v>488.27199999999721</v>
      </c>
      <c r="N16" s="35">
        <f>_xlfn.FORECAST.LINEAR($B16,N$5:N15,$B$5:$B15)</f>
        <v>531.33200000000215</v>
      </c>
      <c r="O16" s="35">
        <f>_xlfn.FORECAST.LINEAR($B16,O$5:O15,$B$5:$B15)</f>
        <v>634.21400000000722</v>
      </c>
      <c r="P16" s="35">
        <f>_xlfn.FORECAST.LINEAR($B16,P$5:P15,$B$5:$B15)</f>
        <v>412.38299999999435</v>
      </c>
      <c r="Q16" s="35">
        <f>_xlfn.FORECAST.LINEAR($B16,Q$5:Q15,$B$5:$B15)</f>
        <v>313.36299999999756</v>
      </c>
      <c r="R16" s="35">
        <f>_xlfn.FORECAST.LINEAR($B16,R$5:R15,$B$5:$B15)</f>
        <v>163.92500000001019</v>
      </c>
      <c r="S16" s="35">
        <f>_xlfn.FORECAST.LINEAR($B16,S$5:S15,$B$5:$B15)</f>
        <v>218.29400000000169</v>
      </c>
      <c r="T16" s="35">
        <f>_xlfn.FORECAST.LINEAR($B16,T$5:T15,$B$5:$B15)</f>
        <v>622.39199999999255</v>
      </c>
      <c r="U16" s="35">
        <f>_xlfn.FORECAST.LINEAR($B16,U$5:U15,$B$5:$B15)</f>
        <v>567.01000000000204</v>
      </c>
      <c r="V16" s="35">
        <f>_xlfn.FORECAST.LINEAR($B16,V$5:V15,$B$5:$B15)</f>
        <v>254.74399999999878</v>
      </c>
      <c r="W16" s="64">
        <f>_xlfn.FORECAST.LINEAR($B16,W$5:W15,$B$5:$B15)</f>
        <v>335.66700000000856</v>
      </c>
      <c r="X16" s="59" cm="1">
        <f t="array" ref="X16">INDEX('Population projection'!$F$3:$F$23,MATCH('Revenue projection'!B16,'Population projection'!$B$3:$B$23,0),)</f>
        <v>13026247.241869118</v>
      </c>
      <c r="Y16" s="57">
        <f t="shared" si="0"/>
        <v>2843551615.4165993</v>
      </c>
    </row>
    <row r="17" spans="2:25" x14ac:dyDescent="0.2">
      <c r="B17" s="59">
        <f t="shared" si="1"/>
        <v>2028</v>
      </c>
      <c r="C17" s="35">
        <f>_xlfn.FORECAST.LINEAR($B17,C$5:C16,$B$5:$B16)</f>
        <v>325.31999999999243</v>
      </c>
      <c r="D17" s="35">
        <f>_xlfn.FORECAST.LINEAR($B17,D$5:D16,$B$5:$B16)</f>
        <v>364.58600000000479</v>
      </c>
      <c r="E17" s="35">
        <f>_xlfn.FORECAST.LINEAR($B17,E$5:E16,$B$5:$B16)</f>
        <v>412.64999999999782</v>
      </c>
      <c r="F17" s="35">
        <f>_xlfn.FORECAST.LINEAR($B17,F$5:F16,$B$5:$B16)</f>
        <v>904.10599999995611</v>
      </c>
      <c r="G17" s="35">
        <f>_xlfn.FORECAST.LINEAR($B17,G$5:G16,$B$5:$B16)</f>
        <v>390.46199999999953</v>
      </c>
      <c r="H17" s="35">
        <f>_xlfn.FORECAST.LINEAR($B17,H$5:H16,$B$5:$B16)</f>
        <v>156.61599999999999</v>
      </c>
      <c r="I17" s="35">
        <f>_xlfn.FORECAST.LINEAR($B17,I$5:I16,$B$5:$B16)</f>
        <v>305.8600000000024</v>
      </c>
      <c r="J17" s="35">
        <f>_xlfn.FORECAST.LINEAR($B17,J$5:J16,$B$5:$B16)</f>
        <v>304.17999999999847</v>
      </c>
      <c r="K17" s="35">
        <f>_xlfn.FORECAST.LINEAR($B17,K$5:K16,$B$5:$B16)</f>
        <v>355.37599999999657</v>
      </c>
      <c r="L17" s="35">
        <f>_xlfn.FORECAST.LINEAR($B17,L$5:L16,$B$5:$B16)</f>
        <v>591.74200000000565</v>
      </c>
      <c r="M17" s="35">
        <f>_xlfn.FORECAST.LINEAR($B17,M$5:M16,$B$5:$B16)</f>
        <v>508.87799999999697</v>
      </c>
      <c r="N17" s="35">
        <f>_xlfn.FORECAST.LINEAR($B17,N$5:N16,$B$5:$B16)</f>
        <v>541.45000000000437</v>
      </c>
      <c r="O17" s="35">
        <f>_xlfn.FORECAST.LINEAR($B17,O$5:O16,$B$5:$B16)</f>
        <v>655.97000000000844</v>
      </c>
      <c r="P17" s="35">
        <f>_xlfn.FORECAST.LINEAR($B17,P$5:P16,$B$5:$B16)</f>
        <v>436.25399999999354</v>
      </c>
      <c r="Q17" s="35">
        <f>_xlfn.FORECAST.LINEAR($B17,Q$5:Q16,$B$5:$B16)</f>
        <v>298.50799999999799</v>
      </c>
      <c r="R17" s="35">
        <f>_xlfn.FORECAST.LINEAR($B17,R$5:R16,$B$5:$B16)</f>
        <v>147.2100000000064</v>
      </c>
      <c r="S17" s="35">
        <f>_xlfn.FORECAST.LINEAR($B17,S$5:S16,$B$5:$B16)</f>
        <v>224.4840000000022</v>
      </c>
      <c r="T17" s="35">
        <f>_xlfn.FORECAST.LINEAR($B17,T$5:T16,$B$5:$B16)</f>
        <v>643.03799999999319</v>
      </c>
      <c r="U17" s="35">
        <f>_xlfn.FORECAST.LINEAR($B17,U$5:U16,$B$5:$B16)</f>
        <v>579.6620000000039</v>
      </c>
      <c r="V17" s="35">
        <f>_xlfn.FORECAST.LINEAR($B17,V$5:V16,$B$5:$B16)</f>
        <v>262.86199999999917</v>
      </c>
      <c r="W17" s="64">
        <f>_xlfn.FORECAST.LINEAR($B17,W$5:W16,$B$5:$B16)</f>
        <v>352.43400000000111</v>
      </c>
      <c r="X17" s="59" cm="1">
        <f t="array" ref="X17">INDEX('Population projection'!$F$3:$F$23,MATCH('Revenue projection'!B17,'Population projection'!$B$3:$B$23,0),)</f>
        <v>13097615.717866201</v>
      </c>
      <c r="Y17" s="57">
        <f t="shared" si="0"/>
        <v>2940205166.809505</v>
      </c>
    </row>
    <row r="18" spans="2:25" x14ac:dyDescent="0.2">
      <c r="B18" s="59">
        <f t="shared" si="1"/>
        <v>2029</v>
      </c>
      <c r="C18" s="35">
        <f>_xlfn.FORECAST.LINEAR($B18,C$5:C17,$B$5:$B17)</f>
        <v>343.28799999999319</v>
      </c>
      <c r="D18" s="35">
        <f>_xlfn.FORECAST.LINEAR($B18,D$5:D17,$B$5:$B17)</f>
        <v>370.10800000000381</v>
      </c>
      <c r="E18" s="35">
        <f>_xlfn.FORECAST.LINEAR($B18,E$5:E17,$B$5:$B17)</f>
        <v>423.14099999999598</v>
      </c>
      <c r="F18" s="35">
        <f>_xlfn.FORECAST.LINEAR($B18,F$5:F17,$B$5:$B17)</f>
        <v>960.6579999999376</v>
      </c>
      <c r="G18" s="35">
        <f>_xlfn.FORECAST.LINEAR($B18,G$5:G17,$B$5:$B17)</f>
        <v>400.01800000000003</v>
      </c>
      <c r="H18" s="35">
        <f>_xlfn.FORECAST.LINEAR($B18,H$5:H17,$B$5:$B17)</f>
        <v>161.28900000000067</v>
      </c>
      <c r="I18" s="35">
        <f>_xlfn.FORECAST.LINEAR($B18,I$5:I17,$B$5:$B17)</f>
        <v>311.40500000000065</v>
      </c>
      <c r="J18" s="35">
        <f>_xlfn.FORECAST.LINEAR($B18,J$5:J17,$B$5:$B17)</f>
        <v>311.57099999999809</v>
      </c>
      <c r="K18" s="35">
        <f>_xlfn.FORECAST.LINEAR($B18,K$5:K17,$B$5:$B17)</f>
        <v>364.47699999999895</v>
      </c>
      <c r="L18" s="35">
        <f>_xlfn.FORECAST.LINEAR($B18,L$5:L17,$B$5:$B17)</f>
        <v>621.054000000011</v>
      </c>
      <c r="M18" s="35">
        <f>_xlfn.FORECAST.LINEAR($B18,M$5:M17,$B$5:$B17)</f>
        <v>529.48399999999674</v>
      </c>
      <c r="N18" s="35">
        <f>_xlfn.FORECAST.LINEAR($B18,N$5:N17,$B$5:$B17)</f>
        <v>551.56800000000658</v>
      </c>
      <c r="O18" s="35">
        <f>_xlfn.FORECAST.LINEAR($B18,O$5:O17,$B$5:$B17)</f>
        <v>677.72600000000239</v>
      </c>
      <c r="P18" s="35">
        <f>_xlfn.FORECAST.LINEAR($B18,P$5:P17,$B$5:$B17)</f>
        <v>460.125</v>
      </c>
      <c r="Q18" s="35">
        <f>_xlfn.FORECAST.LINEAR($B18,Q$5:Q17,$B$5:$B17)</f>
        <v>283.65299999999843</v>
      </c>
      <c r="R18" s="35">
        <f>_xlfn.FORECAST.LINEAR($B18,R$5:R17,$B$5:$B17)</f>
        <v>130.4950000000099</v>
      </c>
      <c r="S18" s="35">
        <f>_xlfn.FORECAST.LINEAR($B18,S$5:S17,$B$5:$B17)</f>
        <v>230.67400000000271</v>
      </c>
      <c r="T18" s="35">
        <f>_xlfn.FORECAST.LINEAR($B18,T$5:T17,$B$5:$B17)</f>
        <v>663.68399999999383</v>
      </c>
      <c r="U18" s="35">
        <f>_xlfn.FORECAST.LINEAR($B18,U$5:U17,$B$5:$B17)</f>
        <v>592.31400000000212</v>
      </c>
      <c r="V18" s="35">
        <f>_xlfn.FORECAST.LINEAR($B18,V$5:V17,$B$5:$B17)</f>
        <v>270.98000000000138</v>
      </c>
      <c r="W18" s="64">
        <f>_xlfn.FORECAST.LINEAR($B18,W$5:W17,$B$5:$B17)</f>
        <v>369.20100000000821</v>
      </c>
      <c r="X18" s="59" cm="1">
        <f t="array" ref="X18">INDEX('Population projection'!$F$3:$F$23,MATCH('Revenue projection'!B18,'Population projection'!$B$3:$B$23,0),)</f>
        <v>13170564.086461198</v>
      </c>
      <c r="Y18" s="57">
        <f t="shared" si="0"/>
        <v>3038106700.0803862</v>
      </c>
    </row>
    <row r="19" spans="2:25" x14ac:dyDescent="0.2">
      <c r="B19" s="59">
        <v>2030</v>
      </c>
      <c r="C19" s="35">
        <f>_xlfn.FORECAST.LINEAR($B19,C$5:C18,$B$5:$B18)</f>
        <v>361.25599999999395</v>
      </c>
      <c r="D19" s="35">
        <f>_xlfn.FORECAST.LINEAR($B19,D$5:D18,$B$5:$B18)</f>
        <v>375.63000000000466</v>
      </c>
      <c r="E19" s="35">
        <f>_xlfn.FORECAST.LINEAR($B19,E$5:E18,$B$5:$B18)</f>
        <v>433.63199999999779</v>
      </c>
      <c r="F19" s="35">
        <f>_xlfn.FORECAST.LINEAR($B19,F$5:F18,$B$5:$B18)</f>
        <v>1017.2099999999482</v>
      </c>
      <c r="G19" s="35">
        <f>_xlfn.FORECAST.LINEAR($B19,G$5:G18,$B$5:$B18)</f>
        <v>409.57399999999689</v>
      </c>
      <c r="H19" s="35">
        <f>_xlfn.FORECAST.LINEAR($B19,H$5:H18,$B$5:$B18)</f>
        <v>165.96200000000135</v>
      </c>
      <c r="I19" s="35">
        <f>_xlfn.FORECAST.LINEAR($B19,I$5:I18,$B$5:$B18)</f>
        <v>316.95000000000255</v>
      </c>
      <c r="J19" s="35">
        <f>_xlfn.FORECAST.LINEAR($B19,J$5:J18,$B$5:$B18)</f>
        <v>318.96199999999953</v>
      </c>
      <c r="K19" s="35">
        <f>_xlfn.FORECAST.LINEAR($B19,K$5:K18,$B$5:$B18)</f>
        <v>373.57799999999406</v>
      </c>
      <c r="L19" s="35">
        <f>_xlfn.FORECAST.LINEAR($B19,L$5:L18,$B$5:$B18)</f>
        <v>650.36600000000908</v>
      </c>
      <c r="M19" s="35">
        <f>_xlfn.FORECAST.LINEAR($B19,M$5:M18,$B$5:$B18)</f>
        <v>550.08999999999651</v>
      </c>
      <c r="N19" s="35">
        <f>_xlfn.FORECAST.LINEAR($B19,N$5:N18,$B$5:$B18)</f>
        <v>561.68600000000515</v>
      </c>
      <c r="O19" s="35">
        <f>_xlfn.FORECAST.LINEAR($B19,O$5:O18,$B$5:$B18)</f>
        <v>699.48200000001088</v>
      </c>
      <c r="P19" s="35">
        <f>_xlfn.FORECAST.LINEAR($B19,P$5:P18,$B$5:$B18)</f>
        <v>483.99599999999919</v>
      </c>
      <c r="Q19" s="35">
        <f>_xlfn.FORECAST.LINEAR($B19,Q$5:Q18,$B$5:$B18)</f>
        <v>268.79799999999523</v>
      </c>
      <c r="R19" s="35">
        <f>_xlfn.FORECAST.LINEAR($B19,R$5:R18,$B$5:$B18)</f>
        <v>113.78000000001339</v>
      </c>
      <c r="S19" s="35">
        <f>_xlfn.FORECAST.LINEAR($B19,S$5:S18,$B$5:$B18)</f>
        <v>236.86400000000322</v>
      </c>
      <c r="T19" s="35">
        <f>_xlfn.FORECAST.LINEAR($B19,T$5:T18,$B$5:$B18)</f>
        <v>684.32999999998719</v>
      </c>
      <c r="U19" s="35">
        <f>_xlfn.FORECAST.LINEAR($B19,U$5:U18,$B$5:$B18)</f>
        <v>604.96600000000399</v>
      </c>
      <c r="V19" s="35">
        <f>_xlfn.FORECAST.LINEAR($B19,V$5:V18,$B$5:$B18)</f>
        <v>279.09799999999814</v>
      </c>
      <c r="W19" s="64">
        <f>_xlfn.FORECAST.LINEAR($B19,W$5:W18,$B$5:$B18)</f>
        <v>385.96800000000076</v>
      </c>
      <c r="X19" s="59" cm="1">
        <f t="array" ref="X19">INDEX('Population projection'!$F$3:$F$23,MATCH('Revenue projection'!B19,'Population projection'!$B$3:$B$23,0),)</f>
        <v>13245112.418870445</v>
      </c>
      <c r="Y19" s="57">
        <f t="shared" ref="Y19" si="2">X19*S19</f>
        <v>3137290307.9833717</v>
      </c>
    </row>
    <row r="20" spans="2:25" x14ac:dyDescent="0.2">
      <c r="B20" s="60">
        <v>2031</v>
      </c>
      <c r="C20" s="65">
        <f>_xlfn.FORECAST.LINEAR($B20,C$5:C18,$B$5:$B18)</f>
        <v>379.2239999999947</v>
      </c>
      <c r="D20" s="65">
        <f>_xlfn.FORECAST.LINEAR($B20,D$5:D18,$B$5:$B18)</f>
        <v>381.1520000000055</v>
      </c>
      <c r="E20" s="65">
        <f>_xlfn.FORECAST.LINEAR($B20,E$5:E18,$B$5:$B18)</f>
        <v>444.12299999999595</v>
      </c>
      <c r="F20" s="65">
        <f>_xlfn.FORECAST.LINEAR($B20,F$5:F18,$B$5:$B18)</f>
        <v>1073.7619999999442</v>
      </c>
      <c r="G20" s="65">
        <f>_xlfn.FORECAST.LINEAR($B20,G$5:G18,$B$5:$B18)</f>
        <v>419.12999999999738</v>
      </c>
      <c r="H20" s="65">
        <f>_xlfn.FORECAST.LINEAR($B20,H$5:H18,$B$5:$B18)</f>
        <v>170.63500000000204</v>
      </c>
      <c r="I20" s="65">
        <f>_xlfn.FORECAST.LINEAR($B20,I$5:I18,$B$5:$B18)</f>
        <v>322.49500000000262</v>
      </c>
      <c r="J20" s="65">
        <f>_xlfn.FORECAST.LINEAR($B20,J$5:J18,$B$5:$B18)</f>
        <v>326.35299999999916</v>
      </c>
      <c r="K20" s="65">
        <f>_xlfn.FORECAST.LINEAR($B20,K$5:K18,$B$5:$B18)</f>
        <v>382.67899999999645</v>
      </c>
      <c r="L20" s="65">
        <f>_xlfn.FORECAST.LINEAR($B20,L$5:L18,$B$5:$B18)</f>
        <v>679.67800000000716</v>
      </c>
      <c r="M20" s="65">
        <f>_xlfn.FORECAST.LINEAR($B20,M$5:M18,$B$5:$B18)</f>
        <v>570.69599999999627</v>
      </c>
      <c r="N20" s="65">
        <f>_xlfn.FORECAST.LINEAR($B20,N$5:N18,$B$5:$B18)</f>
        <v>571.80400000000373</v>
      </c>
      <c r="O20" s="65">
        <f>_xlfn.FORECAST.LINEAR($B20,O$5:O18,$B$5:$B18)</f>
        <v>721.23800000000483</v>
      </c>
      <c r="P20" s="65">
        <f>_xlfn.FORECAST.LINEAR($B20,P$5:P18,$B$5:$B18)</f>
        <v>507.86699999999837</v>
      </c>
      <c r="Q20" s="65">
        <f>_xlfn.FORECAST.LINEAR($B20,Q$5:Q18,$B$5:$B18)</f>
        <v>253.94299999999566</v>
      </c>
      <c r="R20" s="65">
        <f>_xlfn.FORECAST.LINEAR($B20,R$5:R18,$B$5:$B18)</f>
        <v>97.065000000009604</v>
      </c>
      <c r="S20" s="65">
        <f>_xlfn.FORECAST.LINEAR($B20,S$5:S18,$B$5:$B18)</f>
        <v>243.05400000000373</v>
      </c>
      <c r="T20" s="65">
        <f>_xlfn.FORECAST.LINEAR($B20,T$5:T18,$B$5:$B18)</f>
        <v>704.97599999998783</v>
      </c>
      <c r="U20" s="65">
        <f>_xlfn.FORECAST.LINEAR($B20,U$5:U18,$B$5:$B18)</f>
        <v>617.61800000000221</v>
      </c>
      <c r="V20" s="65">
        <f>_xlfn.FORECAST.LINEAR($B20,V$5:V18,$B$5:$B18)</f>
        <v>287.21599999999671</v>
      </c>
      <c r="W20" s="66">
        <f>_xlfn.FORECAST.LINEAR($B20,W$5:W18,$B$5:$B18)</f>
        <v>402.73500000000058</v>
      </c>
      <c r="X20" s="60" cm="1">
        <f t="array" ref="X20">INDEX('Population projection'!$F$3:$F$23,MATCH('Revenue projection'!B20,'Population projection'!$B$3:$B$23,0),)</f>
        <v>13246265.690988546</v>
      </c>
      <c r="Y20" s="58">
        <f>X20*S20</f>
        <v>3219557861.2575793</v>
      </c>
    </row>
    <row r="22" spans="2:25" x14ac:dyDescent="0.2">
      <c r="B22" s="107"/>
      <c r="C22" s="107"/>
      <c r="D22" s="107"/>
      <c r="E22" s="107"/>
      <c r="F22" s="107"/>
      <c r="G22" s="107"/>
      <c r="H22" s="107"/>
      <c r="I22" s="107"/>
      <c r="J22" s="107"/>
      <c r="K22" s="107"/>
      <c r="L22" s="107"/>
      <c r="M22" s="107"/>
      <c r="N22" s="107"/>
      <c r="O22" s="107"/>
      <c r="P22" s="107"/>
      <c r="Q22" s="107"/>
      <c r="R22" s="107"/>
      <c r="S22" s="107"/>
      <c r="T22" s="107"/>
      <c r="U22" s="107"/>
      <c r="V22" s="107"/>
      <c r="W22" s="107"/>
      <c r="X22" s="107"/>
      <c r="Y22" s="107"/>
    </row>
    <row r="23" spans="2:25" x14ac:dyDescent="0.2">
      <c r="B23" s="108" t="s">
        <v>14</v>
      </c>
      <c r="C23" s="107"/>
      <c r="D23" s="107"/>
      <c r="E23" s="107"/>
      <c r="F23" s="107"/>
      <c r="G23" s="107"/>
      <c r="H23" s="107"/>
      <c r="I23" s="107"/>
      <c r="J23" s="107"/>
      <c r="K23" s="107"/>
      <c r="L23" s="107"/>
      <c r="M23" s="107"/>
      <c r="N23" s="107"/>
      <c r="O23" s="107"/>
      <c r="P23" s="107"/>
      <c r="Q23" s="107"/>
      <c r="R23" s="107"/>
      <c r="S23" s="107"/>
      <c r="T23" s="107"/>
      <c r="U23" s="107"/>
      <c r="V23" s="107"/>
      <c r="W23" s="107"/>
      <c r="X23" s="107"/>
      <c r="Y23" s="107"/>
    </row>
    <row r="24" spans="2:25" x14ac:dyDescent="0.2">
      <c r="B24" s="107"/>
      <c r="C24" s="107"/>
      <c r="D24" s="107"/>
      <c r="E24" s="107"/>
      <c r="F24" s="107"/>
      <c r="G24" s="107"/>
      <c r="H24" s="107"/>
      <c r="I24" s="107"/>
      <c r="J24" s="107"/>
      <c r="K24" s="107"/>
      <c r="L24" s="107"/>
      <c r="M24" s="107"/>
      <c r="N24" s="107"/>
      <c r="O24" s="107"/>
      <c r="P24" s="107"/>
      <c r="Q24" s="107"/>
      <c r="R24" s="107"/>
      <c r="S24" s="107"/>
      <c r="T24" s="107"/>
      <c r="U24" s="107"/>
      <c r="V24" s="107"/>
      <c r="W24" s="107"/>
      <c r="X24" s="107"/>
      <c r="Y24" s="107"/>
    </row>
    <row r="25" spans="2:25" x14ac:dyDescent="0.2">
      <c r="B25" s="109" t="s">
        <v>1</v>
      </c>
      <c r="C25" s="110" t="str" cm="1">
        <f t="array" ref="C25:W25">TRANSPOSE(Revenue!$A$3:$A$23)</f>
        <v>Bernepamar</v>
      </c>
      <c r="D25" s="110" t="str">
        <v>Byasier Pujan</v>
      </c>
      <c r="E25" s="110" t="str">
        <v>Cuandbo</v>
      </c>
      <c r="F25" s="110" t="str">
        <v>Djipines</v>
      </c>
      <c r="G25" s="110" t="str">
        <v>Dosqaly</v>
      </c>
      <c r="H25" s="110" t="str">
        <v>Eastern Sleboube</v>
      </c>
      <c r="I25" s="110" t="str">
        <v>Esia</v>
      </c>
      <c r="J25" s="110" t="str">
        <v>Galamily</v>
      </c>
      <c r="K25" s="110" t="str">
        <v>Giumle Lizeibon</v>
      </c>
      <c r="L25" s="110" t="str">
        <v>Greri Landmoslands</v>
      </c>
      <c r="M25" s="110" t="str">
        <v>Manlisgamncent</v>
      </c>
      <c r="N25" s="110" t="str">
        <v>Mico</v>
      </c>
      <c r="O25" s="110" t="str">
        <v>Nganion</v>
      </c>
      <c r="P25" s="110" t="str">
        <v>Nkasland Cronestan</v>
      </c>
      <c r="Q25" s="110" t="str">
        <v>People's Land of Maneau</v>
      </c>
      <c r="R25" s="110" t="str">
        <v>Quewenia</v>
      </c>
      <c r="S25" s="110" t="str">
        <v>Rarita</v>
      </c>
      <c r="T25" s="110" t="str">
        <v>Sobianitedrucy</v>
      </c>
      <c r="U25" s="110" t="str">
        <v>Southern Ristan</v>
      </c>
      <c r="V25" s="110" t="str">
        <v>Unicorporated Tiagascar</v>
      </c>
      <c r="W25" s="111" t="str">
        <v>Xikong</v>
      </c>
      <c r="X25" s="109" t="s">
        <v>85</v>
      </c>
      <c r="Y25" s="111" t="s">
        <v>86</v>
      </c>
    </row>
    <row r="26" spans="2:25" x14ac:dyDescent="0.2">
      <c r="B26" s="112">
        <v>2016</v>
      </c>
      <c r="C26" s="113">
        <f>INDEX(Revenue!$R$3:$U$23,MATCH(C$4,Revenue!$A$3:$A$23,0),MATCH($B$23,Revenue!$R$2:$U$2,0))</f>
        <v>51.63</v>
      </c>
      <c r="D26" s="113">
        <f>INDEX(Revenue!$R$3:$U$23,MATCH(D$4,Revenue!$A$3:$A$23,0),MATCH($B$23,Revenue!$R$2:$U$2,0))</f>
        <v>121.58</v>
      </c>
      <c r="E26" s="113">
        <f>INDEX(Revenue!$R$3:$U$23,MATCH(E$4,Revenue!$A$3:$A$23,0),MATCH($B$23,Revenue!$R$2:$U$2,0))</f>
        <v>180.98</v>
      </c>
      <c r="F26" s="113">
        <f>INDEX(Revenue!$R$3:$U$23,MATCH(F$4,Revenue!$A$3:$A$23,0),MATCH($B$23,Revenue!$R$2:$U$2,0))</f>
        <v>87.61</v>
      </c>
      <c r="G26" s="113">
        <f>INDEX(Revenue!$R$3:$U$23,MATCH(G$4,Revenue!$A$3:$A$23,0),MATCH($B$23,Revenue!$R$2:$U$2,0))</f>
        <v>66.89</v>
      </c>
      <c r="H26" s="113">
        <f>INDEX(Revenue!$R$3:$U$23,MATCH(H$4,Revenue!$A$3:$A$23,0),MATCH($B$23,Revenue!$R$2:$U$2,0))</f>
        <v>22.87</v>
      </c>
      <c r="I26" s="113">
        <f>INDEX(Revenue!$R$3:$U$23,MATCH(I$4,Revenue!$A$3:$A$23,0),MATCH($B$23,Revenue!$R$2:$U$2,0))</f>
        <v>60.05</v>
      </c>
      <c r="J26" s="113">
        <f>INDEX(Revenue!$R$3:$U$23,MATCH(J$4,Revenue!$A$3:$A$23,0),MATCH($B$23,Revenue!$R$2:$U$2,0))</f>
        <v>104.2</v>
      </c>
      <c r="K26" s="113">
        <f>INDEX(Revenue!$R$3:$U$23,MATCH(K$4,Revenue!$A$3:$A$23,0),MATCH($B$23,Revenue!$R$2:$U$2,0))</f>
        <v>142.53</v>
      </c>
      <c r="L26" s="113">
        <f>INDEX(Revenue!$R$3:$U$23,MATCH(L$4,Revenue!$A$3:$A$23,0),MATCH($B$23,Revenue!$R$2:$U$2,0))</f>
        <v>99.8</v>
      </c>
      <c r="M26" s="113">
        <f>INDEX(Revenue!$R$3:$U$23,MATCH(M$4,Revenue!$A$3:$A$23,0),MATCH($B$23,Revenue!$R$2:$U$2,0))</f>
        <v>73.739999999999995</v>
      </c>
      <c r="N26" s="113">
        <f>INDEX(Revenue!$R$3:$U$23,MATCH(N$4,Revenue!$A$3:$A$23,0),MATCH($B$23,Revenue!$R$2:$U$2,0))</f>
        <v>179.79</v>
      </c>
      <c r="O26" s="113">
        <f>INDEX(Revenue!$R$3:$U$23,MATCH(O$4,Revenue!$A$3:$A$23,0),MATCH($B$23,Revenue!$R$2:$U$2,0))</f>
        <v>127.68</v>
      </c>
      <c r="P26" s="113">
        <f>INDEX(Revenue!$R$3:$U$23,MATCH(P$4,Revenue!$A$3:$A$23,0),MATCH($B$23,Revenue!$R$2:$U$2,0))</f>
        <v>71.72</v>
      </c>
      <c r="Q26" s="113">
        <f>INDEX(Revenue!$R$3:$U$23,MATCH(Q$4,Revenue!$A$3:$A$23,0),MATCH($B$23,Revenue!$R$2:$U$2,0))</f>
        <v>128.05000000000001</v>
      </c>
      <c r="R26" s="113">
        <f>INDEX(Revenue!$R$3:$U$23,MATCH(R$4,Revenue!$A$3:$A$23,0),MATCH($B$23,Revenue!$R$2:$U$2,0))</f>
        <v>137.37</v>
      </c>
      <c r="S26" s="113">
        <f>INDEX(Revenue!$R$3:$U$23,MATCH(S$4,Revenue!$A$3:$A$23,0),MATCH($B$23,Revenue!$R$2:$U$2,0))</f>
        <v>56.27</v>
      </c>
      <c r="T26" s="113">
        <f>INDEX(Revenue!$R$3:$U$23,MATCH(T$4,Revenue!$A$3:$A$23,0),MATCH($B$23,Revenue!$R$2:$U$2,0))</f>
        <v>212.22</v>
      </c>
      <c r="U26" s="113">
        <f>INDEX(Revenue!$R$3:$U$23,MATCH(U$4,Revenue!$A$3:$A$23,0),MATCH($B$23,Revenue!$R$2:$U$2,0))</f>
        <v>149.25</v>
      </c>
      <c r="V26" s="113">
        <f>INDEX(Revenue!$R$3:$U$23,MATCH(V$4,Revenue!$A$3:$A$23,0),MATCH($B$23,Revenue!$R$2:$U$2,0))</f>
        <v>53.71</v>
      </c>
      <c r="W26" s="114">
        <f>INDEX(Revenue!$R$3:$U$23,MATCH(W$4,Revenue!$A$3:$A$23,0),MATCH($B$23,Revenue!$R$2:$U$2,0))</f>
        <v>87.52</v>
      </c>
      <c r="X26" s="112" cm="1">
        <f t="array" ref="X26">INDEX('Population projection'!$F$3:$F$23,MATCH('Revenue projection'!B26,'Population projection'!$B$3:$B$23,0),)</f>
        <v>12331271</v>
      </c>
      <c r="Y26" s="115">
        <f>X26*S26</f>
        <v>693880619.17000008</v>
      </c>
    </row>
    <row r="27" spans="2:25" x14ac:dyDescent="0.2">
      <c r="B27" s="112">
        <f>B26+1</f>
        <v>2017</v>
      </c>
      <c r="C27" s="113">
        <f>INDEX(Revenue!$N$3:$Q$23,MATCH(C$4,Revenue!$A$3:$A$23,0),MATCH($B$23,Revenue!$R$2:$U$2,0))</f>
        <v>54.52</v>
      </c>
      <c r="D27" s="113">
        <f>INDEX(Revenue!$N$3:$Q$23,MATCH(D$4,Revenue!$A$3:$A$23,0),MATCH($B$23,Revenue!$R$2:$U$2,0))</f>
        <v>132.61000000000001</v>
      </c>
      <c r="E27" s="113">
        <f>INDEX(Revenue!$N$3:$Q$23,MATCH(E$4,Revenue!$A$3:$A$23,0),MATCH($B$23,Revenue!$R$2:$U$2,0))</f>
        <v>239.93</v>
      </c>
      <c r="F27" s="113">
        <f>INDEX(Revenue!$N$3:$Q$23,MATCH(F$4,Revenue!$A$3:$A$23,0),MATCH($B$23,Revenue!$R$2:$U$2,0))</f>
        <v>104.64</v>
      </c>
      <c r="G27" s="113">
        <f>INDEX(Revenue!$N$3:$Q$23,MATCH(G$4,Revenue!$A$3:$A$23,0),MATCH($B$23,Revenue!$R$2:$U$2,0))</f>
        <v>66.16</v>
      </c>
      <c r="H27" s="113">
        <f>INDEX(Revenue!$N$3:$Q$23,MATCH(H$4,Revenue!$A$3:$A$23,0),MATCH($B$23,Revenue!$R$2:$U$2,0))</f>
        <v>8.57</v>
      </c>
      <c r="I27" s="113">
        <f>INDEX(Revenue!$N$3:$Q$23,MATCH(I$4,Revenue!$A$3:$A$23,0),MATCH($B$23,Revenue!$R$2:$U$2,0))</f>
        <v>59.42</v>
      </c>
      <c r="J27" s="113">
        <f>INDEX(Revenue!$N$3:$Q$23,MATCH(J$4,Revenue!$A$3:$A$23,0),MATCH($B$23,Revenue!$R$2:$U$2,0))</f>
        <v>123.96</v>
      </c>
      <c r="K27" s="113">
        <f>INDEX(Revenue!$N$3:$Q$23,MATCH(K$4,Revenue!$A$3:$A$23,0),MATCH($B$23,Revenue!$R$2:$U$2,0))</f>
        <v>214.51</v>
      </c>
      <c r="L27" s="113">
        <f>INDEX(Revenue!$N$3:$Q$23,MATCH(L$4,Revenue!$A$3:$A$23,0),MATCH($B$23,Revenue!$R$2:$U$2,0))</f>
        <v>108.97</v>
      </c>
      <c r="M27" s="113">
        <f>INDEX(Revenue!$N$3:$Q$23,MATCH(M$4,Revenue!$A$3:$A$23,0),MATCH($B$23,Revenue!$R$2:$U$2,0))</f>
        <v>113.3</v>
      </c>
      <c r="N27" s="113">
        <f>INDEX(Revenue!$N$3:$Q$23,MATCH(N$4,Revenue!$A$3:$A$23,0),MATCH($B$23,Revenue!$R$2:$U$2,0))</f>
        <v>176.77</v>
      </c>
      <c r="O27" s="113">
        <f>INDEX(Revenue!$N$3:$Q$23,MATCH(O$4,Revenue!$A$3:$A$23,0),MATCH($B$23,Revenue!$R$2:$U$2,0))</f>
        <v>134.91</v>
      </c>
      <c r="P27" s="113">
        <f>INDEX(Revenue!$N$3:$Q$23,MATCH(P$4,Revenue!$A$3:$A$23,0),MATCH($B$23,Revenue!$R$2:$U$2,0))</f>
        <v>106.12</v>
      </c>
      <c r="Q27" s="113">
        <f>INDEX(Revenue!$N$3:$Q$23,MATCH(Q$4,Revenue!$A$3:$A$23,0),MATCH($B$23,Revenue!$R$2:$U$2,0))</f>
        <v>152.83000000000001</v>
      </c>
      <c r="R27" s="113">
        <f>INDEX(Revenue!$N$3:$Q$23,MATCH(R$4,Revenue!$A$3:$A$23,0),MATCH($B$23,Revenue!$R$2:$U$2,0))</f>
        <v>166.58</v>
      </c>
      <c r="S27" s="113">
        <f>INDEX(Revenue!$N$3:$Q$23,MATCH(S$4,Revenue!$A$3:$A$23,0),MATCH($B$23,Revenue!$R$2:$U$2,0))</f>
        <v>64.260000000000005</v>
      </c>
      <c r="T27" s="113">
        <f>INDEX(Revenue!$N$3:$Q$23,MATCH(T$4,Revenue!$A$3:$A$23,0),MATCH($B$23,Revenue!$R$2:$U$2,0))</f>
        <v>253.74</v>
      </c>
      <c r="U27" s="113">
        <f>INDEX(Revenue!$N$3:$Q$23,MATCH(U$4,Revenue!$A$3:$A$23,0),MATCH($B$23,Revenue!$R$2:$U$2,0))</f>
        <v>154.54</v>
      </c>
      <c r="V27" s="113">
        <f>INDEX(Revenue!$N$3:$Q$23,MATCH(V$4,Revenue!$A$3:$A$23,0),MATCH($B$23,Revenue!$R$2:$U$2,0))</f>
        <v>59.33</v>
      </c>
      <c r="W27" s="114">
        <f>INDEX(Revenue!$N$3:$Q$23,MATCH(W$4,Revenue!$A$3:$A$23,0),MATCH($B$23,Revenue!$R$2:$U$2,0))</f>
        <v>100.01</v>
      </c>
      <c r="X27" s="112" cm="1">
        <f t="array" ref="X27">INDEX('Population projection'!$F$3:$F$23,MATCH('Revenue projection'!B27,'Population projection'!$B$3:$B$23,0),)</f>
        <v>12393007</v>
      </c>
      <c r="Y27" s="115">
        <f t="shared" ref="Y27:Y40" si="3">X27*S27</f>
        <v>796374629.82000005</v>
      </c>
    </row>
    <row r="28" spans="2:25" x14ac:dyDescent="0.2">
      <c r="B28" s="112">
        <f t="shared" ref="B28:B40" si="4">B27+1</f>
        <v>2018</v>
      </c>
      <c r="C28" s="113">
        <f>INDEX(Revenue!$J$3:$M$23,MATCH(C$4,Revenue!$A$3:$A$23,0),MATCH($B$23,Revenue!$R$2:$U$2,0))</f>
        <v>51.59</v>
      </c>
      <c r="D28" s="113">
        <f>INDEX(Revenue!$J$3:$M$23,MATCH(D$4,Revenue!$A$3:$A$23,0),MATCH($B$23,Revenue!$R$2:$U$2,0))</f>
        <v>132.94999999999999</v>
      </c>
      <c r="E28" s="113">
        <f>INDEX(Revenue!$J$3:$M$23,MATCH(E$4,Revenue!$A$3:$A$23,0),MATCH($B$23,Revenue!$R$2:$U$2,0))</f>
        <v>245.88</v>
      </c>
      <c r="F28" s="113">
        <f>INDEX(Revenue!$J$3:$M$23,MATCH(F$4,Revenue!$A$3:$A$23,0),MATCH($B$23,Revenue!$R$2:$U$2,0))</f>
        <v>133.94999999999999</v>
      </c>
      <c r="G28" s="113">
        <f>INDEX(Revenue!$J$3:$M$23,MATCH(G$4,Revenue!$A$3:$A$23,0),MATCH($B$23,Revenue!$R$2:$U$2,0))</f>
        <v>69.22</v>
      </c>
      <c r="H28" s="113">
        <f>INDEX(Revenue!$J$3:$M$23,MATCH(H$4,Revenue!$A$3:$A$23,0),MATCH($B$23,Revenue!$R$2:$U$2,0))</f>
        <v>7.43</v>
      </c>
      <c r="I28" s="113">
        <f>INDEX(Revenue!$J$3:$M$23,MATCH(I$4,Revenue!$A$3:$A$23,0),MATCH($B$23,Revenue!$R$2:$U$2,0))</f>
        <v>71.33</v>
      </c>
      <c r="J28" s="113">
        <f>INDEX(Revenue!$J$3:$M$23,MATCH(J$4,Revenue!$A$3:$A$23,0),MATCH($B$23,Revenue!$R$2:$U$2,0))</f>
        <v>81.12</v>
      </c>
      <c r="K28" s="113">
        <f>INDEX(Revenue!$J$3:$M$23,MATCH(K$4,Revenue!$A$3:$A$23,0),MATCH($B$23,Revenue!$R$2:$U$2,0))</f>
        <v>177.16</v>
      </c>
      <c r="L28" s="113">
        <f>INDEX(Revenue!$J$3:$M$23,MATCH(L$4,Revenue!$A$3:$A$23,0),MATCH($B$23,Revenue!$R$2:$U$2,0))</f>
        <v>149.71</v>
      </c>
      <c r="M28" s="113">
        <f>INDEX(Revenue!$J$3:$M$23,MATCH(M$4,Revenue!$A$3:$A$23,0),MATCH($B$23,Revenue!$R$2:$U$2,0))</f>
        <v>110.68</v>
      </c>
      <c r="N28" s="113">
        <f>INDEX(Revenue!$J$3:$M$23,MATCH(N$4,Revenue!$A$3:$A$23,0),MATCH($B$23,Revenue!$R$2:$U$2,0))</f>
        <v>214.98</v>
      </c>
      <c r="O28" s="113">
        <f>INDEX(Revenue!$J$3:$M$23,MATCH(O$4,Revenue!$A$3:$A$23,0),MATCH($B$23,Revenue!$R$2:$U$2,0))</f>
        <v>139.32</v>
      </c>
      <c r="P28" s="113">
        <f>INDEX(Revenue!$J$3:$M$23,MATCH(P$4,Revenue!$A$3:$A$23,0),MATCH($B$23,Revenue!$R$2:$U$2,0))</f>
        <v>109.99</v>
      </c>
      <c r="Q28" s="113">
        <f>INDEX(Revenue!$J$3:$M$23,MATCH(Q$4,Revenue!$A$3:$A$23,0),MATCH($B$23,Revenue!$R$2:$U$2,0))</f>
        <v>154.53</v>
      </c>
      <c r="R28" s="113">
        <f>INDEX(Revenue!$J$3:$M$23,MATCH(R$4,Revenue!$A$3:$A$23,0),MATCH($B$23,Revenue!$R$2:$U$2,0))</f>
        <v>145.65</v>
      </c>
      <c r="S28" s="113">
        <f>INDEX(Revenue!$J$3:$M$23,MATCH(S$4,Revenue!$A$3:$A$23,0),MATCH($B$23,Revenue!$R$2:$U$2,0))</f>
        <v>65.41</v>
      </c>
      <c r="T28" s="113">
        <f>INDEX(Revenue!$J$3:$M$23,MATCH(T$4,Revenue!$A$3:$A$23,0),MATCH($B$23,Revenue!$R$2:$U$2,0))</f>
        <v>217.29</v>
      </c>
      <c r="U28" s="113">
        <f>INDEX(Revenue!$J$3:$M$23,MATCH(U$4,Revenue!$A$3:$A$23,0),MATCH($B$23,Revenue!$R$2:$U$2,0))</f>
        <v>162.93</v>
      </c>
      <c r="V28" s="113">
        <f>INDEX(Revenue!$J$3:$M$23,MATCH(V$4,Revenue!$A$3:$A$23,0),MATCH($B$23,Revenue!$R$2:$U$2,0))</f>
        <v>66.39</v>
      </c>
      <c r="W28" s="114">
        <f>INDEX(Revenue!$J$3:$M$23,MATCH(W$4,Revenue!$A$3:$A$23,0),MATCH($B$23,Revenue!$R$2:$U$2,0))</f>
        <v>97.01</v>
      </c>
      <c r="X28" s="112" cm="1">
        <f t="array" ref="X28">INDEX('Population projection'!$F$3:$F$23,MATCH('Revenue projection'!B28,'Population projection'!$B$3:$B$23,0),)</f>
        <v>12463353</v>
      </c>
      <c r="Y28" s="115">
        <f t="shared" si="3"/>
        <v>815227919.7299999</v>
      </c>
    </row>
    <row r="29" spans="2:25" x14ac:dyDescent="0.2">
      <c r="B29" s="112">
        <f t="shared" si="4"/>
        <v>2019</v>
      </c>
      <c r="C29" s="113">
        <f>INDEX(Revenue!$F$3:$I$23,MATCH(C$4,Revenue!$A$3:$A$23,0),MATCH($B$23,Revenue!$R$2:$U$2,0))</f>
        <v>84.21</v>
      </c>
      <c r="D29" s="113">
        <f>INDEX(Revenue!$F$3:$I$23,MATCH(D$4,Revenue!$A$3:$A$23,0),MATCH($B$23,Revenue!$R$2:$U$2,0))</f>
        <v>158.61000000000001</v>
      </c>
      <c r="E29" s="113">
        <f>INDEX(Revenue!$F$3:$I$23,MATCH(E$4,Revenue!$A$3:$A$23,0),MATCH($B$23,Revenue!$R$2:$U$2,0))</f>
        <v>228.5</v>
      </c>
      <c r="F29" s="113">
        <f>INDEX(Revenue!$F$3:$I$23,MATCH(F$4,Revenue!$A$3:$A$23,0),MATCH($B$23,Revenue!$R$2:$U$2,0))</f>
        <v>224.66</v>
      </c>
      <c r="G29" s="113">
        <f>INDEX(Revenue!$F$3:$I$23,MATCH(G$4,Revenue!$A$3:$A$23,0),MATCH($B$23,Revenue!$R$2:$U$2,0))</f>
        <v>84.72</v>
      </c>
      <c r="H29" s="113">
        <f>INDEX(Revenue!$F$3:$I$23,MATCH(H$4,Revenue!$A$3:$A$23,0),MATCH($B$23,Revenue!$R$2:$U$2,0))</f>
        <v>8.57</v>
      </c>
      <c r="I29" s="113">
        <f>INDEX(Revenue!$F$3:$I$23,MATCH(I$4,Revenue!$A$3:$A$23,0),MATCH($B$23,Revenue!$R$2:$U$2,0))</f>
        <v>84.85</v>
      </c>
      <c r="J29" s="113">
        <f>INDEX(Revenue!$F$3:$I$23,MATCH(J$4,Revenue!$A$3:$A$23,0),MATCH($B$23,Revenue!$R$2:$U$2,0))</f>
        <v>151.65</v>
      </c>
      <c r="K29" s="113">
        <f>INDEX(Revenue!$F$3:$I$23,MATCH(K$4,Revenue!$A$3:$A$23,0),MATCH($B$23,Revenue!$R$2:$U$2,0))</f>
        <v>209.63</v>
      </c>
      <c r="L29" s="113">
        <f>INDEX(Revenue!$F$3:$I$23,MATCH(L$4,Revenue!$A$3:$A$23,0),MATCH($B$23,Revenue!$R$2:$U$2,0))</f>
        <v>178.29</v>
      </c>
      <c r="M29" s="113">
        <f>INDEX(Revenue!$F$3:$I$23,MATCH(M$4,Revenue!$A$3:$A$23,0),MATCH($B$23,Revenue!$R$2:$U$2,0))</f>
        <v>152.35</v>
      </c>
      <c r="N29" s="113">
        <f>INDEX(Revenue!$F$3:$I$23,MATCH(N$4,Revenue!$A$3:$A$23,0),MATCH($B$23,Revenue!$R$2:$U$2,0))</f>
        <v>210.5</v>
      </c>
      <c r="O29" s="113">
        <f>INDEX(Revenue!$F$3:$I$23,MATCH(O$4,Revenue!$A$3:$A$23,0),MATCH($B$23,Revenue!$R$2:$U$2,0))</f>
        <v>184.84</v>
      </c>
      <c r="P29" s="113">
        <f>INDEX(Revenue!$F$3:$I$23,MATCH(P$4,Revenue!$A$3:$A$23,0),MATCH($B$23,Revenue!$R$2:$U$2,0))</f>
        <v>134.25</v>
      </c>
      <c r="Q29" s="113">
        <f>INDEX(Revenue!$F$3:$I$23,MATCH(Q$4,Revenue!$A$3:$A$23,0),MATCH($B$23,Revenue!$R$2:$U$2,0))</f>
        <v>183.04</v>
      </c>
      <c r="R29" s="113">
        <f>INDEX(Revenue!$F$3:$I$23,MATCH(R$4,Revenue!$A$3:$A$23,0),MATCH($B$23,Revenue!$R$2:$U$2,0))</f>
        <v>147.41</v>
      </c>
      <c r="S29" s="113">
        <f>INDEX(Revenue!$F$3:$I$23,MATCH(S$4,Revenue!$A$3:$A$23,0),MATCH($B$23,Revenue!$R$2:$U$2,0))</f>
        <v>78.61</v>
      </c>
      <c r="T29" s="113">
        <f>INDEX(Revenue!$F$3:$I$23,MATCH(T$4,Revenue!$A$3:$A$23,0),MATCH($B$23,Revenue!$R$2:$U$2,0))</f>
        <v>229.7</v>
      </c>
      <c r="U29" s="113">
        <f>INDEX(Revenue!$F$3:$I$23,MATCH(U$4,Revenue!$A$3:$A$23,0),MATCH($B$23,Revenue!$R$2:$U$2,0))</f>
        <v>166.57</v>
      </c>
      <c r="V29" s="113">
        <f>INDEX(Revenue!$F$3:$I$23,MATCH(V$4,Revenue!$A$3:$A$23,0),MATCH($B$23,Revenue!$R$2:$U$2,0))</f>
        <v>118.27</v>
      </c>
      <c r="W29" s="114">
        <f>INDEX(Revenue!$F$3:$I$23,MATCH(W$4,Revenue!$A$3:$A$23,0),MATCH($B$23,Revenue!$R$2:$U$2,0))</f>
        <v>127.03</v>
      </c>
      <c r="X29" s="112" cm="1">
        <f t="array" ref="X29">INDEX('Population projection'!$F$3:$F$23,MATCH('Revenue projection'!B29,'Population projection'!$B$3:$B$23,0),)</f>
        <v>12548788</v>
      </c>
      <c r="Y29" s="115">
        <f t="shared" si="3"/>
        <v>986460224.67999995</v>
      </c>
    </row>
    <row r="30" spans="2:25" x14ac:dyDescent="0.2">
      <c r="B30" s="116">
        <f t="shared" si="4"/>
        <v>2020</v>
      </c>
      <c r="C30" s="117">
        <f>INDEX(Revenue!$B$3:$E$23,MATCH(C$4,Revenue!$A$3:$A$23,0),MATCH($B$23,Revenue!$R$2:$U$2,0))</f>
        <v>72.53</v>
      </c>
      <c r="D30" s="117">
        <f>INDEX(Revenue!$B$3:$E$23,MATCH(D$4,Revenue!$A$3:$A$23,0),MATCH($B$23,Revenue!$R$2:$U$2,0))</f>
        <v>119.26</v>
      </c>
      <c r="E30" s="117">
        <f>INDEX(Revenue!$B$3:$E$23,MATCH(E$4,Revenue!$A$3:$A$23,0),MATCH($B$23,Revenue!$R$2:$U$2,0))</f>
        <v>165.68</v>
      </c>
      <c r="F30" s="117">
        <f>INDEX(Revenue!$B$3:$E$23,MATCH(F$4,Revenue!$A$3:$A$23,0),MATCH($B$23,Revenue!$R$2:$U$2,0))</f>
        <v>223.16</v>
      </c>
      <c r="G30" s="117">
        <f>INDEX(Revenue!$B$3:$E$23,MATCH(G$4,Revenue!$A$3:$A$23,0),MATCH($B$23,Revenue!$R$2:$U$2,0))</f>
        <v>80.77</v>
      </c>
      <c r="H30" s="117">
        <f>INDEX(Revenue!$B$3:$E$23,MATCH(H$4,Revenue!$A$3:$A$23,0),MATCH($B$23,Revenue!$R$2:$U$2,0))</f>
        <v>26.91</v>
      </c>
      <c r="I30" s="117">
        <f>INDEX(Revenue!$B$3:$E$23,MATCH(I$4,Revenue!$A$3:$A$23,0),MATCH($B$23,Revenue!$R$2:$U$2,0))</f>
        <v>81.48</v>
      </c>
      <c r="J30" s="117">
        <f>INDEX(Revenue!$B$3:$E$23,MATCH(J$4,Revenue!$A$3:$A$23,0),MATCH($B$23,Revenue!$R$2:$U$2,0))</f>
        <v>121.51</v>
      </c>
      <c r="K30" s="117">
        <f>INDEX(Revenue!$B$3:$E$23,MATCH(K$4,Revenue!$A$3:$A$23,0),MATCH($B$23,Revenue!$R$2:$U$2,0))</f>
        <v>182.84</v>
      </c>
      <c r="L30" s="117">
        <f>INDEX(Revenue!$B$3:$E$23,MATCH(L$4,Revenue!$A$3:$A$23,0),MATCH($B$23,Revenue!$R$2:$U$2,0))</f>
        <v>138.68</v>
      </c>
      <c r="M30" s="117">
        <f>INDEX(Revenue!$B$3:$E$23,MATCH(M$4,Revenue!$A$3:$A$23,0),MATCH($B$23,Revenue!$R$2:$U$2,0))</f>
        <v>155.78</v>
      </c>
      <c r="N30" s="117">
        <f>INDEX(Revenue!$B$3:$E$23,MATCH(N$4,Revenue!$A$3:$A$23,0),MATCH($B$23,Revenue!$R$2:$U$2,0))</f>
        <v>192.32</v>
      </c>
      <c r="O30" s="117">
        <f>INDEX(Revenue!$B$3:$E$23,MATCH(O$4,Revenue!$A$3:$A$23,0),MATCH($B$23,Revenue!$R$2:$U$2,0))</f>
        <v>153.43</v>
      </c>
      <c r="P30" s="117">
        <f>INDEX(Revenue!$B$3:$E$23,MATCH(P$4,Revenue!$A$3:$A$23,0),MATCH($B$23,Revenue!$R$2:$U$2,0))</f>
        <v>75.150000000000006</v>
      </c>
      <c r="Q30" s="117">
        <f>INDEX(Revenue!$B$3:$E$23,MATCH(Q$4,Revenue!$A$3:$A$23,0),MATCH($B$23,Revenue!$R$2:$U$2,0))</f>
        <v>106.24</v>
      </c>
      <c r="R30" s="117">
        <f>INDEX(Revenue!$B$3:$E$23,MATCH(R$4,Revenue!$A$3:$A$23,0),MATCH($B$23,Revenue!$R$2:$U$2,0))</f>
        <v>94.34</v>
      </c>
      <c r="S30" s="117">
        <f>INDEX(Revenue!$B$3:$E$23,MATCH(S$4,Revenue!$A$3:$A$23,0),MATCH($B$23,Revenue!$R$2:$U$2,0))</f>
        <v>63.44</v>
      </c>
      <c r="T30" s="117">
        <f>INDEX(Revenue!$B$3:$E$23,MATCH(T$4,Revenue!$A$3:$A$23,0),MATCH($B$23,Revenue!$R$2:$U$2,0))</f>
        <v>184.08</v>
      </c>
      <c r="U30" s="117">
        <f>INDEX(Revenue!$B$3:$E$23,MATCH(U$4,Revenue!$A$3:$A$23,0),MATCH($B$23,Revenue!$R$2:$U$2,0))</f>
        <v>143.78</v>
      </c>
      <c r="V30" s="117">
        <f>INDEX(Revenue!$B$3:$E$23,MATCH(V$4,Revenue!$A$3:$A$23,0),MATCH($B$23,Revenue!$R$2:$U$2,0))</f>
        <v>70.22</v>
      </c>
      <c r="W30" s="118">
        <f>INDEX(Revenue!$B$3:$E$23,MATCH(W$4,Revenue!$A$3:$A$23,0),MATCH($B$23,Revenue!$R$2:$U$2,0))</f>
        <v>120.09</v>
      </c>
      <c r="X30" s="116" cm="1">
        <f t="array" ref="X30">INDEX('Population projection'!$F$3:$F$23,MATCH('Revenue projection'!B30,'Population projection'!$B$3:$B$23,0),)</f>
        <v>12569472</v>
      </c>
      <c r="Y30" s="119">
        <f t="shared" si="3"/>
        <v>797407303.67999995</v>
      </c>
    </row>
    <row r="31" spans="2:25" x14ac:dyDescent="0.2">
      <c r="B31" s="120">
        <f t="shared" si="4"/>
        <v>2021</v>
      </c>
      <c r="C31" s="121">
        <f>_xlfn.FORECAST.LINEAR($B31,C$26:C30,$B$26:$B30)</f>
        <v>84.343000000000757</v>
      </c>
      <c r="D31" s="121">
        <f>_xlfn.FORECAST.LINEAR($B31,D$26:D30,$B$26:$B30)</f>
        <v>139.40999999999985</v>
      </c>
      <c r="E31" s="121">
        <f>_xlfn.FORECAST.LINEAR($B31,E$26:E30,$B$26:$B30)</f>
        <v>199.58499999999913</v>
      </c>
      <c r="F31" s="121">
        <f>_xlfn.FORECAST.LINEAR($B31,F$26:F30,$B$26:$B30)</f>
        <v>272.13999999999942</v>
      </c>
      <c r="G31" s="121">
        <f>_xlfn.FORECAST.LINEAR($B31,G$26:G30,$B$26:$B30)</f>
        <v>87.447999999998501</v>
      </c>
      <c r="H31" s="121">
        <f>_xlfn.FORECAST.LINEAR($B31,H$26:H30,$B$26:$B30)</f>
        <v>17.293999999999869</v>
      </c>
      <c r="I31" s="121">
        <f>_xlfn.FORECAST.LINEAR($B31,I$26:I30,$B$26:$B30)</f>
        <v>91.913000000000466</v>
      </c>
      <c r="J31" s="121">
        <f>_xlfn.FORECAST.LINEAR($B31,J$26:J30,$B$26:$B30)</f>
        <v>135.18100000000049</v>
      </c>
      <c r="K31" s="121">
        <f>_xlfn.FORECAST.LINEAR($B31,K$26:K30,$B$26:$B30)</f>
        <v>208.05600000000049</v>
      </c>
      <c r="L31" s="121">
        <f>_xlfn.FORECAST.LINEAR($B31,L$26:L30,$B$26:$B30)</f>
        <v>179.21399999999994</v>
      </c>
      <c r="M31" s="121">
        <f>_xlfn.FORECAST.LINEAR($B31,M$26:M30,$B$26:$B30)</f>
        <v>182.10899999999674</v>
      </c>
      <c r="N31" s="121">
        <f>_xlfn.FORECAST.LINEAR($B31,N$26:N30,$B$26:$B30)</f>
        <v>212.50900000000001</v>
      </c>
      <c r="O31" s="121">
        <f>_xlfn.FORECAST.LINEAR($B31,O$26:O30,$B$26:$B30)</f>
        <v>178.46500000000015</v>
      </c>
      <c r="P31" s="121">
        <f>_xlfn.FORECAST.LINEAR($B31,P$26:P30,$B$26:$B30)</f>
        <v>109.94300000000021</v>
      </c>
      <c r="Q31" s="121">
        <f>_xlfn.FORECAST.LINEAR($B31,Q$26:Q30,$B$26:$B30)</f>
        <v>140.91500000000042</v>
      </c>
      <c r="R31" s="121">
        <f>_xlfn.FORECAST.LINEAR($B31,R$26:R30,$B$26:$B30)</f>
        <v>106.70100000000093</v>
      </c>
      <c r="S31" s="121">
        <f>_xlfn.FORECAST.LINEAR($B31,S$26:S30,$B$26:$B30)</f>
        <v>74.204999999999927</v>
      </c>
      <c r="T31" s="121">
        <f>_xlfn.FORECAST.LINEAR($B31,T$26:T30,$B$26:$B30)</f>
        <v>195.30999999999949</v>
      </c>
      <c r="U31" s="121">
        <f>_xlfn.FORECAST.LINEAR($B31,U$26:U30,$B$26:$B30)</f>
        <v>155.74099999999999</v>
      </c>
      <c r="V31" s="121">
        <f>_xlfn.FORECAST.LINEAR($B31,V$26:V30,$B$26:$B30)</f>
        <v>101.17199999999866</v>
      </c>
      <c r="W31" s="122">
        <f>_xlfn.FORECAST.LINEAR($B31,W$26:W30,$B$26:$B30)</f>
        <v>133.97999999999956</v>
      </c>
      <c r="X31" s="120" cm="1">
        <f t="array" ref="X31">INDEX('Population projection'!$F$3:$F$23,MATCH('Revenue projection'!B31,'Population projection'!$B$3:$B$23,0),)</f>
        <v>12630242.517640233</v>
      </c>
      <c r="Y31" s="115">
        <f t="shared" si="3"/>
        <v>937227146.0214926</v>
      </c>
    </row>
    <row r="32" spans="2:25" x14ac:dyDescent="0.2">
      <c r="B32" s="120">
        <f t="shared" si="4"/>
        <v>2022</v>
      </c>
      <c r="C32" s="121">
        <f>_xlfn.FORECAST.LINEAR($B32,C$26:C31,$B$26:$B31)</f>
        <v>91.49199999999837</v>
      </c>
      <c r="D32" s="121">
        <f>_xlfn.FORECAST.LINEAR($B32,D$26:D31,$B$26:$B31)</f>
        <v>141.54600000000028</v>
      </c>
      <c r="E32" s="121">
        <f>_xlfn.FORECAST.LINEAR($B32,E$26:E31,$B$26:$B31)</f>
        <v>195.38200000000143</v>
      </c>
      <c r="F32" s="121">
        <f>_xlfn.FORECAST.LINEAR($B32,F$26:F31,$B$26:$B31)</f>
        <v>311.25200000000768</v>
      </c>
      <c r="G32" s="121">
        <f>_xlfn.FORECAST.LINEAR($B32,G$26:G31,$B$26:$B31)</f>
        <v>92.079999999998108</v>
      </c>
      <c r="H32" s="121">
        <f>_xlfn.FORECAST.LINEAR($B32,H$26:H31,$B$26:$B31)</f>
        <v>18.101999999999862</v>
      </c>
      <c r="I32" s="121">
        <f>_xlfn.FORECAST.LINEAR($B32,I$26:I31,$B$26:$B31)</f>
        <v>98.742000000000189</v>
      </c>
      <c r="J32" s="121">
        <f>_xlfn.FORECAST.LINEAR($B32,J$26:J31,$B$26:$B31)</f>
        <v>141.41200000000026</v>
      </c>
      <c r="K32" s="121">
        <f>_xlfn.FORECAST.LINEAR($B32,K$26:K31,$B$26:$B31)</f>
        <v>215.63000000000102</v>
      </c>
      <c r="L32" s="121">
        <f>_xlfn.FORECAST.LINEAR($B32,L$26:L31,$B$26:$B31)</f>
        <v>193.92199999999866</v>
      </c>
      <c r="M32" s="121">
        <f>_xlfn.FORECAST.LINEAR($B32,M$26:M31,$B$26:$B31)</f>
        <v>202.42200000000594</v>
      </c>
      <c r="N32" s="121">
        <f>_xlfn.FORECAST.LINEAR($B32,N$26:N31,$B$26:$B31)</f>
        <v>218.38800000000083</v>
      </c>
      <c r="O32" s="121">
        <f>_xlfn.FORECAST.LINEAR($B32,O$26:O31,$B$26:$B31)</f>
        <v>188.60799999999654</v>
      </c>
      <c r="P32" s="121">
        <f>_xlfn.FORECAST.LINEAR($B32,P$26:P31,$B$26:$B31)</f>
        <v>113.44200000000001</v>
      </c>
      <c r="Q32" s="121">
        <f>_xlfn.FORECAST.LINEAR($B32,Q$26:Q31,$B$26:$B31)</f>
        <v>139.57400000000007</v>
      </c>
      <c r="R32" s="121">
        <f>_xlfn.FORECAST.LINEAR($B32,R$26:R31,$B$26:$B31)</f>
        <v>96.178000000003522</v>
      </c>
      <c r="S32" s="121">
        <f>_xlfn.FORECAST.LINEAR($B32,S$26:S31,$B$26:$B31)</f>
        <v>77.073999999999614</v>
      </c>
      <c r="T32" s="121">
        <f>_xlfn.FORECAST.LINEAR($B32,T$26:T31,$B$26:$B31)</f>
        <v>187.27800000000207</v>
      </c>
      <c r="U32" s="121">
        <f>_xlfn.FORECAST.LINEAR($B32,U$26:U31,$B$26:$B31)</f>
        <v>155.85</v>
      </c>
      <c r="V32" s="121">
        <f>_xlfn.FORECAST.LINEAR($B32,V$26:V31,$B$26:$B31)</f>
        <v>110.36800000000221</v>
      </c>
      <c r="W32" s="123">
        <f>_xlfn.FORECAST.LINEAR($B32,W$26:W31,$B$26:$B31)</f>
        <v>143.19599999999991</v>
      </c>
      <c r="X32" s="120" cm="1">
        <f t="array" ref="X32">INDEX('Population projection'!$F$3:$F$23,MATCH('Revenue projection'!B32,'Population projection'!$B$3:$B$23,0),)</f>
        <v>12692485.711932613</v>
      </c>
      <c r="Y32" s="115">
        <f t="shared" si="3"/>
        <v>978260643.76148927</v>
      </c>
    </row>
    <row r="33" spans="2:25" x14ac:dyDescent="0.2">
      <c r="B33" s="120">
        <f t="shared" si="4"/>
        <v>2023</v>
      </c>
      <c r="C33" s="121">
        <f>_xlfn.FORECAST.LINEAR($B33,C$26:C32,$B$26:$B32)</f>
        <v>98.640999999999622</v>
      </c>
      <c r="D33" s="121">
        <f>_xlfn.FORECAST.LINEAR($B33,D$26:D32,$B$26:$B32)</f>
        <v>143.68199999999979</v>
      </c>
      <c r="E33" s="121">
        <f>_xlfn.FORECAST.LINEAR($B33,E$26:E32,$B$26:$B32)</f>
        <v>191.17900000000009</v>
      </c>
      <c r="F33" s="121">
        <f>_xlfn.FORECAST.LINEAR($B33,F$26:F32,$B$26:$B32)</f>
        <v>350.3640000000014</v>
      </c>
      <c r="G33" s="121">
        <f>_xlfn.FORECAST.LINEAR($B33,G$26:G32,$B$26:$B32)</f>
        <v>96.711999999997715</v>
      </c>
      <c r="H33" s="121">
        <f>_xlfn.FORECAST.LINEAR($B33,H$26:H32,$B$26:$B32)</f>
        <v>18.909999999999854</v>
      </c>
      <c r="I33" s="121">
        <f>_xlfn.FORECAST.LINEAR($B33,I$26:I32,$B$26:$B32)</f>
        <v>105.57099999999809</v>
      </c>
      <c r="J33" s="121">
        <f>_xlfn.FORECAST.LINEAR($B33,J$26:J32,$B$26:$B32)</f>
        <v>147.64300000000185</v>
      </c>
      <c r="K33" s="121">
        <f>_xlfn.FORECAST.LINEAR($B33,K$26:K32,$B$26:$B32)</f>
        <v>223.20399999999972</v>
      </c>
      <c r="L33" s="121">
        <f>_xlfn.FORECAST.LINEAR($B33,L$26:L32,$B$26:$B32)</f>
        <v>208.62999999999738</v>
      </c>
      <c r="M33" s="121">
        <f>_xlfn.FORECAST.LINEAR($B33,M$26:M32,$B$26:$B32)</f>
        <v>222.73500000000058</v>
      </c>
      <c r="N33" s="121">
        <f>_xlfn.FORECAST.LINEAR($B33,N$26:N32,$B$26:$B32)</f>
        <v>224.26699999999983</v>
      </c>
      <c r="O33" s="121">
        <f>_xlfn.FORECAST.LINEAR($B33,O$26:O32,$B$26:$B32)</f>
        <v>198.7510000000002</v>
      </c>
      <c r="P33" s="121">
        <f>_xlfn.FORECAST.LINEAR($B33,P$26:P32,$B$26:$B32)</f>
        <v>116.9409999999998</v>
      </c>
      <c r="Q33" s="121">
        <f>_xlfn.FORECAST.LINEAR($B33,Q$26:Q32,$B$26:$B32)</f>
        <v>138.23300000000017</v>
      </c>
      <c r="R33" s="121">
        <f>_xlfn.FORECAST.LINEAR($B33,R$26:R32,$B$26:$B32)</f>
        <v>85.655000000002474</v>
      </c>
      <c r="S33" s="121">
        <f>_xlfn.FORECAST.LINEAR($B33,S$26:S32,$B$26:$B32)</f>
        <v>79.942999999999302</v>
      </c>
      <c r="T33" s="121">
        <f>_xlfn.FORECAST.LINEAR($B33,T$26:T32,$B$26:$B32)</f>
        <v>179.24600000000282</v>
      </c>
      <c r="U33" s="121">
        <f>_xlfn.FORECAST.LINEAR($B33,U$26:U32,$B$26:$B32)</f>
        <v>155.95899999999997</v>
      </c>
      <c r="V33" s="121">
        <f>_xlfn.FORECAST.LINEAR($B33,V$26:V32,$B$26:$B32)</f>
        <v>119.56399999999849</v>
      </c>
      <c r="W33" s="123">
        <f>_xlfn.FORECAST.LINEAR($B33,W$26:W32,$B$26:$B32)</f>
        <v>152.41200000000026</v>
      </c>
      <c r="X33" s="120" cm="1">
        <f t="array" ref="X33">INDEX('Population projection'!$F$3:$F$23,MATCH('Revenue projection'!B33,'Population projection'!$B$3:$B$23,0),)</f>
        <v>12756213.47054033</v>
      </c>
      <c r="Y33" s="115">
        <f t="shared" si="3"/>
        <v>1019769973.4753966</v>
      </c>
    </row>
    <row r="34" spans="2:25" x14ac:dyDescent="0.2">
      <c r="B34" s="120">
        <f t="shared" si="4"/>
        <v>2024</v>
      </c>
      <c r="C34" s="121">
        <f>_xlfn.FORECAST.LINEAR($B34,C$26:C33,$B$26:$B33)</f>
        <v>105.79000000000087</v>
      </c>
      <c r="D34" s="121">
        <f>_xlfn.FORECAST.LINEAR($B34,D$26:D33,$B$26:$B33)</f>
        <v>145.81800000000021</v>
      </c>
      <c r="E34" s="121">
        <f>_xlfn.FORECAST.LINEAR($B34,E$26:E33,$B$26:$B33)</f>
        <v>186.97600000000057</v>
      </c>
      <c r="F34" s="121">
        <f>_xlfn.FORECAST.LINEAR($B34,F$26:F33,$B$26:$B33)</f>
        <v>389.47599999999511</v>
      </c>
      <c r="G34" s="121">
        <f>_xlfn.FORECAST.LINEAR($B34,G$26:G33,$B$26:$B33)</f>
        <v>101.34399999999914</v>
      </c>
      <c r="H34" s="121">
        <f>_xlfn.FORECAST.LINEAR($B34,H$26:H33,$B$26:$B33)</f>
        <v>19.717999999999847</v>
      </c>
      <c r="I34" s="121">
        <f>_xlfn.FORECAST.LINEAR($B34,I$26:I33,$B$26:$B33)</f>
        <v>112.39999999999964</v>
      </c>
      <c r="J34" s="121">
        <f>_xlfn.FORECAST.LINEAR($B34,J$26:J33,$B$26:$B33)</f>
        <v>153.87400000000162</v>
      </c>
      <c r="K34" s="121">
        <f>_xlfn.FORECAST.LINEAR($B34,K$26:K33,$B$26:$B33)</f>
        <v>230.77800000000025</v>
      </c>
      <c r="L34" s="121">
        <f>_xlfn.FORECAST.LINEAR($B34,L$26:L33,$B$26:$B33)</f>
        <v>223.33799999999974</v>
      </c>
      <c r="M34" s="121">
        <f>_xlfn.FORECAST.LINEAR($B34,M$26:M33,$B$26:$B33)</f>
        <v>243.04799999999523</v>
      </c>
      <c r="N34" s="121">
        <f>_xlfn.FORECAST.LINEAR($B34,N$26:N33,$B$26:$B33)</f>
        <v>230.14600000000064</v>
      </c>
      <c r="O34" s="121">
        <f>_xlfn.FORECAST.LINEAR($B34,O$26:O33,$B$26:$B33)</f>
        <v>208.89399999999659</v>
      </c>
      <c r="P34" s="121">
        <f>_xlfn.FORECAST.LINEAR($B34,P$26:P33,$B$26:$B33)</f>
        <v>120.4399999999996</v>
      </c>
      <c r="Q34" s="121">
        <f>_xlfn.FORECAST.LINEAR($B34,Q$26:Q33,$B$26:$B33)</f>
        <v>136.89200000000028</v>
      </c>
      <c r="R34" s="121">
        <f>_xlfn.FORECAST.LINEAR($B34,R$26:R33,$B$26:$B33)</f>
        <v>75.132000000005064</v>
      </c>
      <c r="S34" s="121">
        <f>_xlfn.FORECAST.LINEAR($B34,S$26:S33,$B$26:$B33)</f>
        <v>82.811999999999898</v>
      </c>
      <c r="T34" s="121">
        <f>_xlfn.FORECAST.LINEAR($B34,T$26:T33,$B$26:$B33)</f>
        <v>171.21400000000176</v>
      </c>
      <c r="U34" s="121">
        <f>_xlfn.FORECAST.LINEAR($B34,U$26:U33,$B$26:$B33)</f>
        <v>156.06799999999998</v>
      </c>
      <c r="V34" s="121">
        <f>_xlfn.FORECAST.LINEAR($B34,V$26:V33,$B$26:$B33)</f>
        <v>128.76000000000204</v>
      </c>
      <c r="W34" s="123">
        <f>_xlfn.FORECAST.LINEAR($B34,W$26:W33,$B$26:$B33)</f>
        <v>161.62799999999697</v>
      </c>
      <c r="X34" s="120" cm="1">
        <f t="array" ref="X34">INDEX('Population projection'!$F$3:$F$23,MATCH('Revenue projection'!B34,'Population projection'!$B$3:$B$23,0),)</f>
        <v>12821438.795467623</v>
      </c>
      <c r="Y34" s="115">
        <f t="shared" si="3"/>
        <v>1061768989.5302634</v>
      </c>
    </row>
    <row r="35" spans="2:25" x14ac:dyDescent="0.2">
      <c r="B35" s="120">
        <f t="shared" si="4"/>
        <v>2025</v>
      </c>
      <c r="C35" s="121">
        <f>_xlfn.FORECAST.LINEAR($B35,C$26:C34,$B$26:$B34)</f>
        <v>112.93900000000031</v>
      </c>
      <c r="D35" s="121">
        <f>_xlfn.FORECAST.LINEAR($B35,D$26:D34,$B$26:$B34)</f>
        <v>147.95399999999972</v>
      </c>
      <c r="E35" s="121">
        <f>_xlfn.FORECAST.LINEAR($B35,E$26:E34,$B$26:$B34)</f>
        <v>182.77300000000105</v>
      </c>
      <c r="F35" s="121">
        <f>_xlfn.FORECAST.LINEAR($B35,F$26:F34,$B$26:$B34)</f>
        <v>428.58800000000338</v>
      </c>
      <c r="G35" s="121">
        <f>_xlfn.FORECAST.LINEAR($B35,G$26:G34,$B$26:$B34)</f>
        <v>105.97599999999693</v>
      </c>
      <c r="H35" s="121">
        <f>_xlfn.FORECAST.LINEAR($B35,H$26:H34,$B$26:$B34)</f>
        <v>20.52599999999984</v>
      </c>
      <c r="I35" s="121">
        <f>_xlfn.FORECAST.LINEAR($B35,I$26:I34,$B$26:$B34)</f>
        <v>119.22899999999936</v>
      </c>
      <c r="J35" s="121">
        <f>_xlfn.FORECAST.LINEAR($B35,J$26:J34,$B$26:$B34)</f>
        <v>160.10500000000138</v>
      </c>
      <c r="K35" s="121">
        <f>_xlfn.FORECAST.LINEAR($B35,K$26:K34,$B$26:$B34)</f>
        <v>238.35200000000077</v>
      </c>
      <c r="L35" s="121">
        <f>_xlfn.FORECAST.LINEAR($B35,L$26:L34,$B$26:$B34)</f>
        <v>238.04599999999846</v>
      </c>
      <c r="M35" s="121">
        <f>_xlfn.FORECAST.LINEAR($B35,M$26:M34,$B$26:$B34)</f>
        <v>263.36100000000442</v>
      </c>
      <c r="N35" s="121">
        <f>_xlfn.FORECAST.LINEAR($B35,N$26:N34,$B$26:$B34)</f>
        <v>236.02500000000146</v>
      </c>
      <c r="O35" s="121">
        <f>_xlfn.FORECAST.LINEAR($B35,O$26:O34,$B$26:$B34)</f>
        <v>219.03699999999662</v>
      </c>
      <c r="P35" s="121">
        <f>_xlfn.FORECAST.LINEAR($B35,P$26:P34,$B$26:$B34)</f>
        <v>123.9389999999994</v>
      </c>
      <c r="Q35" s="121">
        <f>_xlfn.FORECAST.LINEAR($B35,Q$26:Q34,$B$26:$B34)</f>
        <v>135.55100000000084</v>
      </c>
      <c r="R35" s="121">
        <f>_xlfn.FORECAST.LINEAR($B35,R$26:R34,$B$26:$B34)</f>
        <v>64.609000000007654</v>
      </c>
      <c r="S35" s="121">
        <f>_xlfn.FORECAST.LINEAR($B35,S$26:S34,$B$26:$B34)</f>
        <v>85.681000000000495</v>
      </c>
      <c r="T35" s="121">
        <f>_xlfn.FORECAST.LINEAR($B35,T$26:T34,$B$26:$B34)</f>
        <v>163.18200000000434</v>
      </c>
      <c r="U35" s="121">
        <f>_xlfn.FORECAST.LINEAR($B35,U$26:U34,$B$26:$B34)</f>
        <v>156.17699999999996</v>
      </c>
      <c r="V35" s="121">
        <f>_xlfn.FORECAST.LINEAR($B35,V$26:V34,$B$26:$B34)</f>
        <v>137.95600000000195</v>
      </c>
      <c r="W35" s="123">
        <f>_xlfn.FORECAST.LINEAR($B35,W$26:W34,$B$26:$B34)</f>
        <v>170.84399999999732</v>
      </c>
      <c r="X35" s="120" cm="1">
        <f t="array" ref="X35">INDEX('Population projection'!$F$3:$F$23,MATCH('Revenue projection'!B35,'Population projection'!$B$3:$B$23,0),)</f>
        <v>12888175.818660446</v>
      </c>
      <c r="Y35" s="115">
        <f t="shared" si="3"/>
        <v>1104271792.3186519</v>
      </c>
    </row>
    <row r="36" spans="2:25" x14ac:dyDescent="0.2">
      <c r="B36" s="120">
        <f t="shared" si="4"/>
        <v>2026</v>
      </c>
      <c r="C36" s="121">
        <f>_xlfn.FORECAST.LINEAR($B36,C$26:C35,$B$26:$B35)</f>
        <v>120.08799999999974</v>
      </c>
      <c r="D36" s="121">
        <f>_xlfn.FORECAST.LINEAR($B36,D$26:D35,$B$26:$B35)</f>
        <v>150.08999999999924</v>
      </c>
      <c r="E36" s="121">
        <f>_xlfn.FORECAST.LINEAR($B36,E$26:E35,$B$26:$B35)</f>
        <v>178.57000000000153</v>
      </c>
      <c r="F36" s="121">
        <f>_xlfn.FORECAST.LINEAR($B36,F$26:F35,$B$26:$B35)</f>
        <v>467.69999999999709</v>
      </c>
      <c r="G36" s="121">
        <f>_xlfn.FORECAST.LINEAR($B36,G$26:G35,$B$26:$B35)</f>
        <v>110.60799999999836</v>
      </c>
      <c r="H36" s="121">
        <f>_xlfn.FORECAST.LINEAR($B36,H$26:H35,$B$26:$B35)</f>
        <v>21.333999999999833</v>
      </c>
      <c r="I36" s="121">
        <f>_xlfn.FORECAST.LINEAR($B36,I$26:I35,$B$26:$B35)</f>
        <v>126.05799999999908</v>
      </c>
      <c r="J36" s="121">
        <f>_xlfn.FORECAST.LINEAR($B36,J$26:J35,$B$26:$B35)</f>
        <v>166.33600000000297</v>
      </c>
      <c r="K36" s="121">
        <f>_xlfn.FORECAST.LINEAR($B36,K$26:K35,$B$26:$B35)</f>
        <v>245.9260000000013</v>
      </c>
      <c r="L36" s="121">
        <f>_xlfn.FORECAST.LINEAR($B36,L$26:L35,$B$26:$B35)</f>
        <v>252.75399999999718</v>
      </c>
      <c r="M36" s="121">
        <f>_xlfn.FORECAST.LINEAR($B36,M$26:M35,$B$26:$B35)</f>
        <v>283.67399999999907</v>
      </c>
      <c r="N36" s="121">
        <f>_xlfn.FORECAST.LINEAR($B36,N$26:N35,$B$26:$B35)</f>
        <v>241.90399999999863</v>
      </c>
      <c r="O36" s="121">
        <f>_xlfn.FORECAST.LINEAR($B36,O$26:O35,$B$26:$B35)</f>
        <v>229.17999999999302</v>
      </c>
      <c r="P36" s="121">
        <f>_xlfn.FORECAST.LINEAR($B36,P$26:P35,$B$26:$B35)</f>
        <v>127.43799999999919</v>
      </c>
      <c r="Q36" s="121">
        <f>_xlfn.FORECAST.LINEAR($B36,Q$26:Q35,$B$26:$B35)</f>
        <v>134.21000000000049</v>
      </c>
      <c r="R36" s="121">
        <f>_xlfn.FORECAST.LINEAR($B36,R$26:R35,$B$26:$B35)</f>
        <v>54.086000000006607</v>
      </c>
      <c r="S36" s="121">
        <f>_xlfn.FORECAST.LINEAR($B36,S$26:S35,$B$26:$B35)</f>
        <v>88.550000000000182</v>
      </c>
      <c r="T36" s="121">
        <f>_xlfn.FORECAST.LINEAR($B36,T$26:T35,$B$26:$B35)</f>
        <v>155.15000000000509</v>
      </c>
      <c r="U36" s="121">
        <f>_xlfn.FORECAST.LINEAR($B36,U$26:U35,$B$26:$B35)</f>
        <v>156.28599999999994</v>
      </c>
      <c r="V36" s="121">
        <f>_xlfn.FORECAST.LINEAR($B36,V$26:V35,$B$26:$B35)</f>
        <v>147.15200000000186</v>
      </c>
      <c r="W36" s="123">
        <f>_xlfn.FORECAST.LINEAR($B36,W$26:W35,$B$26:$B35)</f>
        <v>180.05999999999767</v>
      </c>
      <c r="X36" s="120" cm="1">
        <f t="array" ref="X36">INDEX('Population projection'!$F$3:$F$23,MATCH('Revenue projection'!B36,'Population projection'!$B$3:$B$23,0),)</f>
        <v>12956439.819164585</v>
      </c>
      <c r="Y36" s="115">
        <f t="shared" si="3"/>
        <v>1147292745.9870265</v>
      </c>
    </row>
    <row r="37" spans="2:25" x14ac:dyDescent="0.2">
      <c r="B37" s="120">
        <f t="shared" si="4"/>
        <v>2027</v>
      </c>
      <c r="C37" s="121">
        <f>_xlfn.FORECAST.LINEAR($B37,C$26:C36,$B$26:$B36)</f>
        <v>127.23699999999917</v>
      </c>
      <c r="D37" s="121">
        <f>_xlfn.FORECAST.LINEAR($B37,D$26:D36,$B$26:$B36)</f>
        <v>152.22599999999966</v>
      </c>
      <c r="E37" s="121">
        <f>_xlfn.FORECAST.LINEAR($B37,E$26:E36,$B$26:$B36)</f>
        <v>174.36700000000201</v>
      </c>
      <c r="F37" s="121">
        <f>_xlfn.FORECAST.LINEAR($B37,F$26:F36,$B$26:$B36)</f>
        <v>506.81200000000536</v>
      </c>
      <c r="G37" s="121">
        <f>_xlfn.FORECAST.LINEAR($B37,G$26:G36,$B$26:$B36)</f>
        <v>115.23999999999796</v>
      </c>
      <c r="H37" s="121">
        <f>_xlfn.FORECAST.LINEAR($B37,H$26:H36,$B$26:$B36)</f>
        <v>22.141999999999598</v>
      </c>
      <c r="I37" s="121">
        <f>_xlfn.FORECAST.LINEAR($B37,I$26:I36,$B$26:$B36)</f>
        <v>132.88700000000063</v>
      </c>
      <c r="J37" s="121">
        <f>_xlfn.FORECAST.LINEAR($B37,J$26:J36,$B$26:$B36)</f>
        <v>172.56700000000092</v>
      </c>
      <c r="K37" s="121">
        <f>_xlfn.FORECAST.LINEAR($B37,K$26:K36,$B$26:$B36)</f>
        <v>253.50000000000182</v>
      </c>
      <c r="L37" s="121">
        <f>_xlfn.FORECAST.LINEAR($B37,L$26:L36,$B$26:$B36)</f>
        <v>267.46199999999953</v>
      </c>
      <c r="M37" s="121">
        <f>_xlfn.FORECAST.LINEAR($B37,M$26:M36,$B$26:$B36)</f>
        <v>303.98699999999371</v>
      </c>
      <c r="N37" s="121">
        <f>_xlfn.FORECAST.LINEAR($B37,N$26:N36,$B$26:$B36)</f>
        <v>247.78299999999945</v>
      </c>
      <c r="O37" s="121">
        <f>_xlfn.FORECAST.LINEAR($B37,O$26:O36,$B$26:$B36)</f>
        <v>239.32299999999668</v>
      </c>
      <c r="P37" s="121">
        <f>_xlfn.FORECAST.LINEAR($B37,P$26:P36,$B$26:$B36)</f>
        <v>130.9369999999999</v>
      </c>
      <c r="Q37" s="121">
        <f>_xlfn.FORECAST.LINEAR($B37,Q$26:Q36,$B$26:$B36)</f>
        <v>132.86900000000105</v>
      </c>
      <c r="R37" s="121">
        <f>_xlfn.FORECAST.LINEAR($B37,R$26:R36,$B$26:$B36)</f>
        <v>43.563000000005559</v>
      </c>
      <c r="S37" s="121">
        <f>_xlfn.FORECAST.LINEAR($B37,S$26:S36,$B$26:$B36)</f>
        <v>91.419000000000779</v>
      </c>
      <c r="T37" s="121">
        <f>_xlfn.FORECAST.LINEAR($B37,T$26:T36,$B$26:$B36)</f>
        <v>147.11800000000403</v>
      </c>
      <c r="U37" s="121">
        <f>_xlfn.FORECAST.LINEAR($B37,U$26:U36,$B$26:$B36)</f>
        <v>156.39499999999995</v>
      </c>
      <c r="V37" s="121">
        <f>_xlfn.FORECAST.LINEAR($B37,V$26:V36,$B$26:$B36)</f>
        <v>156.34799999999814</v>
      </c>
      <c r="W37" s="123">
        <f>_xlfn.FORECAST.LINEAR($B37,W$26:W36,$B$26:$B36)</f>
        <v>189.27599999999802</v>
      </c>
      <c r="X37" s="120" cm="1">
        <f t="array" ref="X37">INDEX('Population projection'!$F$3:$F$23,MATCH('Revenue projection'!B37,'Population projection'!$B$3:$B$23,0),)</f>
        <v>13026247.241869118</v>
      </c>
      <c r="Y37" s="115">
        <f t="shared" si="3"/>
        <v>1190846496.6044431</v>
      </c>
    </row>
    <row r="38" spans="2:25" x14ac:dyDescent="0.2">
      <c r="B38" s="120">
        <f t="shared" si="4"/>
        <v>2028</v>
      </c>
      <c r="C38" s="121">
        <f>_xlfn.FORECAST.LINEAR($B38,C$26:C37,$B$26:$B37)</f>
        <v>134.3859999999986</v>
      </c>
      <c r="D38" s="121">
        <f>_xlfn.FORECAST.LINEAR($B38,D$26:D37,$B$26:$B37)</f>
        <v>154.36199999999917</v>
      </c>
      <c r="E38" s="121">
        <f>_xlfn.FORECAST.LINEAR($B38,E$26:E37,$B$26:$B37)</f>
        <v>170.16400000000067</v>
      </c>
      <c r="F38" s="121">
        <f>_xlfn.FORECAST.LINEAR($B38,F$26:F37,$B$26:$B37)</f>
        <v>545.92399999999907</v>
      </c>
      <c r="G38" s="121">
        <f>_xlfn.FORECAST.LINEAR($B38,G$26:G37,$B$26:$B37)</f>
        <v>119.87199999999757</v>
      </c>
      <c r="H38" s="121">
        <f>_xlfn.FORECAST.LINEAR($B38,H$26:H37,$B$26:$B37)</f>
        <v>22.949999999999591</v>
      </c>
      <c r="I38" s="121">
        <f>_xlfn.FORECAST.LINEAR($B38,I$26:I37,$B$26:$B37)</f>
        <v>139.71599999999853</v>
      </c>
      <c r="J38" s="121">
        <f>_xlfn.FORECAST.LINEAR($B38,J$26:J37,$B$26:$B37)</f>
        <v>178.79800000000068</v>
      </c>
      <c r="K38" s="121">
        <f>_xlfn.FORECAST.LINEAR($B38,K$26:K37,$B$26:$B37)</f>
        <v>261.07400000000052</v>
      </c>
      <c r="L38" s="121">
        <f>_xlfn.FORECAST.LINEAR($B38,L$26:L37,$B$26:$B37)</f>
        <v>282.16999999999825</v>
      </c>
      <c r="M38" s="121">
        <f>_xlfn.FORECAST.LINEAR($B38,M$26:M37,$B$26:$B37)</f>
        <v>324.30000000000291</v>
      </c>
      <c r="N38" s="121">
        <f>_xlfn.FORECAST.LINEAR($B38,N$26:N37,$B$26:$B37)</f>
        <v>253.66200000000026</v>
      </c>
      <c r="O38" s="121">
        <f>_xlfn.FORECAST.LINEAR($B38,O$26:O37,$B$26:$B37)</f>
        <v>249.46599999999671</v>
      </c>
      <c r="P38" s="121">
        <f>_xlfn.FORECAST.LINEAR($B38,P$26:P37,$B$26:$B37)</f>
        <v>134.43599999999969</v>
      </c>
      <c r="Q38" s="121">
        <f>_xlfn.FORECAST.LINEAR($B38,Q$26:Q37,$B$26:$B37)</f>
        <v>131.5280000000007</v>
      </c>
      <c r="R38" s="121">
        <f>_xlfn.FORECAST.LINEAR($B38,R$26:R37,$B$26:$B37)</f>
        <v>33.040000000008149</v>
      </c>
      <c r="S38" s="121">
        <f>_xlfn.FORECAST.LINEAR($B38,S$26:S37,$B$26:$B37)</f>
        <v>94.288000000000466</v>
      </c>
      <c r="T38" s="121">
        <f>_xlfn.FORECAST.LINEAR($B38,T$26:T37,$B$26:$B37)</f>
        <v>139.08600000000479</v>
      </c>
      <c r="U38" s="121">
        <f>_xlfn.FORECAST.LINEAR($B38,U$26:U37,$B$26:$B37)</f>
        <v>156.50399999999996</v>
      </c>
      <c r="V38" s="121">
        <f>_xlfn.FORECAST.LINEAR($B38,V$26:V37,$B$26:$B37)</f>
        <v>165.54400000000169</v>
      </c>
      <c r="W38" s="123">
        <f>_xlfn.FORECAST.LINEAR($B38,W$26:W37,$B$26:$B37)</f>
        <v>198.49199999999837</v>
      </c>
      <c r="X38" s="120" cm="1">
        <f t="array" ref="X38">INDEX('Population projection'!$F$3:$F$23,MATCH('Revenue projection'!B38,'Population projection'!$B$3:$B$23,0),)</f>
        <v>13097615.717866201</v>
      </c>
      <c r="Y38" s="115">
        <f t="shared" si="3"/>
        <v>1234947990.8061745</v>
      </c>
    </row>
    <row r="39" spans="2:25" x14ac:dyDescent="0.2">
      <c r="B39" s="120">
        <f t="shared" si="4"/>
        <v>2029</v>
      </c>
      <c r="C39" s="121">
        <f>_xlfn.FORECAST.LINEAR($B39,C$26:C38,$B$26:$B38)</f>
        <v>141.53499999999985</v>
      </c>
      <c r="D39" s="121">
        <f>_xlfn.FORECAST.LINEAR($B39,D$26:D38,$B$26:$B38)</f>
        <v>156.49799999999959</v>
      </c>
      <c r="E39" s="121">
        <f>_xlfn.FORECAST.LINEAR($B39,E$26:E38,$B$26:$B38)</f>
        <v>165.96100000000297</v>
      </c>
      <c r="F39" s="121">
        <f>_xlfn.FORECAST.LINEAR($B39,F$26:F38,$B$26:$B38)</f>
        <v>585.03600000000733</v>
      </c>
      <c r="G39" s="121">
        <f>_xlfn.FORECAST.LINEAR($B39,G$26:G38,$B$26:$B38)</f>
        <v>124.50399999999536</v>
      </c>
      <c r="H39" s="121">
        <f>_xlfn.FORECAST.LINEAR($B39,H$26:H38,$B$26:$B38)</f>
        <v>23.757999999999583</v>
      </c>
      <c r="I39" s="121">
        <f>_xlfn.FORECAST.LINEAR($B39,I$26:I38,$B$26:$B38)</f>
        <v>146.54500000000007</v>
      </c>
      <c r="J39" s="121">
        <f>_xlfn.FORECAST.LINEAR($B39,J$26:J38,$B$26:$B38)</f>
        <v>185.02900000000227</v>
      </c>
      <c r="K39" s="121">
        <f>_xlfn.FORECAST.LINEAR($B39,K$26:K38,$B$26:$B38)</f>
        <v>268.64800000000105</v>
      </c>
      <c r="L39" s="121">
        <f>_xlfn.FORECAST.LINEAR($B39,L$26:L38,$B$26:$B38)</f>
        <v>296.87799999999697</v>
      </c>
      <c r="M39" s="121">
        <f>_xlfn.FORECAST.LINEAR($B39,M$26:M38,$B$26:$B38)</f>
        <v>344.61299999999756</v>
      </c>
      <c r="N39" s="121">
        <f>_xlfn.FORECAST.LINEAR($B39,N$26:N38,$B$26:$B38)</f>
        <v>259.54100000000108</v>
      </c>
      <c r="O39" s="121">
        <f>_xlfn.FORECAST.LINEAR($B39,O$26:O38,$B$26:$B38)</f>
        <v>259.6089999999931</v>
      </c>
      <c r="P39" s="121">
        <f>_xlfn.FORECAST.LINEAR($B39,P$26:P38,$B$26:$B38)</f>
        <v>137.93499999999949</v>
      </c>
      <c r="Q39" s="121">
        <f>_xlfn.FORECAST.LINEAR($B39,Q$26:Q38,$B$26:$B38)</f>
        <v>130.18700000000081</v>
      </c>
      <c r="R39" s="121">
        <f>_xlfn.FORECAST.LINEAR($B39,R$26:R38,$B$26:$B38)</f>
        <v>22.517000000010739</v>
      </c>
      <c r="S39" s="121">
        <f>_xlfn.FORECAST.LINEAR($B39,S$26:S38,$B$26:$B38)</f>
        <v>97.157000000000153</v>
      </c>
      <c r="T39" s="121">
        <f>_xlfn.FORECAST.LINEAR($B39,T$26:T38,$B$26:$B38)</f>
        <v>131.05400000000554</v>
      </c>
      <c r="U39" s="121">
        <f>_xlfn.FORECAST.LINEAR($B39,U$26:U38,$B$26:$B38)</f>
        <v>156.61299999999994</v>
      </c>
      <c r="V39" s="121">
        <f>_xlfn.FORECAST.LINEAR($B39,V$26:V38,$B$26:$B38)</f>
        <v>174.7400000000016</v>
      </c>
      <c r="W39" s="123">
        <f>_xlfn.FORECAST.LINEAR($B39,W$26:W38,$B$26:$B38)</f>
        <v>207.70799999999872</v>
      </c>
      <c r="X39" s="120" cm="1">
        <f t="array" ref="X39">INDEX('Population projection'!$F$3:$F$23,MATCH('Revenue projection'!B39,'Population projection'!$B$3:$B$23,0),)</f>
        <v>13170564.086461198</v>
      </c>
      <c r="Y39" s="115">
        <f t="shared" si="3"/>
        <v>1279612494.9483125</v>
      </c>
    </row>
    <row r="40" spans="2:25" x14ac:dyDescent="0.2">
      <c r="B40" s="124">
        <f t="shared" si="4"/>
        <v>2030</v>
      </c>
      <c r="C40" s="125">
        <f>_xlfn.FORECAST.LINEAR($B40,C$26:C39,$B$26:$B39)</f>
        <v>148.68399999999929</v>
      </c>
      <c r="D40" s="125">
        <f>_xlfn.FORECAST.LINEAR($B40,D$26:D39,$B$26:$B39)</f>
        <v>158.63399999999911</v>
      </c>
      <c r="E40" s="125">
        <f>_xlfn.FORECAST.LINEAR($B40,E$26:E39,$B$26:$B39)</f>
        <v>161.75800000000163</v>
      </c>
      <c r="F40" s="125">
        <f>_xlfn.FORECAST.LINEAR($B40,F$26:F39,$B$26:$B39)</f>
        <v>624.14800000000105</v>
      </c>
      <c r="G40" s="125">
        <f>_xlfn.FORECAST.LINEAR($B40,G$26:G39,$B$26:$B39)</f>
        <v>129.13599999999678</v>
      </c>
      <c r="H40" s="125">
        <f>_xlfn.FORECAST.LINEAR($B40,H$26:H39,$B$26:$B39)</f>
        <v>24.565999999999576</v>
      </c>
      <c r="I40" s="125">
        <f>_xlfn.FORECAST.LINEAR($B40,I$26:I39,$B$26:$B39)</f>
        <v>153.3739999999998</v>
      </c>
      <c r="J40" s="125">
        <f>_xlfn.FORECAST.LINEAR($B40,J$26:J39,$B$26:$B39)</f>
        <v>191.26000000000204</v>
      </c>
      <c r="K40" s="125">
        <f>_xlfn.FORECAST.LINEAR($B40,K$26:K39,$B$26:$B39)</f>
        <v>276.22200000000157</v>
      </c>
      <c r="L40" s="125">
        <f>_xlfn.FORECAST.LINEAR($B40,L$26:L39,$B$26:$B39)</f>
        <v>311.58599999999933</v>
      </c>
      <c r="M40" s="125">
        <f>_xlfn.FORECAST.LINEAR($B40,M$26:M39,$B$26:$B39)</f>
        <v>364.92599999999948</v>
      </c>
      <c r="N40" s="125">
        <f>_xlfn.FORECAST.LINEAR($B40,N$26:N39,$B$26:$B39)</f>
        <v>265.42000000000007</v>
      </c>
      <c r="O40" s="125">
        <f>_xlfn.FORECAST.LINEAR($B40,O$26:O39,$B$26:$B39)</f>
        <v>269.75199999999677</v>
      </c>
      <c r="P40" s="125">
        <f>_xlfn.FORECAST.LINEAR($B40,P$26:P39,$B$26:$B39)</f>
        <v>141.43399999999929</v>
      </c>
      <c r="Q40" s="125">
        <f>_xlfn.FORECAST.LINEAR($B40,Q$26:Q39,$B$26:$B39)</f>
        <v>128.84600000000091</v>
      </c>
      <c r="R40" s="125">
        <f>_xlfn.FORECAST.LINEAR($B40,R$26:R39,$B$26:$B39)</f>
        <v>11.994000000009692</v>
      </c>
      <c r="S40" s="125">
        <f>_xlfn.FORECAST.LINEAR($B40,S$26:S39,$B$26:$B39)</f>
        <v>100.02599999999984</v>
      </c>
      <c r="T40" s="125">
        <f>_xlfn.FORECAST.LINEAR($B40,T$26:T39,$B$26:$B39)</f>
        <v>123.0220000000063</v>
      </c>
      <c r="U40" s="125">
        <f>_xlfn.FORECAST.LINEAR($B40,U$26:U39,$B$26:$B39)</f>
        <v>156.72199999999992</v>
      </c>
      <c r="V40" s="125">
        <f>_xlfn.FORECAST.LINEAR($B40,V$26:V39,$B$26:$B39)</f>
        <v>183.93600000000151</v>
      </c>
      <c r="W40" s="126">
        <f>_xlfn.FORECAST.LINEAR($B40,W$26:W39,$B$26:$B39)</f>
        <v>216.92399999999907</v>
      </c>
      <c r="X40" s="124" cm="1">
        <f t="array" ref="X40">INDEX('Population projection'!$F$3:$F$23,MATCH('Revenue projection'!B40,'Population projection'!$B$3:$B$23,0),)</f>
        <v>13245112.418870445</v>
      </c>
      <c r="Y40" s="119">
        <f t="shared" si="3"/>
        <v>1324855614.8099329</v>
      </c>
    </row>
    <row r="41" spans="2:25" x14ac:dyDescent="0.2">
      <c r="B41" s="107"/>
      <c r="C41" s="107"/>
      <c r="D41" s="107"/>
      <c r="E41" s="107"/>
      <c r="F41" s="107"/>
      <c r="G41" s="107"/>
      <c r="H41" s="107"/>
      <c r="I41" s="107"/>
      <c r="J41" s="107"/>
      <c r="K41" s="107"/>
      <c r="L41" s="107"/>
      <c r="M41" s="107"/>
      <c r="N41" s="107"/>
      <c r="O41" s="107"/>
      <c r="P41" s="107"/>
      <c r="Q41" s="107"/>
      <c r="R41" s="107"/>
      <c r="S41" s="107"/>
      <c r="T41" s="107"/>
      <c r="U41" s="107"/>
      <c r="V41" s="107"/>
      <c r="W41" s="107"/>
      <c r="X41" s="107"/>
      <c r="Y41" s="107"/>
    </row>
    <row r="42" spans="2:25" x14ac:dyDescent="0.2">
      <c r="B42" s="107"/>
      <c r="C42" s="107"/>
      <c r="D42" s="107"/>
      <c r="E42" s="107"/>
      <c r="F42" s="107"/>
      <c r="G42" s="107"/>
      <c r="H42" s="107"/>
      <c r="I42" s="107"/>
      <c r="J42" s="107"/>
      <c r="K42" s="107"/>
      <c r="L42" s="107"/>
      <c r="M42" s="107"/>
      <c r="N42" s="107"/>
      <c r="O42" s="107"/>
      <c r="P42" s="107"/>
      <c r="Q42" s="107"/>
      <c r="R42" s="107"/>
      <c r="S42" s="107"/>
      <c r="T42" s="107"/>
      <c r="U42" s="107"/>
      <c r="V42" s="107"/>
      <c r="W42" s="107"/>
      <c r="X42" s="107"/>
      <c r="Y42" s="107"/>
    </row>
    <row r="43" spans="2:25" x14ac:dyDescent="0.2">
      <c r="B43" s="108" t="s">
        <v>15</v>
      </c>
      <c r="C43" s="107"/>
      <c r="D43" s="107"/>
      <c r="E43" s="107"/>
      <c r="F43" s="107"/>
      <c r="G43" s="107"/>
      <c r="H43" s="107"/>
      <c r="I43" s="107"/>
      <c r="J43" s="107"/>
      <c r="K43" s="107"/>
      <c r="L43" s="107"/>
      <c r="M43" s="107"/>
      <c r="N43" s="107"/>
      <c r="O43" s="107"/>
      <c r="P43" s="107"/>
      <c r="Q43" s="107"/>
      <c r="R43" s="107"/>
      <c r="S43" s="107"/>
      <c r="T43" s="107"/>
      <c r="U43" s="107"/>
      <c r="V43" s="107"/>
      <c r="W43" s="107"/>
      <c r="X43" s="107"/>
      <c r="Y43" s="107"/>
    </row>
    <row r="44" spans="2:25" x14ac:dyDescent="0.2">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row>
    <row r="45" spans="2:25" x14ac:dyDescent="0.2">
      <c r="B45" s="109" t="s">
        <v>1</v>
      </c>
      <c r="C45" s="110" t="str" cm="1">
        <f t="array" ref="C45:W45">TRANSPOSE(Revenue!$A$3:$A$23)</f>
        <v>Bernepamar</v>
      </c>
      <c r="D45" s="110" t="str">
        <v>Byasier Pujan</v>
      </c>
      <c r="E45" s="110" t="str">
        <v>Cuandbo</v>
      </c>
      <c r="F45" s="110" t="str">
        <v>Djipines</v>
      </c>
      <c r="G45" s="110" t="str">
        <v>Dosqaly</v>
      </c>
      <c r="H45" s="110" t="str">
        <v>Eastern Sleboube</v>
      </c>
      <c r="I45" s="110" t="str">
        <v>Esia</v>
      </c>
      <c r="J45" s="110" t="str">
        <v>Galamily</v>
      </c>
      <c r="K45" s="110" t="str">
        <v>Giumle Lizeibon</v>
      </c>
      <c r="L45" s="110" t="str">
        <v>Greri Landmoslands</v>
      </c>
      <c r="M45" s="110" t="str">
        <v>Manlisgamncent</v>
      </c>
      <c r="N45" s="110" t="str">
        <v>Mico</v>
      </c>
      <c r="O45" s="110" t="str">
        <v>Nganion</v>
      </c>
      <c r="P45" s="110" t="str">
        <v>Nkasland Cronestan</v>
      </c>
      <c r="Q45" s="110" t="str">
        <v>People's Land of Maneau</v>
      </c>
      <c r="R45" s="110" t="str">
        <v>Quewenia</v>
      </c>
      <c r="S45" s="110" t="str">
        <v>Rarita</v>
      </c>
      <c r="T45" s="110" t="str">
        <v>Sobianitedrucy</v>
      </c>
      <c r="U45" s="110" t="str">
        <v>Southern Ristan</v>
      </c>
      <c r="V45" s="110" t="str">
        <v>Unicorporated Tiagascar</v>
      </c>
      <c r="W45" s="111" t="str">
        <v>Xikong</v>
      </c>
      <c r="X45" s="109" t="s">
        <v>85</v>
      </c>
      <c r="Y45" s="111" t="s">
        <v>86</v>
      </c>
    </row>
    <row r="46" spans="2:25" x14ac:dyDescent="0.2">
      <c r="B46" s="112">
        <v>2016</v>
      </c>
      <c r="C46" s="113">
        <f>INDEX(Revenue!$R$3:$U$23,MATCH(C$4,Revenue!$A$3:$A$23,0),MATCH($B$43,Revenue!$R$2:$U$2,0))</f>
        <v>28.68</v>
      </c>
      <c r="D46" s="113">
        <f>INDEX(Revenue!$R$3:$U$23,MATCH(D$4,Revenue!$A$3:$A$23,0),MATCH($B$43,Revenue!$R$2:$U$2,0))</f>
        <v>134.52000000000001</v>
      </c>
      <c r="E46" s="113">
        <f>INDEX(Revenue!$R$3:$U$23,MATCH(E$4,Revenue!$A$3:$A$23,0),MATCH($B$43,Revenue!$R$2:$U$2,0))</f>
        <v>43.63</v>
      </c>
      <c r="F46" s="113">
        <f>INDEX(Revenue!$R$3:$U$23,MATCH(F$4,Revenue!$A$3:$A$23,0),MATCH($B$43,Revenue!$R$2:$U$2,0))</f>
        <v>70.09</v>
      </c>
      <c r="G46" s="113">
        <f>INDEX(Revenue!$R$3:$U$23,MATCH(G$4,Revenue!$A$3:$A$23,0),MATCH($B$43,Revenue!$R$2:$U$2,0))</f>
        <v>165.88</v>
      </c>
      <c r="H46" s="113">
        <f>INDEX(Revenue!$R$3:$U$23,MATCH(H$4,Revenue!$A$3:$A$23,0),MATCH($B$43,Revenue!$R$2:$U$2,0))</f>
        <v>83.49</v>
      </c>
      <c r="I46" s="113">
        <f>INDEX(Revenue!$R$3:$U$23,MATCH(I$4,Revenue!$A$3:$A$23,0),MATCH($B$43,Revenue!$R$2:$U$2,0))</f>
        <v>139.16999999999999</v>
      </c>
      <c r="J46" s="113">
        <f>INDEX(Revenue!$R$3:$U$23,MATCH(J$4,Revenue!$A$3:$A$23,0),MATCH($B$43,Revenue!$R$2:$U$2,0))</f>
        <v>61.52</v>
      </c>
      <c r="K46" s="113">
        <f>INDEX(Revenue!$R$3:$U$23,MATCH(K$4,Revenue!$A$3:$A$23,0),MATCH($B$43,Revenue!$R$2:$U$2,0))</f>
        <v>47.02</v>
      </c>
      <c r="L46" s="113">
        <f>INDEX(Revenue!$R$3:$U$23,MATCH(L$4,Revenue!$A$3:$A$23,0),MATCH($B$43,Revenue!$R$2:$U$2,0))</f>
        <v>95.04</v>
      </c>
      <c r="M46" s="113">
        <f>INDEX(Revenue!$R$3:$U$23,MATCH(M$4,Revenue!$A$3:$A$23,0),MATCH($B$43,Revenue!$R$2:$U$2,0))</f>
        <v>124.38</v>
      </c>
      <c r="N46" s="113">
        <f>INDEX(Revenue!$R$3:$U$23,MATCH(N$4,Revenue!$A$3:$A$23,0),MATCH($B$43,Revenue!$R$2:$U$2,0))</f>
        <v>153.44</v>
      </c>
      <c r="O46" s="113">
        <f>INDEX(Revenue!$R$3:$U$23,MATCH(O$4,Revenue!$A$3:$A$23,0),MATCH($B$43,Revenue!$R$2:$U$2,0))</f>
        <v>186.17</v>
      </c>
      <c r="P46" s="113">
        <f>INDEX(Revenue!$R$3:$U$23,MATCH(P$4,Revenue!$A$3:$A$23,0),MATCH($B$43,Revenue!$R$2:$U$2,0))</f>
        <v>37.799999999999997</v>
      </c>
      <c r="Q46" s="113">
        <f>INDEX(Revenue!$R$3:$U$23,MATCH(Q$4,Revenue!$A$3:$A$23,0),MATCH($B$43,Revenue!$R$2:$U$2,0))</f>
        <v>247.93</v>
      </c>
      <c r="R46" s="113">
        <f>INDEX(Revenue!$R$3:$U$23,MATCH(R$4,Revenue!$A$3:$A$23,0),MATCH($B$43,Revenue!$R$2:$U$2,0))</f>
        <v>102.31</v>
      </c>
      <c r="S46" s="113">
        <f>INDEX(Revenue!$R$3:$U$23,MATCH(S$4,Revenue!$A$3:$A$23,0),MATCH($B$43,Revenue!$R$2:$U$2,0))</f>
        <v>62.75</v>
      </c>
      <c r="T46" s="113">
        <f>INDEX(Revenue!$R$3:$U$23,MATCH(T$4,Revenue!$A$3:$A$23,0),MATCH($B$43,Revenue!$R$2:$U$2,0))</f>
        <v>108.27</v>
      </c>
      <c r="U46" s="113">
        <f>INDEX(Revenue!$R$3:$U$23,MATCH(U$4,Revenue!$A$3:$A$23,0),MATCH($B$43,Revenue!$R$2:$U$2,0))</f>
        <v>172.16</v>
      </c>
      <c r="V46" s="113">
        <f>INDEX(Revenue!$R$3:$U$23,MATCH(V$4,Revenue!$A$3:$A$23,0),MATCH($B$43,Revenue!$R$2:$U$2,0))</f>
        <v>70.180000000000007</v>
      </c>
      <c r="W46" s="113">
        <f>INDEX(Revenue!$R$3:$U$23,MATCH(W$4,Revenue!$A$3:$A$23,0),MATCH($B$43,Revenue!$R$2:$U$2,0))</f>
        <v>33.369999999999997</v>
      </c>
      <c r="X46" s="112" cm="1">
        <f t="array" ref="X46">INDEX('Population projection'!$F$3:$F$23,MATCH('Revenue projection'!B46,'Population projection'!$B$3:$B$23,0),)</f>
        <v>12331271</v>
      </c>
      <c r="Y46" s="115">
        <f>X46*S46</f>
        <v>773787255.25</v>
      </c>
    </row>
    <row r="47" spans="2:25" x14ac:dyDescent="0.2">
      <c r="B47" s="112">
        <f>B46+1</f>
        <v>2017</v>
      </c>
      <c r="C47" s="113">
        <f>INDEX(Revenue!$N$3:$Q$23,MATCH(C$4,Revenue!$A$3:$A$23,0),MATCH($B$43,Revenue!$R$2:$U$2,0))</f>
        <v>68.150000000000006</v>
      </c>
      <c r="D47" s="113">
        <f>INDEX(Revenue!$N$3:$Q$23,MATCH(D$4,Revenue!$A$3:$A$23,0),MATCH($B$43,Revenue!$R$2:$U$2,0))</f>
        <v>129.25</v>
      </c>
      <c r="E47" s="113">
        <f>INDEX(Revenue!$N$3:$Q$23,MATCH(E$4,Revenue!$A$3:$A$23,0),MATCH($B$43,Revenue!$R$2:$U$2,0))</f>
        <v>48.93</v>
      </c>
      <c r="F47" s="113">
        <f>INDEX(Revenue!$N$3:$Q$23,MATCH(F$4,Revenue!$A$3:$A$23,0),MATCH($B$43,Revenue!$R$2:$U$2,0))</f>
        <v>69.760000000000005</v>
      </c>
      <c r="G47" s="113">
        <f>INDEX(Revenue!$N$3:$Q$23,MATCH(G$4,Revenue!$A$3:$A$23,0),MATCH($B$43,Revenue!$R$2:$U$2,0))</f>
        <v>148.58000000000001</v>
      </c>
      <c r="H47" s="113">
        <f>INDEX(Revenue!$N$3:$Q$23,MATCH(H$4,Revenue!$A$3:$A$23,0),MATCH($B$43,Revenue!$R$2:$U$2,0))</f>
        <v>89.1</v>
      </c>
      <c r="I47" s="113">
        <f>INDEX(Revenue!$N$3:$Q$23,MATCH(I$4,Revenue!$A$3:$A$23,0),MATCH($B$43,Revenue!$R$2:$U$2,0))</f>
        <v>138.65</v>
      </c>
      <c r="J47" s="113">
        <f>INDEX(Revenue!$N$3:$Q$23,MATCH(J$4,Revenue!$A$3:$A$23,0),MATCH($B$43,Revenue!$R$2:$U$2,0))</f>
        <v>68.87</v>
      </c>
      <c r="K47" s="113">
        <f>INDEX(Revenue!$N$3:$Q$23,MATCH(K$4,Revenue!$A$3:$A$23,0),MATCH($B$43,Revenue!$R$2:$U$2,0))</f>
        <v>49.61</v>
      </c>
      <c r="L47" s="113">
        <f>INDEX(Revenue!$N$3:$Q$23,MATCH(L$4,Revenue!$A$3:$A$23,0),MATCH($B$43,Revenue!$R$2:$U$2,0))</f>
        <v>96.47</v>
      </c>
      <c r="M47" s="113">
        <f>INDEX(Revenue!$N$3:$Q$23,MATCH(M$4,Revenue!$A$3:$A$23,0),MATCH($B$43,Revenue!$R$2:$U$2,0))</f>
        <v>133.08000000000001</v>
      </c>
      <c r="N47" s="113">
        <f>INDEX(Revenue!$N$3:$Q$23,MATCH(N$4,Revenue!$A$3:$A$23,0),MATCH($B$43,Revenue!$R$2:$U$2,0))</f>
        <v>152.44999999999999</v>
      </c>
      <c r="O47" s="113">
        <f>INDEX(Revenue!$N$3:$Q$23,MATCH(O$4,Revenue!$A$3:$A$23,0),MATCH($B$43,Revenue!$R$2:$U$2,0))</f>
        <v>185.1</v>
      </c>
      <c r="P47" s="113">
        <f>INDEX(Revenue!$N$3:$Q$23,MATCH(P$4,Revenue!$A$3:$A$23,0),MATCH($B$43,Revenue!$R$2:$U$2,0))</f>
        <v>40.700000000000003</v>
      </c>
      <c r="Q47" s="113">
        <f>INDEX(Revenue!$N$3:$Q$23,MATCH(Q$4,Revenue!$A$3:$A$23,0),MATCH($B$43,Revenue!$R$2:$U$2,0))</f>
        <v>219.78</v>
      </c>
      <c r="R47" s="113">
        <f>INDEX(Revenue!$N$3:$Q$23,MATCH(R$4,Revenue!$A$3:$A$23,0),MATCH($B$43,Revenue!$R$2:$U$2,0))</f>
        <v>97.11</v>
      </c>
      <c r="S47" s="113">
        <f>INDEX(Revenue!$N$3:$Q$23,MATCH(S$4,Revenue!$A$3:$A$23,0),MATCH($B$43,Revenue!$R$2:$U$2,0))</f>
        <v>64.5</v>
      </c>
      <c r="T47" s="113">
        <f>INDEX(Revenue!$N$3:$Q$23,MATCH(T$4,Revenue!$A$3:$A$23,0),MATCH($B$43,Revenue!$R$2:$U$2,0))</f>
        <v>131.21</v>
      </c>
      <c r="U47" s="113">
        <f>INDEX(Revenue!$N$3:$Q$23,MATCH(U$4,Revenue!$A$3:$A$23,0),MATCH($B$43,Revenue!$R$2:$U$2,0))</f>
        <v>196.27</v>
      </c>
      <c r="V47" s="113">
        <f>INDEX(Revenue!$N$3:$Q$23,MATCH(V$4,Revenue!$A$3:$A$23,0),MATCH($B$43,Revenue!$R$2:$U$2,0))</f>
        <v>68.73</v>
      </c>
      <c r="W47" s="113">
        <f>INDEX(Revenue!$N$3:$Q$23,MATCH(W$4,Revenue!$A$3:$A$23,0),MATCH($B$43,Revenue!$R$2:$U$2,0))</f>
        <v>44.1</v>
      </c>
      <c r="X47" s="112" cm="1">
        <f t="array" ref="X47">INDEX('Population projection'!$F$3:$F$23,MATCH('Revenue projection'!B47,'Population projection'!$B$3:$B$23,0),)</f>
        <v>12393007</v>
      </c>
      <c r="Y47" s="115">
        <f t="shared" ref="Y47:Y60" si="5">X47*S47</f>
        <v>799348951.5</v>
      </c>
    </row>
    <row r="48" spans="2:25" x14ac:dyDescent="0.2">
      <c r="B48" s="112">
        <f t="shared" ref="B48:B60" si="6">B47+1</f>
        <v>2018</v>
      </c>
      <c r="C48" s="113">
        <f>INDEX(Revenue!$J$3:$M$23,MATCH(C$4,Revenue!$A$3:$A$23,0),MATCH($B$43,Revenue!$R$2:$U$2,0))</f>
        <v>77.92</v>
      </c>
      <c r="D48" s="113">
        <f>INDEX(Revenue!$J$3:$M$23,MATCH(D$4,Revenue!$A$3:$A$23,0),MATCH($B$43,Revenue!$R$2:$U$2,0))</f>
        <v>147.97</v>
      </c>
      <c r="E48" s="113">
        <f>INDEX(Revenue!$J$3:$M$23,MATCH(E$4,Revenue!$A$3:$A$23,0),MATCH($B$43,Revenue!$R$2:$U$2,0))</f>
        <v>52.25</v>
      </c>
      <c r="F48" s="113">
        <f>INDEX(Revenue!$J$3:$M$23,MATCH(F$4,Revenue!$A$3:$A$23,0),MATCH($B$43,Revenue!$R$2:$U$2,0))</f>
        <v>91.78</v>
      </c>
      <c r="G48" s="113">
        <f>INDEX(Revenue!$J$3:$M$23,MATCH(G$4,Revenue!$A$3:$A$23,0),MATCH($B$43,Revenue!$R$2:$U$2,0))</f>
        <v>169.27</v>
      </c>
      <c r="H48" s="113">
        <f>INDEX(Revenue!$J$3:$M$23,MATCH(H$4,Revenue!$A$3:$A$23,0),MATCH($B$43,Revenue!$R$2:$U$2,0))</f>
        <v>82.83</v>
      </c>
      <c r="I48" s="113">
        <f>INDEX(Revenue!$J$3:$M$23,MATCH(I$4,Revenue!$A$3:$A$23,0),MATCH($B$43,Revenue!$R$2:$U$2,0))</f>
        <v>140.65</v>
      </c>
      <c r="J48" s="113">
        <f>INDEX(Revenue!$J$3:$M$23,MATCH(J$4,Revenue!$A$3:$A$23,0),MATCH($B$43,Revenue!$R$2:$U$2,0))</f>
        <v>77.37</v>
      </c>
      <c r="K48" s="113">
        <f>INDEX(Revenue!$J$3:$M$23,MATCH(K$4,Revenue!$A$3:$A$23,0),MATCH($B$43,Revenue!$R$2:$U$2,0))</f>
        <v>60.99</v>
      </c>
      <c r="L48" s="113">
        <f>INDEX(Revenue!$J$3:$M$23,MATCH(L$4,Revenue!$A$3:$A$23,0),MATCH($B$43,Revenue!$R$2:$U$2,0))</f>
        <v>101.99</v>
      </c>
      <c r="M48" s="113">
        <f>INDEX(Revenue!$J$3:$M$23,MATCH(M$4,Revenue!$A$3:$A$23,0),MATCH($B$43,Revenue!$R$2:$U$2,0))</f>
        <v>125.2</v>
      </c>
      <c r="N48" s="113">
        <f>INDEX(Revenue!$J$3:$M$23,MATCH(N$4,Revenue!$A$3:$A$23,0),MATCH($B$43,Revenue!$R$2:$U$2,0))</f>
        <v>178.69</v>
      </c>
      <c r="O48" s="113">
        <f>INDEX(Revenue!$J$3:$M$23,MATCH(O$4,Revenue!$A$3:$A$23,0),MATCH($B$43,Revenue!$R$2:$U$2,0))</f>
        <v>201.79</v>
      </c>
      <c r="P48" s="113">
        <f>INDEX(Revenue!$J$3:$M$23,MATCH(P$4,Revenue!$A$3:$A$23,0),MATCH($B$43,Revenue!$R$2:$U$2,0))</f>
        <v>56.69</v>
      </c>
      <c r="Q48" s="113">
        <f>INDEX(Revenue!$J$3:$M$23,MATCH(Q$4,Revenue!$A$3:$A$23,0),MATCH($B$43,Revenue!$R$2:$U$2,0))</f>
        <v>212.31</v>
      </c>
      <c r="R48" s="113">
        <f>INDEX(Revenue!$J$3:$M$23,MATCH(R$4,Revenue!$A$3:$A$23,0),MATCH($B$43,Revenue!$R$2:$U$2,0))</f>
        <v>85.14</v>
      </c>
      <c r="S48" s="113">
        <f>INDEX(Revenue!$J$3:$M$23,MATCH(S$4,Revenue!$A$3:$A$23,0),MATCH($B$43,Revenue!$R$2:$U$2,0))</f>
        <v>69.86</v>
      </c>
      <c r="T48" s="113">
        <f>INDEX(Revenue!$J$3:$M$23,MATCH(T$4,Revenue!$A$3:$A$23,0),MATCH($B$43,Revenue!$R$2:$U$2,0))</f>
        <v>155.36000000000001</v>
      </c>
      <c r="U48" s="113">
        <f>INDEX(Revenue!$J$3:$M$23,MATCH(U$4,Revenue!$A$3:$A$23,0),MATCH($B$43,Revenue!$R$2:$U$2,0))</f>
        <v>231.08</v>
      </c>
      <c r="V48" s="113">
        <f>INDEX(Revenue!$J$3:$M$23,MATCH(V$4,Revenue!$A$3:$A$23,0),MATCH($B$43,Revenue!$R$2:$U$2,0))</f>
        <v>77.33</v>
      </c>
      <c r="W48" s="113">
        <f>INDEX(Revenue!$J$3:$M$23,MATCH(W$4,Revenue!$A$3:$A$23,0),MATCH($B$43,Revenue!$R$2:$U$2,0))</f>
        <v>54.65</v>
      </c>
      <c r="X48" s="112" cm="1">
        <f t="array" ref="X48">INDEX('Population projection'!$F$3:$F$23,MATCH('Revenue projection'!B48,'Population projection'!$B$3:$B$23,0),)</f>
        <v>12463353</v>
      </c>
      <c r="Y48" s="115">
        <f t="shared" si="5"/>
        <v>870689840.58000004</v>
      </c>
    </row>
    <row r="49" spans="2:25" x14ac:dyDescent="0.2">
      <c r="B49" s="112">
        <f t="shared" si="6"/>
        <v>2019</v>
      </c>
      <c r="C49" s="113">
        <f>INDEX(Revenue!$F$3:$I$23,MATCH(C$4,Revenue!$A$3:$A$23,0),MATCH($B$43,Revenue!$R$2:$U$2,0))</f>
        <v>82.09</v>
      </c>
      <c r="D49" s="113">
        <f>INDEX(Revenue!$F$3:$I$23,MATCH(D$4,Revenue!$A$3:$A$23,0),MATCH($B$43,Revenue!$R$2:$U$2,0))</f>
        <v>144.24</v>
      </c>
      <c r="E49" s="113">
        <f>INDEX(Revenue!$F$3:$I$23,MATCH(E$4,Revenue!$A$3:$A$23,0),MATCH($B$43,Revenue!$R$2:$U$2,0))</f>
        <v>63.14</v>
      </c>
      <c r="F49" s="113">
        <f>INDEX(Revenue!$F$3:$I$23,MATCH(F$4,Revenue!$A$3:$A$23,0),MATCH($B$43,Revenue!$R$2:$U$2,0))</f>
        <v>101.22</v>
      </c>
      <c r="G49" s="113">
        <f>INDEX(Revenue!$F$3:$I$23,MATCH(G$4,Revenue!$A$3:$A$23,0),MATCH($B$43,Revenue!$R$2:$U$2,0))</f>
        <v>195.88</v>
      </c>
      <c r="H49" s="113">
        <f>INDEX(Revenue!$F$3:$I$23,MATCH(H$4,Revenue!$A$3:$A$23,0),MATCH($B$43,Revenue!$R$2:$U$2,0))</f>
        <v>88.01</v>
      </c>
      <c r="I49" s="113">
        <f>INDEX(Revenue!$F$3:$I$23,MATCH(I$4,Revenue!$A$3:$A$23,0),MATCH($B$43,Revenue!$R$2:$U$2,0))</f>
        <v>143.55000000000001</v>
      </c>
      <c r="J49" s="113">
        <f>INDEX(Revenue!$F$3:$I$23,MATCH(J$4,Revenue!$A$3:$A$23,0),MATCH($B$43,Revenue!$R$2:$U$2,0))</f>
        <v>68.37</v>
      </c>
      <c r="K49" s="113">
        <f>INDEX(Revenue!$F$3:$I$23,MATCH(K$4,Revenue!$A$3:$A$23,0),MATCH($B$43,Revenue!$R$2:$U$2,0))</f>
        <v>66.5</v>
      </c>
      <c r="L49" s="113">
        <f>INDEX(Revenue!$F$3:$I$23,MATCH(L$4,Revenue!$A$3:$A$23,0),MATCH($B$43,Revenue!$R$2:$U$2,0))</f>
        <v>125.82</v>
      </c>
      <c r="M49" s="113">
        <f>INDEX(Revenue!$F$3:$I$23,MATCH(M$4,Revenue!$A$3:$A$23,0),MATCH($B$43,Revenue!$R$2:$U$2,0))</f>
        <v>132.28</v>
      </c>
      <c r="N49" s="113">
        <f>INDEX(Revenue!$F$3:$I$23,MATCH(N$4,Revenue!$A$3:$A$23,0),MATCH($B$43,Revenue!$R$2:$U$2,0))</f>
        <v>194.74</v>
      </c>
      <c r="O49" s="113">
        <f>INDEX(Revenue!$F$3:$I$23,MATCH(O$4,Revenue!$A$3:$A$23,0),MATCH($B$43,Revenue!$R$2:$U$2,0))</f>
        <v>238.19</v>
      </c>
      <c r="P49" s="113">
        <f>INDEX(Revenue!$F$3:$I$23,MATCH(P$4,Revenue!$A$3:$A$23,0),MATCH($B$43,Revenue!$R$2:$U$2,0))</f>
        <v>73.67</v>
      </c>
      <c r="Q49" s="113">
        <f>INDEX(Revenue!$F$3:$I$23,MATCH(Q$4,Revenue!$A$3:$A$23,0),MATCH($B$43,Revenue!$R$2:$U$2,0))</f>
        <v>211.76</v>
      </c>
      <c r="R49" s="113">
        <f>INDEX(Revenue!$F$3:$I$23,MATCH(R$4,Revenue!$A$3:$A$23,0),MATCH($B$43,Revenue!$R$2:$U$2,0))</f>
        <v>88.03</v>
      </c>
      <c r="S49" s="113">
        <f>INDEX(Revenue!$F$3:$I$23,MATCH(S$4,Revenue!$A$3:$A$23,0),MATCH($B$43,Revenue!$R$2:$U$2,0))</f>
        <v>75.430000000000007</v>
      </c>
      <c r="T49" s="113">
        <f>INDEX(Revenue!$F$3:$I$23,MATCH(T$4,Revenue!$A$3:$A$23,0),MATCH($B$43,Revenue!$R$2:$U$2,0))</f>
        <v>204.42</v>
      </c>
      <c r="U49" s="113">
        <f>INDEX(Revenue!$F$3:$I$23,MATCH(U$4,Revenue!$A$3:$A$23,0),MATCH($B$43,Revenue!$R$2:$U$2,0))</f>
        <v>229.19</v>
      </c>
      <c r="V49" s="113">
        <f>INDEX(Revenue!$F$3:$I$23,MATCH(V$4,Revenue!$A$3:$A$23,0),MATCH($B$43,Revenue!$R$2:$U$2,0))</f>
        <v>80.81</v>
      </c>
      <c r="W49" s="113">
        <f>INDEX(Revenue!$F$3:$I$23,MATCH(W$4,Revenue!$A$3:$A$23,0),MATCH($B$43,Revenue!$R$2:$U$2,0))</f>
        <v>60.78</v>
      </c>
      <c r="X49" s="112" cm="1">
        <f t="array" ref="X49">INDEX('Population projection'!$F$3:$F$23,MATCH('Revenue projection'!B49,'Population projection'!$B$3:$B$23,0),)</f>
        <v>12548788</v>
      </c>
      <c r="Y49" s="115">
        <f t="shared" si="5"/>
        <v>946555078.84000003</v>
      </c>
    </row>
    <row r="50" spans="2:25" x14ac:dyDescent="0.2">
      <c r="B50" s="116">
        <f t="shared" si="6"/>
        <v>2020</v>
      </c>
      <c r="C50" s="117">
        <f>INDEX(Revenue!$B$3:$E$23,MATCH(C$4,Revenue!$A$3:$A$23,0),MATCH($B$43,Revenue!$R$2:$U$2,0))</f>
        <v>52.8</v>
      </c>
      <c r="D50" s="117">
        <f>INDEX(Revenue!$B$3:$E$23,MATCH(D$4,Revenue!$A$3:$A$23,0),MATCH($B$43,Revenue!$R$2:$U$2,0))</f>
        <v>156.63</v>
      </c>
      <c r="E50" s="117">
        <f>INDEX(Revenue!$B$3:$E$23,MATCH(E$4,Revenue!$A$3:$A$23,0),MATCH($B$43,Revenue!$R$2:$U$2,0))</f>
        <v>128.69999999999999</v>
      </c>
      <c r="F50" s="117">
        <f>INDEX(Revenue!$B$3:$E$23,MATCH(F$4,Revenue!$A$3:$A$23,0),MATCH($B$43,Revenue!$R$2:$U$2,0))</f>
        <v>107.9</v>
      </c>
      <c r="G50" s="117">
        <f>INDEX(Revenue!$B$3:$E$23,MATCH(G$4,Revenue!$A$3:$A$23,0),MATCH($B$43,Revenue!$R$2:$U$2,0))</f>
        <v>161</v>
      </c>
      <c r="H50" s="117">
        <f>INDEX(Revenue!$B$3:$E$23,MATCH(H$4,Revenue!$A$3:$A$23,0),MATCH($B$43,Revenue!$R$2:$U$2,0))</f>
        <v>100.2</v>
      </c>
      <c r="I50" s="117">
        <f>INDEX(Revenue!$B$3:$E$23,MATCH(I$4,Revenue!$A$3:$A$23,0),MATCH($B$43,Revenue!$R$2:$U$2,0))</f>
        <v>144.9</v>
      </c>
      <c r="J50" s="117">
        <f>INDEX(Revenue!$B$3:$E$23,MATCH(J$4,Revenue!$A$3:$A$23,0),MATCH($B$43,Revenue!$R$2:$U$2,0))</f>
        <v>60.76</v>
      </c>
      <c r="K50" s="117">
        <f>INDEX(Revenue!$B$3:$E$23,MATCH(K$4,Revenue!$A$3:$A$23,0),MATCH($B$43,Revenue!$R$2:$U$2,0))</f>
        <v>51.83</v>
      </c>
      <c r="L50" s="117">
        <f>INDEX(Revenue!$B$3:$E$23,MATCH(L$4,Revenue!$A$3:$A$23,0),MATCH($B$43,Revenue!$R$2:$U$2,0))</f>
        <v>144.63</v>
      </c>
      <c r="M50" s="117">
        <f>INDEX(Revenue!$B$3:$E$23,MATCH(M$4,Revenue!$A$3:$A$23,0),MATCH($B$43,Revenue!$R$2:$U$2,0))</f>
        <v>137.44999999999999</v>
      </c>
      <c r="N50" s="117">
        <f>INDEX(Revenue!$B$3:$E$23,MATCH(N$4,Revenue!$A$3:$A$23,0),MATCH($B$43,Revenue!$R$2:$U$2,0))</f>
        <v>184</v>
      </c>
      <c r="O50" s="117">
        <f>INDEX(Revenue!$B$3:$E$23,MATCH(O$4,Revenue!$A$3:$A$23,0),MATCH($B$43,Revenue!$R$2:$U$2,0))</f>
        <v>210.05</v>
      </c>
      <c r="P50" s="117">
        <f>INDEX(Revenue!$B$3:$E$23,MATCH(P$4,Revenue!$A$3:$A$23,0),MATCH($B$43,Revenue!$R$2:$U$2,0))</f>
        <v>88.73</v>
      </c>
      <c r="Q50" s="117">
        <f>INDEX(Revenue!$B$3:$E$23,MATCH(Q$4,Revenue!$A$3:$A$23,0),MATCH($B$43,Revenue!$R$2:$U$2,0))</f>
        <v>213.8</v>
      </c>
      <c r="R50" s="117">
        <f>INDEX(Revenue!$B$3:$E$23,MATCH(R$4,Revenue!$A$3:$A$23,0),MATCH($B$43,Revenue!$R$2:$U$2,0))</f>
        <v>112.37</v>
      </c>
      <c r="S50" s="117">
        <f>INDEX(Revenue!$B$3:$E$23,MATCH(S$4,Revenue!$A$3:$A$23,0),MATCH($B$43,Revenue!$R$2:$U$2,0))</f>
        <v>75.06</v>
      </c>
      <c r="T50" s="117">
        <f>INDEX(Revenue!$B$3:$E$23,MATCH(T$4,Revenue!$A$3:$A$23,0),MATCH($B$43,Revenue!$R$2:$U$2,0))</f>
        <v>208.33</v>
      </c>
      <c r="U50" s="117">
        <f>INDEX(Revenue!$B$3:$E$23,MATCH(U$4,Revenue!$A$3:$A$23,0),MATCH($B$43,Revenue!$R$2:$U$2,0))</f>
        <v>231.07</v>
      </c>
      <c r="V50" s="117">
        <f>INDEX(Revenue!$B$3:$E$23,MATCH(V$4,Revenue!$A$3:$A$23,0),MATCH($B$43,Revenue!$R$2:$U$2,0))</f>
        <v>68</v>
      </c>
      <c r="W50" s="117">
        <f>INDEX(Revenue!$B$3:$E$23,MATCH(W$4,Revenue!$A$3:$A$23,0),MATCH($B$43,Revenue!$R$2:$U$2,0))</f>
        <v>50.09</v>
      </c>
      <c r="X50" s="116" cm="1">
        <f t="array" ref="X50">INDEX('Population projection'!$F$3:$F$23,MATCH('Revenue projection'!B50,'Population projection'!$B$3:$B$23,0),)</f>
        <v>12569472</v>
      </c>
      <c r="Y50" s="119">
        <f t="shared" si="5"/>
        <v>943464568.32000005</v>
      </c>
    </row>
    <row r="51" spans="2:25" x14ac:dyDescent="0.2">
      <c r="B51" s="127">
        <f t="shared" si="6"/>
        <v>2021</v>
      </c>
      <c r="C51" s="128">
        <f>_xlfn.FORECAST.LINEAR($B51,C$46:C50,$B$46:$B50)</f>
        <v>80.582000000000335</v>
      </c>
      <c r="D51" s="128">
        <f>_xlfn.FORECAST.LINEAR($B51,D$46:D50,$B$46:$B50)</f>
        <v>160.28499999999985</v>
      </c>
      <c r="E51" s="128">
        <f>_xlfn.FORECAST.LINEAR($B51,E$46:E50,$B$46:$B50)</f>
        <v>122.63500000000204</v>
      </c>
      <c r="F51" s="128">
        <f>_xlfn.FORECAST.LINEAR($B51,F$46:F50,$B$46:$B50)</f>
        <v>120.27400000000125</v>
      </c>
      <c r="G51" s="128">
        <f>_xlfn.FORECAST.LINEAR($B51,G$46:G50,$B$46:$B50)</f>
        <v>179.38400000000001</v>
      </c>
      <c r="H51" s="128">
        <f>_xlfn.FORECAST.LINEAR($B51,H$46:H50,$B$46:$B50)</f>
        <v>98.424999999999272</v>
      </c>
      <c r="I51" s="128">
        <f>_xlfn.FORECAST.LINEAR($B51,I$46:I50,$B$46:$B50)</f>
        <v>146.29199999999992</v>
      </c>
      <c r="J51" s="128">
        <f>_xlfn.FORECAST.LINEAR($B51,J$46:J50,$B$46:$B50)</f>
        <v>66.771999999999991</v>
      </c>
      <c r="K51" s="128">
        <f>_xlfn.FORECAST.LINEAR($B51,K$46:K50,$B$46:$B50)</f>
        <v>63.14299999999912</v>
      </c>
      <c r="L51" s="128">
        <f>_xlfn.FORECAST.LINEAR($B51,L$46:L50,$B$46:$B50)</f>
        <v>151.34900000000198</v>
      </c>
      <c r="M51" s="128">
        <f>_xlfn.FORECAST.LINEAR($B51,M$46:M50,$B$46:$B50)</f>
        <v>138.07999999999993</v>
      </c>
      <c r="N51" s="128">
        <f>_xlfn.FORECAST.LINEAR($B51,N$46:N50,$B$46:$B50)</f>
        <v>203.68700000000172</v>
      </c>
      <c r="O51" s="128">
        <f>_xlfn.FORECAST.LINEAR($B51,O$46:O50,$B$46:$B50)</f>
        <v>234.51499999999578</v>
      </c>
      <c r="P51" s="128">
        <f>_xlfn.FORECAST.LINEAR($B51,P$46:P50,$B$46:$B50)</f>
        <v>99.967000000000553</v>
      </c>
      <c r="Q51" s="128">
        <f>_xlfn.FORECAST.LINEAR($B51,Q$46:Q50,$B$46:$B50)</f>
        <v>198.23199999999997</v>
      </c>
      <c r="R51" s="128">
        <f>_xlfn.FORECAST.LINEAR($B51,R$46:R50,$B$46:$B50)</f>
        <v>100.30400000000009</v>
      </c>
      <c r="S51" s="128">
        <f>_xlfn.FORECAST.LINEAR($B51,S$46:S50,$B$46:$B50)</f>
        <v>80.1850000000004</v>
      </c>
      <c r="T51" s="128">
        <f>_xlfn.FORECAST.LINEAR($B51,T$46:T50,$B$46:$B50)</f>
        <v>243.51699999999255</v>
      </c>
      <c r="U51" s="128">
        <f>_xlfn.FORECAST.LINEAR($B51,U$46:U50,$B$46:$B50)</f>
        <v>257.17600000000311</v>
      </c>
      <c r="V51" s="128">
        <f>_xlfn.FORECAST.LINEAR($B51,V$46:V50,$B$46:$B50)</f>
        <v>75.325999999999794</v>
      </c>
      <c r="W51" s="128">
        <f>_xlfn.FORECAST.LINEAR($B51,W$46:W50,$B$46:$B50)</f>
        <v>63.634000000000015</v>
      </c>
      <c r="X51" s="127" cm="1">
        <f t="array" ref="X51">INDEX('Population projection'!$F$3:$F$23,MATCH('Revenue projection'!B51,'Population projection'!$B$3:$B$23,0),)</f>
        <v>12630242.517640233</v>
      </c>
      <c r="Y51" s="129">
        <f t="shared" si="5"/>
        <v>1012755996.2769872</v>
      </c>
    </row>
    <row r="52" spans="2:25" x14ac:dyDescent="0.2">
      <c r="B52" s="120">
        <f t="shared" si="6"/>
        <v>2022</v>
      </c>
      <c r="C52" s="121">
        <f>_xlfn.FORECAST.LINEAR($B52,C$46:C51,$B$46:$B51)</f>
        <v>86.800000000001091</v>
      </c>
      <c r="D52" s="121">
        <f>_xlfn.FORECAST.LINEAR($B52,D$46:D51,$B$46:$B51)</f>
        <v>166.20600000000013</v>
      </c>
      <c r="E52" s="121">
        <f>_xlfn.FORECAST.LINEAR($B52,E$46:E51,$B$46:$B51)</f>
        <v>141.07000000000698</v>
      </c>
      <c r="F52" s="121">
        <f>_xlfn.FORECAST.LINEAR($B52,F$46:F51,$B$46:$B51)</f>
        <v>130.98200000000361</v>
      </c>
      <c r="G52" s="121">
        <f>_xlfn.FORECAST.LINEAR($B52,G$46:G51,$B$46:$B51)</f>
        <v>183.13799999999992</v>
      </c>
      <c r="H52" s="121">
        <f>_xlfn.FORECAST.LINEAR($B52,H$46:H51,$B$46:$B51)</f>
        <v>101.65799999999945</v>
      </c>
      <c r="I52" s="121">
        <f>_xlfn.FORECAST.LINEAR($B52,I$46:I51,$B$46:$B51)</f>
        <v>147.92799999999988</v>
      </c>
      <c r="J52" s="121">
        <f>_xlfn.FORECAST.LINEAR($B52,J$46:J51,$B$46:$B51)</f>
        <v>66.569999999999993</v>
      </c>
      <c r="K52" s="121">
        <f>_xlfn.FORECAST.LINEAR($B52,K$46:K51,$B$46:$B51)</f>
        <v>65.79399999999896</v>
      </c>
      <c r="L52" s="121">
        <f>_xlfn.FORECAST.LINEAR($B52,L$46:L51,$B$46:$B51)</f>
        <v>164.20200000000114</v>
      </c>
      <c r="M52" s="121">
        <f>_xlfn.FORECAST.LINEAR($B52,M$46:M51,$B$46:$B51)</f>
        <v>140.61399999999958</v>
      </c>
      <c r="N52" s="121">
        <f>_xlfn.FORECAST.LINEAR($B52,N$46:N51,$B$46:$B51)</f>
        <v>214.02800000000207</v>
      </c>
      <c r="O52" s="121">
        <f>_xlfn.FORECAST.LINEAR($B52,O$46:O51,$B$46:$B51)</f>
        <v>244.59999999999491</v>
      </c>
      <c r="P52" s="121">
        <f>_xlfn.FORECAST.LINEAR($B52,P$46:P51,$B$46:$B51)</f>
        <v>113.45000000000073</v>
      </c>
      <c r="Q52" s="121">
        <f>_xlfn.FORECAST.LINEAR($B52,Q$46:Q51,$B$46:$B51)</f>
        <v>190.60399999999936</v>
      </c>
      <c r="R52" s="121">
        <f>_xlfn.FORECAST.LINEAR($B52,R$46:R51,$B$46:$B51)</f>
        <v>101.4079999999999</v>
      </c>
      <c r="S52" s="121">
        <f>_xlfn.FORECAST.LINEAR($B52,S$46:S51,$B$46:$B51)</f>
        <v>83.739999999999782</v>
      </c>
      <c r="T52" s="121">
        <f>_xlfn.FORECAST.LINEAR($B52,T$46:T51,$B$46:$B51)</f>
        <v>270.84999999999127</v>
      </c>
      <c r="U52" s="121">
        <f>_xlfn.FORECAST.LINEAR($B52,U$46:U51,$B$46:$B51)</f>
        <v>272.25000000000364</v>
      </c>
      <c r="V52" s="121">
        <f>_xlfn.FORECAST.LINEAR($B52,V$46:V51,$B$46:$B51)</f>
        <v>76.097999999999956</v>
      </c>
      <c r="W52" s="121">
        <f>_xlfn.FORECAST.LINEAR($B52,W$46:W51,$B$46:$B51)</f>
        <v>68.645999999998821</v>
      </c>
      <c r="X52" s="120" cm="1">
        <f t="array" ref="X52">INDEX('Population projection'!$F$3:$F$23,MATCH('Revenue projection'!B52,'Population projection'!$B$3:$B$23,0),)</f>
        <v>12692485.711932613</v>
      </c>
      <c r="Y52" s="115">
        <f t="shared" si="5"/>
        <v>1062868753.5172342</v>
      </c>
    </row>
    <row r="53" spans="2:25" x14ac:dyDescent="0.2">
      <c r="B53" s="120">
        <f t="shared" si="6"/>
        <v>2023</v>
      </c>
      <c r="C53" s="121">
        <f>_xlfn.FORECAST.LINEAR($B53,C$46:C52,$B$46:$B52)</f>
        <v>93.018000000000029</v>
      </c>
      <c r="D53" s="121">
        <f>_xlfn.FORECAST.LINEAR($B53,D$46:D52,$B$46:$B52)</f>
        <v>172.12700000000041</v>
      </c>
      <c r="E53" s="121">
        <f>_xlfn.FORECAST.LINEAR($B53,E$46:E52,$B$46:$B52)</f>
        <v>159.50500000000466</v>
      </c>
      <c r="F53" s="121">
        <f>_xlfn.FORECAST.LINEAR($B53,F$46:F52,$B$46:$B52)</f>
        <v>141.69000000000233</v>
      </c>
      <c r="G53" s="121">
        <f>_xlfn.FORECAST.LINEAR($B53,G$46:G52,$B$46:$B52)</f>
        <v>186.89200000000073</v>
      </c>
      <c r="H53" s="121">
        <f>_xlfn.FORECAST.LINEAR($B53,H$46:H52,$B$46:$B52)</f>
        <v>104.89099999999962</v>
      </c>
      <c r="I53" s="121">
        <f>_xlfn.FORECAST.LINEAR($B53,I$46:I52,$B$46:$B52)</f>
        <v>149.56399999999985</v>
      </c>
      <c r="J53" s="121">
        <f>_xlfn.FORECAST.LINEAR($B53,J$46:J52,$B$46:$B52)</f>
        <v>66.367999999999995</v>
      </c>
      <c r="K53" s="121">
        <f>_xlfn.FORECAST.LINEAR($B53,K$46:K52,$B$46:$B52)</f>
        <v>68.444999999998799</v>
      </c>
      <c r="L53" s="121">
        <f>_xlfn.FORECAST.LINEAR($B53,L$46:L52,$B$46:$B52)</f>
        <v>177.05500000000029</v>
      </c>
      <c r="M53" s="121">
        <f>_xlfn.FORECAST.LINEAR($B53,M$46:M52,$B$46:$B52)</f>
        <v>143.14800000000014</v>
      </c>
      <c r="N53" s="121">
        <f>_xlfn.FORECAST.LINEAR($B53,N$46:N52,$B$46:$B52)</f>
        <v>224.36900000000242</v>
      </c>
      <c r="O53" s="121">
        <f>_xlfn.FORECAST.LINEAR($B53,O$46:O52,$B$46:$B52)</f>
        <v>254.68499999999403</v>
      </c>
      <c r="P53" s="121">
        <f>_xlfn.FORECAST.LINEAR($B53,P$46:P52,$B$46:$B52)</f>
        <v>126.9330000000009</v>
      </c>
      <c r="Q53" s="121">
        <f>_xlfn.FORECAST.LINEAR($B53,Q$46:Q52,$B$46:$B52)</f>
        <v>182.97600000000057</v>
      </c>
      <c r="R53" s="121">
        <f>_xlfn.FORECAST.LINEAR($B53,R$46:R52,$B$46:$B52)</f>
        <v>102.51200000000017</v>
      </c>
      <c r="S53" s="121">
        <f>_xlfn.FORECAST.LINEAR($B53,S$46:S52,$B$46:$B52)</f>
        <v>87.295000000000073</v>
      </c>
      <c r="T53" s="121">
        <f>_xlfn.FORECAST.LINEAR($B53,T$46:T52,$B$46:$B52)</f>
        <v>298.18299999998999</v>
      </c>
      <c r="U53" s="121">
        <f>_xlfn.FORECAST.LINEAR($B53,U$46:U52,$B$46:$B52)</f>
        <v>287.32400000000416</v>
      </c>
      <c r="V53" s="121">
        <f>_xlfn.FORECAST.LINEAR($B53,V$46:V52,$B$46:$B52)</f>
        <v>76.869999999999891</v>
      </c>
      <c r="W53" s="121">
        <f>_xlfn.FORECAST.LINEAR($B53,W$46:W52,$B$46:$B52)</f>
        <v>73.657999999999447</v>
      </c>
      <c r="X53" s="120" cm="1">
        <f t="array" ref="X53">INDEX('Population projection'!$F$3:$F$23,MATCH('Revenue projection'!B53,'Population projection'!$B$3:$B$23,0),)</f>
        <v>12756213.47054033</v>
      </c>
      <c r="Y53" s="115">
        <f t="shared" si="5"/>
        <v>1113553654.9108191</v>
      </c>
    </row>
    <row r="54" spans="2:25" x14ac:dyDescent="0.2">
      <c r="B54" s="120">
        <f t="shared" si="6"/>
        <v>2024</v>
      </c>
      <c r="C54" s="121">
        <f>_xlfn.FORECAST.LINEAR($B54,C$46:C53,$B$46:$B53)</f>
        <v>99.236000000000786</v>
      </c>
      <c r="D54" s="121">
        <f>_xlfn.FORECAST.LINEAR($B54,D$46:D53,$B$46:$B53)</f>
        <v>178.04800000000068</v>
      </c>
      <c r="E54" s="121">
        <f>_xlfn.FORECAST.LINEAR($B54,E$46:E53,$B$46:$B53)</f>
        <v>177.94000000000233</v>
      </c>
      <c r="F54" s="121">
        <f>_xlfn.FORECAST.LINEAR($B54,F$46:F53,$B$46:$B53)</f>
        <v>152.39800000000469</v>
      </c>
      <c r="G54" s="121">
        <f>_xlfn.FORECAST.LINEAR($B54,G$46:G53,$B$46:$B53)</f>
        <v>190.64599999999973</v>
      </c>
      <c r="H54" s="121">
        <f>_xlfn.FORECAST.LINEAR($B54,H$46:H53,$B$46:$B53)</f>
        <v>108.1239999999998</v>
      </c>
      <c r="I54" s="121">
        <f>_xlfn.FORECAST.LINEAR($B54,I$46:I53,$B$46:$B53)</f>
        <v>151.19999999999982</v>
      </c>
      <c r="J54" s="121">
        <f>_xlfn.FORECAST.LINEAR($B54,J$46:J53,$B$46:$B53)</f>
        <v>66.165999999999997</v>
      </c>
      <c r="K54" s="121">
        <f>_xlfn.FORECAST.LINEAR($B54,K$46:K53,$B$46:$B53)</f>
        <v>71.095999999998639</v>
      </c>
      <c r="L54" s="121">
        <f>_xlfn.FORECAST.LINEAR($B54,L$46:L53,$B$46:$B53)</f>
        <v>189.90799999999945</v>
      </c>
      <c r="M54" s="121">
        <f>_xlfn.FORECAST.LINEAR($B54,M$46:M53,$B$46:$B53)</f>
        <v>145.68199999999888</v>
      </c>
      <c r="N54" s="121">
        <f>_xlfn.FORECAST.LINEAR($B54,N$46:N53,$B$46:$B53)</f>
        <v>234.71000000000276</v>
      </c>
      <c r="O54" s="121">
        <f>_xlfn.FORECAST.LINEAR($B54,O$46:O53,$B$46:$B53)</f>
        <v>264.76999999999316</v>
      </c>
      <c r="P54" s="121">
        <f>_xlfn.FORECAST.LINEAR($B54,P$46:P53,$B$46:$B53)</f>
        <v>140.41600000000108</v>
      </c>
      <c r="Q54" s="121">
        <f>_xlfn.FORECAST.LINEAR($B54,Q$46:Q53,$B$46:$B53)</f>
        <v>175.34800000000178</v>
      </c>
      <c r="R54" s="121">
        <f>_xlfn.FORECAST.LINEAR($B54,R$46:R53,$B$46:$B53)</f>
        <v>103.61600000000044</v>
      </c>
      <c r="S54" s="121">
        <f>_xlfn.FORECAST.LINEAR($B54,S$46:S53,$B$46:$B53)</f>
        <v>90.849999999999454</v>
      </c>
      <c r="T54" s="121">
        <f>_xlfn.FORECAST.LINEAR($B54,T$46:T53,$B$46:$B53)</f>
        <v>325.51599999998871</v>
      </c>
      <c r="U54" s="121">
        <f>_xlfn.FORECAST.LINEAR($B54,U$46:U53,$B$46:$B53)</f>
        <v>302.39800000000469</v>
      </c>
      <c r="V54" s="121">
        <f>_xlfn.FORECAST.LINEAR($B54,V$46:V53,$B$46:$B53)</f>
        <v>77.641999999999825</v>
      </c>
      <c r="W54" s="121">
        <f>_xlfn.FORECAST.LINEAR($B54,W$46:W53,$B$46:$B53)</f>
        <v>78.670000000000073</v>
      </c>
      <c r="X54" s="120" cm="1">
        <f t="array" ref="X54">INDEX('Population projection'!$F$3:$F$23,MATCH('Revenue projection'!B54,'Population projection'!$B$3:$B$23,0),)</f>
        <v>12821438.795467623</v>
      </c>
      <c r="Y54" s="115">
        <f t="shared" si="5"/>
        <v>1164827714.5682266</v>
      </c>
    </row>
    <row r="55" spans="2:25" x14ac:dyDescent="0.2">
      <c r="B55" s="120">
        <f t="shared" si="6"/>
        <v>2025</v>
      </c>
      <c r="C55" s="121">
        <f>_xlfn.FORECAST.LINEAR($B55,C$46:C54,$B$46:$B54)</f>
        <v>105.45399999999972</v>
      </c>
      <c r="D55" s="121">
        <f>_xlfn.FORECAST.LINEAR($B55,D$46:D54,$B$46:$B54)</f>
        <v>183.96900000000096</v>
      </c>
      <c r="E55" s="121">
        <f>_xlfn.FORECAST.LINEAR($B55,E$46:E54,$B$46:$B54)</f>
        <v>196.37500000000728</v>
      </c>
      <c r="F55" s="121">
        <f>_xlfn.FORECAST.LINEAR($B55,F$46:F54,$B$46:$B54)</f>
        <v>163.10600000000341</v>
      </c>
      <c r="G55" s="121">
        <f>_xlfn.FORECAST.LINEAR($B55,G$46:G54,$B$46:$B54)</f>
        <v>194.39999999999964</v>
      </c>
      <c r="H55" s="121">
        <f>_xlfn.FORECAST.LINEAR($B55,H$46:H54,$B$46:$B54)</f>
        <v>111.35699999999997</v>
      </c>
      <c r="I55" s="121">
        <f>_xlfn.FORECAST.LINEAR($B55,I$46:I54,$B$46:$B54)</f>
        <v>152.83599999999979</v>
      </c>
      <c r="J55" s="121">
        <f>_xlfn.FORECAST.LINEAR($B55,J$46:J54,$B$46:$B54)</f>
        <v>65.963999999999942</v>
      </c>
      <c r="K55" s="121">
        <f>_xlfn.FORECAST.LINEAR($B55,K$46:K54,$B$46:$B54)</f>
        <v>73.746999999998479</v>
      </c>
      <c r="L55" s="121">
        <f>_xlfn.FORECAST.LINEAR($B55,L$46:L54,$B$46:$B54)</f>
        <v>202.7609999999986</v>
      </c>
      <c r="M55" s="121">
        <f>_xlfn.FORECAST.LINEAR($B55,M$46:M54,$B$46:$B54)</f>
        <v>148.21599999999944</v>
      </c>
      <c r="N55" s="121">
        <f>_xlfn.FORECAST.LINEAR($B55,N$46:N54,$B$46:$B54)</f>
        <v>245.05100000000311</v>
      </c>
      <c r="O55" s="121">
        <f>_xlfn.FORECAST.LINEAR($B55,O$46:O54,$B$46:$B54)</f>
        <v>274.85499999999229</v>
      </c>
      <c r="P55" s="121">
        <f>_xlfn.FORECAST.LINEAR($B55,P$46:P54,$B$46:$B54)</f>
        <v>153.89900000000125</v>
      </c>
      <c r="Q55" s="121">
        <f>_xlfn.FORECAST.LINEAR($B55,Q$46:Q54,$B$46:$B54)</f>
        <v>167.72000000000116</v>
      </c>
      <c r="R55" s="121">
        <f>_xlfn.FORECAST.LINEAR($B55,R$46:R54,$B$46:$B54)</f>
        <v>104.72000000000071</v>
      </c>
      <c r="S55" s="121">
        <f>_xlfn.FORECAST.LINEAR($B55,S$46:S54,$B$46:$B54)</f>
        <v>94.404999999999745</v>
      </c>
      <c r="T55" s="121">
        <f>_xlfn.FORECAST.LINEAR($B55,T$46:T54,$B$46:$B54)</f>
        <v>352.84899999998015</v>
      </c>
      <c r="U55" s="121">
        <f>_xlfn.FORECAST.LINEAR($B55,U$46:U54,$B$46:$B54)</f>
        <v>317.47200000000521</v>
      </c>
      <c r="V55" s="121">
        <f>_xlfn.FORECAST.LINEAR($B55,V$46:V54,$B$46:$B54)</f>
        <v>78.41399999999976</v>
      </c>
      <c r="W55" s="121">
        <f>_xlfn.FORECAST.LINEAR($B55,W$46:W54,$B$46:$B54)</f>
        <v>83.68199999999888</v>
      </c>
      <c r="X55" s="120" cm="1">
        <f t="array" ref="X55">INDEX('Population projection'!$F$3:$F$23,MATCH('Revenue projection'!B55,'Population projection'!$B$3:$B$23,0),)</f>
        <v>12888175.818660446</v>
      </c>
      <c r="Y55" s="115">
        <f t="shared" si="5"/>
        <v>1216708238.1606362</v>
      </c>
    </row>
    <row r="56" spans="2:25" x14ac:dyDescent="0.2">
      <c r="B56" s="120">
        <f t="shared" si="6"/>
        <v>2026</v>
      </c>
      <c r="C56" s="121">
        <f>_xlfn.FORECAST.LINEAR($B56,C$46:C55,$B$46:$B55)</f>
        <v>111.67200000000048</v>
      </c>
      <c r="D56" s="121">
        <f>_xlfn.FORECAST.LINEAR($B56,D$46:D55,$B$46:$B55)</f>
        <v>189.89000000000124</v>
      </c>
      <c r="E56" s="121">
        <f>_xlfn.FORECAST.LINEAR($B56,E$46:E55,$B$46:$B55)</f>
        <v>214.81000000001222</v>
      </c>
      <c r="F56" s="121">
        <f>_xlfn.FORECAST.LINEAR($B56,F$46:F55,$B$46:$B55)</f>
        <v>173.81400000000576</v>
      </c>
      <c r="G56" s="121">
        <f>_xlfn.FORECAST.LINEAR($B56,G$46:G55,$B$46:$B55)</f>
        <v>198.15399999999954</v>
      </c>
      <c r="H56" s="121">
        <f>_xlfn.FORECAST.LINEAR($B56,H$46:H55,$B$46:$B55)</f>
        <v>114.59000000000015</v>
      </c>
      <c r="I56" s="121">
        <f>_xlfn.FORECAST.LINEAR($B56,I$46:I55,$B$46:$B55)</f>
        <v>154.47199999999975</v>
      </c>
      <c r="J56" s="121">
        <f>_xlfn.FORECAST.LINEAR($B56,J$46:J55,$B$46:$B55)</f>
        <v>65.761999999999944</v>
      </c>
      <c r="K56" s="121">
        <f>_xlfn.FORECAST.LINEAR($B56,K$46:K55,$B$46:$B55)</f>
        <v>76.397999999998319</v>
      </c>
      <c r="L56" s="121">
        <f>_xlfn.FORECAST.LINEAR($B56,L$46:L55,$B$46:$B55)</f>
        <v>215.61399999999776</v>
      </c>
      <c r="M56" s="121">
        <f>_xlfn.FORECAST.LINEAR($B56,M$46:M55,$B$46:$B55)</f>
        <v>150.75</v>
      </c>
      <c r="N56" s="121">
        <f>_xlfn.FORECAST.LINEAR($B56,N$46:N55,$B$46:$B55)</f>
        <v>255.39200000000346</v>
      </c>
      <c r="O56" s="121">
        <f>_xlfn.FORECAST.LINEAR($B56,O$46:O55,$B$46:$B55)</f>
        <v>284.93999999999141</v>
      </c>
      <c r="P56" s="121">
        <f>_xlfn.FORECAST.LINEAR($B56,P$46:P55,$B$46:$B55)</f>
        <v>167.38200000000143</v>
      </c>
      <c r="Q56" s="121">
        <f>_xlfn.FORECAST.LINEAR($B56,Q$46:Q55,$B$46:$B55)</f>
        <v>160.09200000000055</v>
      </c>
      <c r="R56" s="121">
        <f>_xlfn.FORECAST.LINEAR($B56,R$46:R55,$B$46:$B55)</f>
        <v>105.82400000000007</v>
      </c>
      <c r="S56" s="121">
        <f>_xlfn.FORECAST.LINEAR($B56,S$46:S55,$B$46:$B55)</f>
        <v>97.960000000000036</v>
      </c>
      <c r="T56" s="121">
        <f>_xlfn.FORECAST.LINEAR($B56,T$46:T55,$B$46:$B55)</f>
        <v>380.18199999997887</v>
      </c>
      <c r="U56" s="121">
        <f>_xlfn.FORECAST.LINEAR($B56,U$46:U55,$B$46:$B55)</f>
        <v>332.54600000000573</v>
      </c>
      <c r="V56" s="121">
        <f>_xlfn.FORECAST.LINEAR($B56,V$46:V55,$B$46:$B55)</f>
        <v>79.185999999999694</v>
      </c>
      <c r="W56" s="121">
        <f>_xlfn.FORECAST.LINEAR($B56,W$46:W55,$B$46:$B55)</f>
        <v>88.694000000001324</v>
      </c>
      <c r="X56" s="120" cm="1">
        <f t="array" ref="X56">INDEX('Population projection'!$F$3:$F$23,MATCH('Revenue projection'!B56,'Population projection'!$B$3:$B$23,0),)</f>
        <v>12956439.819164585</v>
      </c>
      <c r="Y56" s="115">
        <f t="shared" si="5"/>
        <v>1269212844.6853633</v>
      </c>
    </row>
    <row r="57" spans="2:25" x14ac:dyDescent="0.2">
      <c r="B57" s="120">
        <f t="shared" si="6"/>
        <v>2027</v>
      </c>
      <c r="C57" s="121">
        <f>_xlfn.FORECAST.LINEAR($B57,C$46:C56,$B$46:$B56)</f>
        <v>117.88999999999942</v>
      </c>
      <c r="D57" s="121">
        <f>_xlfn.FORECAST.LINEAR($B57,D$46:D56,$B$46:$B56)</f>
        <v>195.81100000000151</v>
      </c>
      <c r="E57" s="121">
        <f>_xlfn.FORECAST.LINEAR($B57,E$46:E56,$B$46:$B56)</f>
        <v>233.24500000000262</v>
      </c>
      <c r="F57" s="121">
        <f>_xlfn.FORECAST.LINEAR($B57,F$46:F56,$B$46:$B56)</f>
        <v>184.52200000000448</v>
      </c>
      <c r="G57" s="121">
        <f>_xlfn.FORECAST.LINEAR($B57,G$46:G56,$B$46:$B56)</f>
        <v>201.90799999999945</v>
      </c>
      <c r="H57" s="121">
        <f>_xlfn.FORECAST.LINEAR($B57,H$46:H56,$B$46:$B56)</f>
        <v>117.82299999999941</v>
      </c>
      <c r="I57" s="121">
        <f>_xlfn.FORECAST.LINEAR($B57,I$46:I56,$B$46:$B56)</f>
        <v>156.10799999999972</v>
      </c>
      <c r="J57" s="121">
        <f>_xlfn.FORECAST.LINEAR($B57,J$46:J56,$B$46:$B56)</f>
        <v>65.56</v>
      </c>
      <c r="K57" s="121">
        <f>_xlfn.FORECAST.LINEAR($B57,K$46:K56,$B$46:$B56)</f>
        <v>79.048999999998159</v>
      </c>
      <c r="L57" s="121">
        <f>_xlfn.FORECAST.LINEAR($B57,L$46:L56,$B$46:$B56)</f>
        <v>228.46699999999691</v>
      </c>
      <c r="M57" s="121">
        <f>_xlfn.FORECAST.LINEAR($B57,M$46:M56,$B$46:$B56)</f>
        <v>153.28399999999965</v>
      </c>
      <c r="N57" s="121">
        <f>_xlfn.FORECAST.LINEAR($B57,N$46:N56,$B$46:$B56)</f>
        <v>265.73300000000381</v>
      </c>
      <c r="O57" s="121">
        <f>_xlfn.FORECAST.LINEAR($B57,O$46:O56,$B$46:$B56)</f>
        <v>295.02499999999054</v>
      </c>
      <c r="P57" s="121">
        <f>_xlfn.FORECAST.LINEAR($B57,P$46:P56,$B$46:$B56)</f>
        <v>180.8650000000016</v>
      </c>
      <c r="Q57" s="121">
        <f>_xlfn.FORECAST.LINEAR($B57,Q$46:Q56,$B$46:$B56)</f>
        <v>152.46400000000176</v>
      </c>
      <c r="R57" s="121">
        <f>_xlfn.FORECAST.LINEAR($B57,R$46:R56,$B$46:$B56)</f>
        <v>106.92800000000034</v>
      </c>
      <c r="S57" s="121">
        <f>_xlfn.FORECAST.LINEAR($B57,S$46:S56,$B$46:$B56)</f>
        <v>101.51500000000033</v>
      </c>
      <c r="T57" s="121">
        <f>_xlfn.FORECAST.LINEAR($B57,T$46:T56,$B$46:$B56)</f>
        <v>407.51499999997759</v>
      </c>
      <c r="U57" s="121">
        <f>_xlfn.FORECAST.LINEAR($B57,U$46:U56,$B$46:$B56)</f>
        <v>347.62000000000626</v>
      </c>
      <c r="V57" s="121">
        <f>_xlfn.FORECAST.LINEAR($B57,V$46:V56,$B$46:$B56)</f>
        <v>79.957999999999629</v>
      </c>
      <c r="W57" s="121">
        <f>_xlfn.FORECAST.LINEAR($B57,W$46:W56,$B$46:$B56)</f>
        <v>93.706000000000131</v>
      </c>
      <c r="X57" s="120" cm="1">
        <f t="array" ref="X57">INDEX('Population projection'!$F$3:$F$23,MATCH('Revenue projection'!B57,'Population projection'!$B$3:$B$23,0),)</f>
        <v>13026247.241869118</v>
      </c>
      <c r="Y57" s="115">
        <f t="shared" si="5"/>
        <v>1322359488.7583477</v>
      </c>
    </row>
    <row r="58" spans="2:25" x14ac:dyDescent="0.2">
      <c r="B58" s="120">
        <f t="shared" si="6"/>
        <v>2028</v>
      </c>
      <c r="C58" s="121">
        <f>_xlfn.FORECAST.LINEAR($B58,C$46:C57,$B$46:$B57)</f>
        <v>124.10800000000017</v>
      </c>
      <c r="D58" s="121">
        <f>_xlfn.FORECAST.LINEAR($B58,D$46:D57,$B$46:$B57)</f>
        <v>201.73200000000179</v>
      </c>
      <c r="E58" s="121">
        <f>_xlfn.FORECAST.LINEAR($B58,E$46:E57,$B$46:$B57)</f>
        <v>251.68000000000029</v>
      </c>
      <c r="F58" s="121">
        <f>_xlfn.FORECAST.LINEAR($B58,F$46:F57,$B$46:$B57)</f>
        <v>195.2300000000032</v>
      </c>
      <c r="G58" s="121">
        <f>_xlfn.FORECAST.LINEAR($B58,G$46:G57,$B$46:$B57)</f>
        <v>205.66199999999935</v>
      </c>
      <c r="H58" s="121">
        <f>_xlfn.FORECAST.LINEAR($B58,H$46:H57,$B$46:$B57)</f>
        <v>121.05599999999868</v>
      </c>
      <c r="I58" s="121">
        <f>_xlfn.FORECAST.LINEAR($B58,I$46:I57,$B$46:$B57)</f>
        <v>157.74399999999969</v>
      </c>
      <c r="J58" s="121">
        <f>_xlfn.FORECAST.LINEAR($B58,J$46:J57,$B$46:$B57)</f>
        <v>65.357999999999947</v>
      </c>
      <c r="K58" s="121">
        <f>_xlfn.FORECAST.LINEAR($B58,K$46:K57,$B$46:$B57)</f>
        <v>81.699999999997999</v>
      </c>
      <c r="L58" s="121">
        <f>_xlfn.FORECAST.LINEAR($B58,L$46:L57,$B$46:$B57)</f>
        <v>241.31999999999971</v>
      </c>
      <c r="M58" s="121">
        <f>_xlfn.FORECAST.LINEAR($B58,M$46:M57,$B$46:$B57)</f>
        <v>155.8179999999993</v>
      </c>
      <c r="N58" s="121">
        <f>_xlfn.FORECAST.LINEAR($B58,N$46:N57,$B$46:$B57)</f>
        <v>276.07400000000416</v>
      </c>
      <c r="O58" s="121">
        <f>_xlfn.FORECAST.LINEAR($B58,O$46:O57,$B$46:$B57)</f>
        <v>305.10999999998967</v>
      </c>
      <c r="P58" s="121">
        <f>_xlfn.FORECAST.LINEAR($B58,P$46:P57,$B$46:$B57)</f>
        <v>194.34800000000178</v>
      </c>
      <c r="Q58" s="121">
        <f>_xlfn.FORECAST.LINEAR($B58,Q$46:Q57,$B$46:$B57)</f>
        <v>144.83600000000115</v>
      </c>
      <c r="R58" s="121">
        <f>_xlfn.FORECAST.LINEAR($B58,R$46:R57,$B$46:$B57)</f>
        <v>108.03200000000061</v>
      </c>
      <c r="S58" s="121">
        <f>_xlfn.FORECAST.LINEAR($B58,S$46:S57,$B$46:$B57)</f>
        <v>105.0699999999988</v>
      </c>
      <c r="T58" s="121">
        <f>_xlfn.FORECAST.LINEAR($B58,T$46:T57,$B$46:$B57)</f>
        <v>434.84799999997631</v>
      </c>
      <c r="U58" s="121">
        <f>_xlfn.FORECAST.LINEAR($B58,U$46:U57,$B$46:$B57)</f>
        <v>362.69400000000678</v>
      </c>
      <c r="V58" s="121">
        <f>_xlfn.FORECAST.LINEAR($B58,V$46:V57,$B$46:$B57)</f>
        <v>80.729999999999791</v>
      </c>
      <c r="W58" s="121">
        <f>_xlfn.FORECAST.LINEAR($B58,W$46:W57,$B$46:$B57)</f>
        <v>98.718000000000757</v>
      </c>
      <c r="X58" s="120" cm="1">
        <f t="array" ref="X58">INDEX('Population projection'!$F$3:$F$23,MATCH('Revenue projection'!B58,'Population projection'!$B$3:$B$23,0),)</f>
        <v>13097615.717866201</v>
      </c>
      <c r="Y58" s="115">
        <f t="shared" si="5"/>
        <v>1376166483.476186</v>
      </c>
    </row>
    <row r="59" spans="2:25" x14ac:dyDescent="0.2">
      <c r="B59" s="120">
        <f t="shared" si="6"/>
        <v>2029</v>
      </c>
      <c r="C59" s="121">
        <f>_xlfn.FORECAST.LINEAR($B59,C$46:C58,$B$46:$B58)</f>
        <v>130.32599999999911</v>
      </c>
      <c r="D59" s="121">
        <f>_xlfn.FORECAST.LINEAR($B59,D$46:D58,$B$46:$B58)</f>
        <v>207.65300000000025</v>
      </c>
      <c r="E59" s="121">
        <f>_xlfn.FORECAST.LINEAR($B59,E$46:E58,$B$46:$B58)</f>
        <v>270.11500000000524</v>
      </c>
      <c r="F59" s="121">
        <f>_xlfn.FORECAST.LINEAR($B59,F$46:F58,$B$46:$B58)</f>
        <v>205.93800000000556</v>
      </c>
      <c r="G59" s="121">
        <f>_xlfn.FORECAST.LINEAR($B59,G$46:G58,$B$46:$B58)</f>
        <v>209.41599999999926</v>
      </c>
      <c r="H59" s="121">
        <f>_xlfn.FORECAST.LINEAR($B59,H$46:H58,$B$46:$B58)</f>
        <v>124.28899999999885</v>
      </c>
      <c r="I59" s="121">
        <f>_xlfn.FORECAST.LINEAR($B59,I$46:I58,$B$46:$B58)</f>
        <v>159.37999999999965</v>
      </c>
      <c r="J59" s="121">
        <f>_xlfn.FORECAST.LINEAR($B59,J$46:J58,$B$46:$B58)</f>
        <v>65.155999999999892</v>
      </c>
      <c r="K59" s="121">
        <f>_xlfn.FORECAST.LINEAR($B59,K$46:K58,$B$46:$B58)</f>
        <v>84.350999999997839</v>
      </c>
      <c r="L59" s="121">
        <f>_xlfn.FORECAST.LINEAR($B59,L$46:L58,$B$46:$B58)</f>
        <v>254.1730000000025</v>
      </c>
      <c r="M59" s="121">
        <f>_xlfn.FORECAST.LINEAR($B59,M$46:M58,$B$46:$B58)</f>
        <v>158.35199999999895</v>
      </c>
      <c r="N59" s="121">
        <f>_xlfn.FORECAST.LINEAR($B59,N$46:N58,$B$46:$B58)</f>
        <v>286.41500000000451</v>
      </c>
      <c r="O59" s="121">
        <f>_xlfn.FORECAST.LINEAR($B59,O$46:O58,$B$46:$B58)</f>
        <v>315.1949999999888</v>
      </c>
      <c r="P59" s="121">
        <f>_xlfn.FORECAST.LINEAR($B59,P$46:P58,$B$46:$B58)</f>
        <v>207.83100000000195</v>
      </c>
      <c r="Q59" s="121">
        <f>_xlfn.FORECAST.LINEAR($B59,Q$46:Q58,$B$46:$B58)</f>
        <v>137.20800000000236</v>
      </c>
      <c r="R59" s="121">
        <f>_xlfn.FORECAST.LINEAR($B59,R$46:R58,$B$46:$B58)</f>
        <v>109.13600000000042</v>
      </c>
      <c r="S59" s="121">
        <f>_xlfn.FORECAST.LINEAR($B59,S$46:S58,$B$46:$B58)</f>
        <v>108.62499999999909</v>
      </c>
      <c r="T59" s="121">
        <f>_xlfn.FORECAST.LINEAR($B59,T$46:T58,$B$46:$B58)</f>
        <v>462.18099999997503</v>
      </c>
      <c r="U59" s="121">
        <f>_xlfn.FORECAST.LINEAR($B59,U$46:U58,$B$46:$B58)</f>
        <v>377.76800000000731</v>
      </c>
      <c r="V59" s="121">
        <f>_xlfn.FORECAST.LINEAR($B59,V$46:V58,$B$46:$B58)</f>
        <v>81.501999999999725</v>
      </c>
      <c r="W59" s="121">
        <f>_xlfn.FORECAST.LINEAR($B59,W$46:W58,$B$46:$B58)</f>
        <v>103.73000000000138</v>
      </c>
      <c r="X59" s="120" cm="1">
        <f t="array" ref="X59">INDEX('Population projection'!$F$3:$F$23,MATCH('Revenue projection'!B59,'Population projection'!$B$3:$B$23,0),)</f>
        <v>13170564.086461198</v>
      </c>
      <c r="Y59" s="115">
        <f t="shared" si="5"/>
        <v>1430652523.8918357</v>
      </c>
    </row>
    <row r="60" spans="2:25" x14ac:dyDescent="0.2">
      <c r="B60" s="124">
        <f t="shared" si="6"/>
        <v>2030</v>
      </c>
      <c r="C60" s="125">
        <f>_xlfn.FORECAST.LINEAR($B60,C$46:C59,$B$46:$B59)</f>
        <v>136.54399999999987</v>
      </c>
      <c r="D60" s="125">
        <f>_xlfn.FORECAST.LINEAR($B60,D$46:D59,$B$46:$B59)</f>
        <v>213.57400000000234</v>
      </c>
      <c r="E60" s="125">
        <f>_xlfn.FORECAST.LINEAR($B60,E$46:E59,$B$46:$B59)</f>
        <v>288.55000000001019</v>
      </c>
      <c r="F60" s="125">
        <f>_xlfn.FORECAST.LINEAR($B60,F$46:F59,$B$46:$B59)</f>
        <v>216.64600000000428</v>
      </c>
      <c r="G60" s="125">
        <f>_xlfn.FORECAST.LINEAR($B60,G$46:G59,$B$46:$B59)</f>
        <v>213.16999999999825</v>
      </c>
      <c r="H60" s="125">
        <f>_xlfn.FORECAST.LINEAR($B60,H$46:H59,$B$46:$B59)</f>
        <v>127.52199999999903</v>
      </c>
      <c r="I60" s="125">
        <f>_xlfn.FORECAST.LINEAR($B60,I$46:I59,$B$46:$B59)</f>
        <v>161.01599999999962</v>
      </c>
      <c r="J60" s="125">
        <f>_xlfn.FORECAST.LINEAR($B60,J$46:J59,$B$46:$B59)</f>
        <v>64.953999999999894</v>
      </c>
      <c r="K60" s="125">
        <f>_xlfn.FORECAST.LINEAR($B60,K$46:K59,$B$46:$B59)</f>
        <v>87.001999999997679</v>
      </c>
      <c r="L60" s="125">
        <f>_xlfn.FORECAST.LINEAR($B60,L$46:L59,$B$46:$B59)</f>
        <v>267.02599999999802</v>
      </c>
      <c r="M60" s="125">
        <f>_xlfn.FORECAST.LINEAR($B60,M$46:M59,$B$46:$B59)</f>
        <v>160.8859999999986</v>
      </c>
      <c r="N60" s="125">
        <f>_xlfn.FORECAST.LINEAR($B60,N$46:N59,$B$46:$B59)</f>
        <v>296.75600000000486</v>
      </c>
      <c r="O60" s="125">
        <f>_xlfn.FORECAST.LINEAR($B60,O$46:O59,$B$46:$B59)</f>
        <v>325.27999999998792</v>
      </c>
      <c r="P60" s="125">
        <f>_xlfn.FORECAST.LINEAR($B60,P$46:P59,$B$46:$B59)</f>
        <v>221.31400000000212</v>
      </c>
      <c r="Q60" s="125">
        <f>_xlfn.FORECAST.LINEAR($B60,Q$46:Q59,$B$46:$B59)</f>
        <v>129.58000000000175</v>
      </c>
      <c r="R60" s="125">
        <f>_xlfn.FORECAST.LINEAR($B60,R$46:R59,$B$46:$B59)</f>
        <v>110.24000000000024</v>
      </c>
      <c r="S60" s="125">
        <f>_xlfn.FORECAST.LINEAR($B60,S$46:S59,$B$46:$B59)</f>
        <v>112.17999999999938</v>
      </c>
      <c r="T60" s="125">
        <f>_xlfn.FORECAST.LINEAR($B60,T$46:T59,$B$46:$B59)</f>
        <v>489.51399999997375</v>
      </c>
      <c r="U60" s="125">
        <f>_xlfn.FORECAST.LINEAR($B60,U$46:U59,$B$46:$B59)</f>
        <v>392.84200000000783</v>
      </c>
      <c r="V60" s="125">
        <f>_xlfn.FORECAST.LINEAR($B60,V$46:V59,$B$46:$B59)</f>
        <v>82.27399999999966</v>
      </c>
      <c r="W60" s="125">
        <f>_xlfn.FORECAST.LINEAR($B60,W$46:W59,$B$46:$B59)</f>
        <v>108.74200000000201</v>
      </c>
      <c r="X60" s="124" cm="1">
        <f t="array" ref="X60">INDEX('Population projection'!$F$3:$F$23,MATCH('Revenue projection'!B60,'Population projection'!$B$3:$B$23,0),)</f>
        <v>13245112.418870445</v>
      </c>
      <c r="Y60" s="119">
        <f t="shared" si="5"/>
        <v>1485836711.1488783</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EBA77386-BA13-EB4A-9D08-6A677E52D63A}">
          <x14:formula1>
            <xm:f>Revenue!$B$2:$E$2</xm:f>
          </x14:formula1>
          <xm:sqref>B2 B23 B43</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08D8E-9869-C144-A815-C27ED1A05036}">
  <sheetPr>
    <tabColor theme="9" tint="0.79998168889431442"/>
  </sheetPr>
  <dimension ref="B2:AC48"/>
  <sheetViews>
    <sheetView showGridLines="0" workbookViewId="0">
      <selection activeCell="AD23" sqref="AD23"/>
    </sheetView>
  </sheetViews>
  <sheetFormatPr baseColWidth="10" defaultColWidth="11.5" defaultRowHeight="15" x14ac:dyDescent="0.2"/>
  <cols>
    <col min="2" max="2" width="22.5" bestFit="1" customWidth="1"/>
    <col min="3" max="3" width="10.5" hidden="1" customWidth="1"/>
    <col min="4" max="4" width="11.1640625" hidden="1" customWidth="1"/>
    <col min="5" max="5" width="8" hidden="1" customWidth="1"/>
    <col min="6" max="6" width="7.5" hidden="1" customWidth="1"/>
    <col min="7" max="7" width="7.1640625" hidden="1" customWidth="1"/>
    <col min="8" max="8" width="14" hidden="1" customWidth="1"/>
    <col min="9" max="9" width="7.1640625" hidden="1" customWidth="1"/>
    <col min="10" max="10" width="7.83203125" hidden="1" customWidth="1"/>
    <col min="11" max="11" width="13.5" hidden="1" customWidth="1"/>
    <col min="12" max="12" width="16.5" hidden="1" customWidth="1"/>
    <col min="13" max="13" width="13.5" hidden="1" customWidth="1"/>
    <col min="14" max="14" width="7.1640625" hidden="1" customWidth="1"/>
    <col min="15" max="15" width="7.5" hidden="1" customWidth="1"/>
    <col min="16" max="16" width="16" hidden="1" customWidth="1"/>
    <col min="17" max="17" width="19.5" hidden="1" customWidth="1"/>
    <col min="18" max="18" width="8.5" hidden="1" customWidth="1"/>
    <col min="19" max="19" width="7.1640625" bestFit="1" customWidth="1"/>
    <col min="20" max="20" width="12.5" hidden="1" customWidth="1"/>
    <col min="21" max="21" width="13.1640625" hidden="1" customWidth="1"/>
    <col min="22" max="22" width="19.5" hidden="1" customWidth="1"/>
    <col min="23" max="23" width="7.1640625" hidden="1" customWidth="1"/>
    <col min="24" max="24" width="14.5" style="63" bestFit="1" customWidth="1"/>
    <col min="25" max="25" width="19.5" bestFit="1" customWidth="1"/>
    <col min="26" max="26" width="25" bestFit="1" customWidth="1"/>
    <col min="27" max="27" width="25" customWidth="1"/>
  </cols>
  <sheetData>
    <row r="2" spans="2:29" x14ac:dyDescent="0.2">
      <c r="B2" t="s">
        <v>87</v>
      </c>
      <c r="C2" s="71">
        <v>1</v>
      </c>
    </row>
    <row r="5" spans="2:29" x14ac:dyDescent="0.2">
      <c r="X5"/>
    </row>
    <row r="6" spans="2:29" x14ac:dyDescent="0.2">
      <c r="B6" s="264" t="s">
        <v>38</v>
      </c>
      <c r="X6"/>
    </row>
    <row r="7" spans="2:29" x14ac:dyDescent="0.2">
      <c r="X7"/>
    </row>
    <row r="8" spans="2:29" x14ac:dyDescent="0.2">
      <c r="B8" s="46" t="s">
        <v>1</v>
      </c>
      <c r="C8" s="44" t="str" cm="1">
        <f t="array" ref="C8:W8">TRANSPOSE(Expense!$A$3:$A$23)</f>
        <v>Bernepamar</v>
      </c>
      <c r="D8" s="44" t="str">
        <v>Byasier Pujan</v>
      </c>
      <c r="E8" s="44" t="str">
        <v>Cuandbo</v>
      </c>
      <c r="F8" s="44" t="str">
        <v>Djipines</v>
      </c>
      <c r="G8" s="44" t="str">
        <v>Dosqaly</v>
      </c>
      <c r="H8" s="44" t="str">
        <v>Eastern Sleboube</v>
      </c>
      <c r="I8" s="44" t="str">
        <v>Esia</v>
      </c>
      <c r="J8" s="44" t="str">
        <v>Galamily</v>
      </c>
      <c r="K8" s="44" t="str">
        <v>Giumle Lizeibon</v>
      </c>
      <c r="L8" s="44" t="str">
        <v>Greri Landmoslands</v>
      </c>
      <c r="M8" s="44" t="str">
        <v>Manlisgamncent</v>
      </c>
      <c r="N8" s="44" t="str">
        <v>Mico</v>
      </c>
      <c r="O8" s="44" t="str">
        <v>Nganion</v>
      </c>
      <c r="P8" s="44" t="str">
        <v>Nkasland Cronestan</v>
      </c>
      <c r="Q8" s="44" t="str">
        <v>People's Land of Maneau</v>
      </c>
      <c r="R8" s="44" t="str">
        <v>Quewenia</v>
      </c>
      <c r="S8" s="44" t="str">
        <v>Rarita</v>
      </c>
      <c r="T8" s="44" t="str">
        <v>Sobianitedrucy</v>
      </c>
      <c r="U8" s="44" t="str">
        <v>Southern Ristan</v>
      </c>
      <c r="V8" s="44" t="str">
        <v>Unicorporated Tiagascar</v>
      </c>
      <c r="W8" s="54" t="str">
        <v>Xikong</v>
      </c>
      <c r="X8" s="46" t="s">
        <v>85</v>
      </c>
      <c r="Y8" s="54" t="s">
        <v>88</v>
      </c>
      <c r="AA8" s="34" t="s">
        <v>89</v>
      </c>
      <c r="AB8" s="34" t="s">
        <v>90</v>
      </c>
    </row>
    <row r="9" spans="2:29" x14ac:dyDescent="0.2">
      <c r="B9" s="47">
        <v>2016</v>
      </c>
      <c r="C9" s="33">
        <f>INDEX(Expense!$N$3:$P$23,MATCH(C$8,Expense!$A$3:$A$23,0),MATCH($B$6,Expense!$N$2:$P$2,0))</f>
        <v>35.630000000000003</v>
      </c>
      <c r="D9" s="33">
        <f>INDEX(Expense!$N$3:$P$23,MATCH(D$8,Expense!$A$3:$A$23,0),MATCH($B$6,Expense!$N$2:$P$2,0))</f>
        <v>40.96</v>
      </c>
      <c r="E9" s="33">
        <f>INDEX(Expense!$N$3:$P$23,MATCH(E$8,Expense!$A$3:$A$23,0),MATCH($B$6,Expense!$N$2:$P$2,0))</f>
        <v>61.8</v>
      </c>
      <c r="F9" s="33">
        <f>INDEX(Expense!$N$3:$P$23,MATCH(F$8,Expense!$A$3:$A$23,0),MATCH($B$6,Expense!$N$2:$P$2,0))</f>
        <v>93.03</v>
      </c>
      <c r="G9" s="33">
        <f>INDEX(Expense!$N$3:$P$23,MATCH(G$8,Expense!$A$3:$A$23,0),MATCH($B$6,Expense!$N$2:$P$2,0))</f>
        <v>45.2</v>
      </c>
      <c r="H9" s="33">
        <f>INDEX(Expense!$N$3:$P$23,MATCH(H$8,Expense!$A$3:$A$23,0),MATCH($B$6,Expense!$N$2:$P$2,0))</f>
        <v>0</v>
      </c>
      <c r="I9" s="33">
        <f>INDEX(Expense!$N$3:$P$23,MATCH(I$8,Expense!$A$3:$A$23,0),MATCH($B$6,Expense!$N$2:$P$2,0))</f>
        <v>88.21</v>
      </c>
      <c r="J9" s="33">
        <f>INDEX(Expense!$N$3:$P$23,MATCH(J$8,Expense!$A$3:$A$23,0),MATCH($B$6,Expense!$N$2:$P$2,0))</f>
        <v>75.66</v>
      </c>
      <c r="K9" s="33">
        <f>INDEX(Expense!$N$3:$P$23,MATCH(K$8,Expense!$A$3:$A$23,0),MATCH($B$6,Expense!$N$2:$P$2,0))</f>
        <v>32.020000000000003</v>
      </c>
      <c r="L9" s="33">
        <f>INDEX(Expense!$N$3:$P$23,MATCH(L$8,Expense!$A$3:$A$23,0),MATCH($B$6,Expense!$N$2:$P$2,0))</f>
        <v>40.44</v>
      </c>
      <c r="M9" s="33">
        <f>INDEX(Expense!$N$3:$P$23,MATCH(M$8,Expense!$A$3:$A$23,0),MATCH($B$6,Expense!$N$2:$P$2,0))</f>
        <v>87.97</v>
      </c>
      <c r="N9" s="33">
        <f>INDEX(Expense!$N$3:$P$23,MATCH(N$8,Expense!$A$3:$A$23,0),MATCH($B$6,Expense!$N$2:$P$2,0))</f>
        <v>110.77</v>
      </c>
      <c r="O9" s="33">
        <f>INDEX(Expense!$N$3:$P$23,MATCH(O$8,Expense!$A$3:$A$23,0),MATCH($B$6,Expense!$N$2:$P$2,0))</f>
        <v>62.67</v>
      </c>
      <c r="P9" s="33">
        <f>INDEX(Expense!$N$3:$P$23,MATCH(P$8,Expense!$A$3:$A$23,0),MATCH($B$6,Expense!$N$2:$P$2,0))</f>
        <v>30.99</v>
      </c>
      <c r="Q9" s="33">
        <f>INDEX(Expense!$N$3:$P$23,MATCH(Q$8,Expense!$A$3:$A$23,0),MATCH($B$6,Expense!$N$2:$P$2,0))</f>
        <v>96.17</v>
      </c>
      <c r="R9" s="33">
        <f>INDEX(Expense!$N$3:$P$23,MATCH(R$8,Expense!$A$3:$A$23,0),MATCH($B$6,Expense!$N$2:$P$2,0))</f>
        <v>75.23</v>
      </c>
      <c r="S9" s="33">
        <f>INDEX(Expense!$N$3:$P$23,MATCH(S$8,Expense!$A$3:$A$23,0),MATCH($B$6,Expense!$N$2:$P$2,0))</f>
        <v>36.5</v>
      </c>
      <c r="T9" s="33">
        <f>INDEX(Expense!$N$3:$P$23,MATCH(T$8,Expense!$A$3:$A$23,0),MATCH($B$6,Expense!$N$2:$P$2,0))</f>
        <v>63.95</v>
      </c>
      <c r="U9" s="33">
        <f>INDEX(Expense!$N$3:$P$23,MATCH(U$8,Expense!$A$3:$A$23,0),MATCH($B$6,Expense!$N$2:$P$2,0))</f>
        <v>130.49</v>
      </c>
      <c r="V9" s="33">
        <f>INDEX(Expense!$N$3:$P$23,MATCH(V$8,Expense!$A$3:$A$23,0),MATCH($B$6,Expense!$N$2:$P$2,0))</f>
        <v>76.12</v>
      </c>
      <c r="W9" s="53">
        <f>INDEX(Expense!$N$3:$P$23,MATCH(W$8,Expense!$A$3:$A$23,0),MATCH($B$6,Expense!$N$2:$P$2,0))</f>
        <v>28.09</v>
      </c>
      <c r="X9" s="68" cm="1">
        <f t="array" ref="X9">INDEX('Population projection'!$F$3:$F$23,MATCH(B9,'Population projection'!$B$3:$B$23,0),)</f>
        <v>12331271</v>
      </c>
      <c r="Y9" s="78">
        <f>X9*S9</f>
        <v>450091391.5</v>
      </c>
      <c r="AA9" s="80">
        <f t="shared" ref="AA9:AA24" si="0">$C$2*Y9</f>
        <v>450091391.5</v>
      </c>
      <c r="AB9" s="81">
        <f>AA9*(IF(B9&lt;2022,1,'Inflation projection'!G31))</f>
        <v>450091391.5</v>
      </c>
    </row>
    <row r="10" spans="2:29" x14ac:dyDescent="0.2">
      <c r="B10" s="47">
        <f>B9+1</f>
        <v>2017</v>
      </c>
      <c r="C10" s="33">
        <f>INDEX(Expense!$K$3:$M$23,MATCH(C$8,Expense!$A$3:$A$23,0),MATCH($B$6,Expense!$N$2:$P$2,0))</f>
        <v>31.07</v>
      </c>
      <c r="D10" s="33">
        <f>INDEX(Expense!$K$3:$M$23,MATCH(D$8,Expense!$A$3:$A$23,0),MATCH($B$6,Expense!$N$2:$P$2,0))</f>
        <v>63.62</v>
      </c>
      <c r="E10" s="33">
        <f>INDEX(Expense!$K$3:$M$23,MATCH(E$8,Expense!$A$3:$A$23,0),MATCH($B$6,Expense!$N$2:$P$2,0))</f>
        <v>48.43</v>
      </c>
      <c r="F10" s="33">
        <f>INDEX(Expense!$K$3:$M$23,MATCH(F$8,Expense!$A$3:$A$23,0),MATCH($B$6,Expense!$N$2:$P$2,0))</f>
        <v>84.14</v>
      </c>
      <c r="G10" s="33">
        <f>INDEX(Expense!$K$3:$M$23,MATCH(G$8,Expense!$A$3:$A$23,0),MATCH($B$6,Expense!$N$2:$P$2,0))</f>
        <v>29.57</v>
      </c>
      <c r="H10" s="33">
        <f>INDEX(Expense!$K$3:$M$23,MATCH(H$8,Expense!$A$3:$A$23,0),MATCH($B$6,Expense!$N$2:$P$2,0))</f>
        <v>0</v>
      </c>
      <c r="I10" s="33">
        <f>INDEX(Expense!$K$3:$M$23,MATCH(I$8,Expense!$A$3:$A$23,0),MATCH($B$6,Expense!$N$2:$P$2,0))</f>
        <v>85.37</v>
      </c>
      <c r="J10" s="33">
        <f>INDEX(Expense!$K$3:$M$23,MATCH(J$8,Expense!$A$3:$A$23,0),MATCH($B$6,Expense!$N$2:$P$2,0))</f>
        <v>98.23</v>
      </c>
      <c r="K10" s="33">
        <f>INDEX(Expense!$K$3:$M$23,MATCH(K$8,Expense!$A$3:$A$23,0),MATCH($B$6,Expense!$N$2:$P$2,0))</f>
        <v>38.520000000000003</v>
      </c>
      <c r="L10" s="33">
        <f>INDEX(Expense!$K$3:$M$23,MATCH(L$8,Expense!$A$3:$A$23,0),MATCH($B$6,Expense!$N$2:$P$2,0))</f>
        <v>52.67</v>
      </c>
      <c r="M10" s="33">
        <f>INDEX(Expense!$K$3:$M$23,MATCH(M$8,Expense!$A$3:$A$23,0),MATCH($B$6,Expense!$N$2:$P$2,0))</f>
        <v>125.63</v>
      </c>
      <c r="N10" s="33">
        <f>INDEX(Expense!$K$3:$M$23,MATCH(N$8,Expense!$A$3:$A$23,0),MATCH($B$6,Expense!$N$2:$P$2,0))</f>
        <v>84.35</v>
      </c>
      <c r="O10" s="33">
        <f>INDEX(Expense!$K$3:$M$23,MATCH(O$8,Expense!$A$3:$A$23,0),MATCH($B$6,Expense!$N$2:$P$2,0))</f>
        <v>63.09</v>
      </c>
      <c r="P10" s="33">
        <f>INDEX(Expense!$K$3:$M$23,MATCH(P$8,Expense!$A$3:$A$23,0),MATCH($B$6,Expense!$N$2:$P$2,0))</f>
        <v>49.91</v>
      </c>
      <c r="Q10" s="33">
        <f>INDEX(Expense!$K$3:$M$23,MATCH(Q$8,Expense!$A$3:$A$23,0),MATCH($B$6,Expense!$N$2:$P$2,0))</f>
        <v>71.53</v>
      </c>
      <c r="R10" s="33">
        <f>INDEX(Expense!$K$3:$M$23,MATCH(R$8,Expense!$A$3:$A$23,0),MATCH($B$6,Expense!$N$2:$P$2,0))</f>
        <v>73.25</v>
      </c>
      <c r="S10" s="33">
        <f>INDEX(Expense!$K$3:$M$23,MATCH(S$8,Expense!$A$3:$A$23,0),MATCH($B$6,Expense!$N$2:$P$2,0))</f>
        <v>38.11</v>
      </c>
      <c r="T10" s="33">
        <f>INDEX(Expense!$K$3:$M$23,MATCH(T$8,Expense!$A$3:$A$23,0),MATCH($B$6,Expense!$N$2:$P$2,0))</f>
        <v>86.32</v>
      </c>
      <c r="U10" s="33">
        <f>INDEX(Expense!$K$3:$M$23,MATCH(U$8,Expense!$A$3:$A$23,0),MATCH($B$6,Expense!$N$2:$P$2,0))</f>
        <v>123.49</v>
      </c>
      <c r="V10" s="33">
        <f>INDEX(Expense!$K$3:$M$23,MATCH(V$8,Expense!$A$3:$A$23,0),MATCH($B$6,Expense!$N$2:$P$2,0))</f>
        <v>71.62</v>
      </c>
      <c r="W10" s="53">
        <f>INDEX(Expense!$K$3:$M$23,MATCH(W$8,Expense!$A$3:$A$23,0),MATCH($B$6,Expense!$N$2:$P$2,0))</f>
        <v>49.95</v>
      </c>
      <c r="X10" s="68" cm="1">
        <f t="array" ref="X10">INDEX('Population projection'!$F$3:$F$23,MATCH(B10,'Population projection'!$B$3:$B$23,0),)</f>
        <v>12393007</v>
      </c>
      <c r="Y10" s="78">
        <f t="shared" ref="Y10:Y24" si="1">X10*S10</f>
        <v>472297496.76999998</v>
      </c>
      <c r="AA10" s="80">
        <f t="shared" si="0"/>
        <v>472297496.76999998</v>
      </c>
      <c r="AB10" s="81">
        <f>AA10*(IF(B10&lt;2022,1,'Inflation projection'!G32))</f>
        <v>472297496.76999998</v>
      </c>
      <c r="AC10">
        <f t="shared" ref="AC10:AC24" si="2">S10/S9</f>
        <v>1.0441095890410959</v>
      </c>
    </row>
    <row r="11" spans="2:29" x14ac:dyDescent="0.2">
      <c r="B11" s="47">
        <f t="shared" ref="B11:B22" si="3">B10+1</f>
        <v>2018</v>
      </c>
      <c r="C11" s="33">
        <f>INDEX(Expense!$H$3:$J$23,MATCH(C$8,Expense!$A$3:$A$23,0),MATCH($B$6,Expense!$N$2:$P$2,0))</f>
        <v>46.51</v>
      </c>
      <c r="D11" s="33">
        <f>INDEX(Expense!$H$3:$J$23,MATCH(D$8,Expense!$A$3:$A$23,0),MATCH($B$6,Expense!$N$2:$P$2,0))</f>
        <v>61.39</v>
      </c>
      <c r="E11" s="33">
        <f>INDEX(Expense!$H$3:$J$23,MATCH(E$8,Expense!$A$3:$A$23,0),MATCH($B$6,Expense!$N$2:$P$2,0))</f>
        <v>141.1</v>
      </c>
      <c r="F11" s="33">
        <f>INDEX(Expense!$H$3:$J$23,MATCH(F$8,Expense!$A$3:$A$23,0),MATCH($B$6,Expense!$N$2:$P$2,0))</f>
        <v>118.72</v>
      </c>
      <c r="G11" s="33">
        <f>INDEX(Expense!$H$3:$J$23,MATCH(G$8,Expense!$A$3:$A$23,0),MATCH($B$6,Expense!$N$2:$P$2,0))</f>
        <v>66.22</v>
      </c>
      <c r="H11" s="33">
        <f>INDEX(Expense!$H$3:$J$23,MATCH(H$8,Expense!$A$3:$A$23,0),MATCH($B$6,Expense!$N$2:$P$2,0))</f>
        <v>0</v>
      </c>
      <c r="I11" s="33">
        <f>INDEX(Expense!$H$3:$J$23,MATCH(I$8,Expense!$A$3:$A$23,0),MATCH($B$6,Expense!$N$2:$P$2,0))</f>
        <v>73.239999999999995</v>
      </c>
      <c r="J11" s="33">
        <f>INDEX(Expense!$H$3:$J$23,MATCH(J$8,Expense!$A$3:$A$23,0),MATCH($B$6,Expense!$N$2:$P$2,0))</f>
        <v>141.09</v>
      </c>
      <c r="K11" s="33">
        <f>INDEX(Expense!$H$3:$J$23,MATCH(K$8,Expense!$A$3:$A$23,0),MATCH($B$6,Expense!$N$2:$P$2,0))</f>
        <v>53.59</v>
      </c>
      <c r="L11" s="33">
        <f>INDEX(Expense!$H$3:$J$23,MATCH(L$8,Expense!$A$3:$A$23,0),MATCH($B$6,Expense!$N$2:$P$2,0))</f>
        <v>52.05</v>
      </c>
      <c r="M11" s="33">
        <f>INDEX(Expense!$H$3:$J$23,MATCH(M$8,Expense!$A$3:$A$23,0),MATCH($B$6,Expense!$N$2:$P$2,0))</f>
        <v>153.5</v>
      </c>
      <c r="N11" s="33">
        <f>INDEX(Expense!$H$3:$J$23,MATCH(N$8,Expense!$A$3:$A$23,0),MATCH($B$6,Expense!$N$2:$P$2,0))</f>
        <v>105.68</v>
      </c>
      <c r="O11" s="33">
        <f>INDEX(Expense!$H$3:$J$23,MATCH(O$8,Expense!$A$3:$A$23,0),MATCH($B$6,Expense!$N$2:$P$2,0))</f>
        <v>135.46</v>
      </c>
      <c r="P11" s="33">
        <f>INDEX(Expense!$H$3:$J$23,MATCH(P$8,Expense!$A$3:$A$23,0),MATCH($B$6,Expense!$N$2:$P$2,0))</f>
        <v>41.37</v>
      </c>
      <c r="Q11" s="33">
        <f>INDEX(Expense!$H$3:$J$23,MATCH(Q$8,Expense!$A$3:$A$23,0),MATCH($B$6,Expense!$N$2:$P$2,0))</f>
        <v>90.44</v>
      </c>
      <c r="R11" s="33">
        <f>INDEX(Expense!$H$3:$J$23,MATCH(R$8,Expense!$A$3:$A$23,0),MATCH($B$6,Expense!$N$2:$P$2,0))</f>
        <v>78.64</v>
      </c>
      <c r="S11" s="33">
        <f>INDEX(Expense!$H$3:$J$23,MATCH(S$8,Expense!$A$3:$A$23,0),MATCH($B$6,Expense!$N$2:$P$2,0))</f>
        <v>47.94</v>
      </c>
      <c r="T11" s="33">
        <f>INDEX(Expense!$H$3:$J$23,MATCH(T$8,Expense!$A$3:$A$23,0),MATCH($B$6,Expense!$N$2:$P$2,0))</f>
        <v>95.81</v>
      </c>
      <c r="U11" s="33">
        <f>INDEX(Expense!$H$3:$J$23,MATCH(U$8,Expense!$A$3:$A$23,0),MATCH($B$6,Expense!$N$2:$P$2,0))</f>
        <v>140.22</v>
      </c>
      <c r="V11" s="33">
        <f>INDEX(Expense!$H$3:$J$23,MATCH(V$8,Expense!$A$3:$A$23,0),MATCH($B$6,Expense!$N$2:$P$2,0))</f>
        <v>87.79</v>
      </c>
      <c r="W11" s="53">
        <f>INDEX(Expense!$H$3:$J$23,MATCH(W$8,Expense!$A$3:$A$23,0),MATCH($B$6,Expense!$N$2:$P$2,0))</f>
        <v>77.069999999999993</v>
      </c>
      <c r="X11" s="68" cm="1">
        <f t="array" ref="X11">INDEX('Population projection'!$F$3:$F$23,MATCH(B11,'Population projection'!$B$3:$B$23,0),)</f>
        <v>12463353</v>
      </c>
      <c r="Y11" s="78">
        <f t="shared" si="1"/>
        <v>597493142.81999993</v>
      </c>
      <c r="AA11" s="80">
        <f t="shared" si="0"/>
        <v>597493142.81999993</v>
      </c>
      <c r="AB11" s="81">
        <f>AA11*(IF(B11&lt;2022,1,'Inflation projection'!G33))</f>
        <v>597493142.81999993</v>
      </c>
      <c r="AC11">
        <f t="shared" si="2"/>
        <v>1.2579375491996851</v>
      </c>
    </row>
    <row r="12" spans="2:29" x14ac:dyDescent="0.2">
      <c r="B12" s="47">
        <f t="shared" si="3"/>
        <v>2019</v>
      </c>
      <c r="C12" s="33">
        <f>INDEX(Expense!$E$3:$G$23,MATCH(C$8,Expense!$A$3:$A$23,0),MATCH($B$6,Expense!$N$2:$P$2,0))</f>
        <v>74.040000000000006</v>
      </c>
      <c r="D12" s="33">
        <f>INDEX(Expense!$E$3:$G$23,MATCH(D$8,Expense!$A$3:$A$23,0),MATCH($B$6,Expense!$N$2:$P$2,0))</f>
        <v>99.84</v>
      </c>
      <c r="E12" s="33">
        <f>INDEX(Expense!$E$3:$G$23,MATCH(E$8,Expense!$A$3:$A$23,0),MATCH($B$6,Expense!$N$2:$P$2,0))</f>
        <v>100.13</v>
      </c>
      <c r="F12" s="33">
        <f>INDEX(Expense!$E$3:$G$23,MATCH(F$8,Expense!$A$3:$A$23,0),MATCH($B$6,Expense!$N$2:$P$2,0))</f>
        <v>152.09</v>
      </c>
      <c r="G12" s="33">
        <f>INDEX(Expense!$E$3:$G$23,MATCH(G$8,Expense!$A$3:$A$23,0),MATCH($B$6,Expense!$N$2:$P$2,0))</f>
        <v>76.81</v>
      </c>
      <c r="H12" s="33">
        <f>INDEX(Expense!$E$3:$G$23,MATCH(H$8,Expense!$A$3:$A$23,0),MATCH($B$6,Expense!$N$2:$P$2,0))</f>
        <v>0</v>
      </c>
      <c r="I12" s="33">
        <f>INDEX(Expense!$E$3:$G$23,MATCH(I$8,Expense!$A$3:$A$23,0),MATCH($B$6,Expense!$N$2:$P$2,0))</f>
        <v>80.930000000000007</v>
      </c>
      <c r="J12" s="33">
        <f>INDEX(Expense!$E$3:$G$23,MATCH(J$8,Expense!$A$3:$A$23,0),MATCH($B$6,Expense!$N$2:$P$2,0))</f>
        <v>133.81</v>
      </c>
      <c r="K12" s="33">
        <f>INDEX(Expense!$E$3:$G$23,MATCH(K$8,Expense!$A$3:$A$23,0),MATCH($B$6,Expense!$N$2:$P$2,0))</f>
        <v>55.7</v>
      </c>
      <c r="L12" s="33">
        <f>INDEX(Expense!$E$3:$G$23,MATCH(L$8,Expense!$A$3:$A$23,0),MATCH($B$6,Expense!$N$2:$P$2,0))</f>
        <v>69.37</v>
      </c>
      <c r="M12" s="33">
        <f>INDEX(Expense!$E$3:$G$23,MATCH(M$8,Expense!$A$3:$A$23,0),MATCH($B$6,Expense!$N$2:$P$2,0))</f>
        <v>143.81</v>
      </c>
      <c r="N12" s="33">
        <f>INDEX(Expense!$E$3:$G$23,MATCH(N$8,Expense!$A$3:$A$23,0),MATCH($B$6,Expense!$N$2:$P$2,0))</f>
        <v>126.23</v>
      </c>
      <c r="O12" s="33">
        <f>INDEX(Expense!$E$3:$G$23,MATCH(O$8,Expense!$A$3:$A$23,0),MATCH($B$6,Expense!$N$2:$P$2,0))</f>
        <v>149.11000000000001</v>
      </c>
      <c r="P12" s="33">
        <f>INDEX(Expense!$E$3:$G$23,MATCH(P$8,Expense!$A$3:$A$23,0),MATCH($B$6,Expense!$N$2:$P$2,0))</f>
        <v>57.2</v>
      </c>
      <c r="Q12" s="33">
        <f>INDEX(Expense!$E$3:$G$23,MATCH(Q$8,Expense!$A$3:$A$23,0),MATCH($B$6,Expense!$N$2:$P$2,0))</f>
        <v>70.59</v>
      </c>
      <c r="R12" s="33">
        <f>INDEX(Expense!$E$3:$G$23,MATCH(R$8,Expense!$A$3:$A$23,0),MATCH($B$6,Expense!$N$2:$P$2,0))</f>
        <v>82.6</v>
      </c>
      <c r="S12" s="33">
        <f>INDEX(Expense!$E$3:$G$23,MATCH(S$8,Expense!$A$3:$A$23,0),MATCH($B$6,Expense!$N$2:$P$2,0))</f>
        <v>52.83</v>
      </c>
      <c r="T12" s="33">
        <f>INDEX(Expense!$E$3:$G$23,MATCH(T$8,Expense!$A$3:$A$23,0),MATCH($B$6,Expense!$N$2:$P$2,0))</f>
        <v>117.09</v>
      </c>
      <c r="U12" s="33">
        <f>INDEX(Expense!$E$3:$G$23,MATCH(U$8,Expense!$A$3:$A$23,0),MATCH($B$6,Expense!$N$2:$P$2,0))</f>
        <v>155.72</v>
      </c>
      <c r="V12" s="33">
        <f>INDEX(Expense!$E$3:$G$23,MATCH(V$8,Expense!$A$3:$A$23,0),MATCH($B$6,Expense!$N$2:$P$2,0))</f>
        <v>86.06</v>
      </c>
      <c r="W12" s="53">
        <f>INDEX(Expense!$E$3:$G$23,MATCH(W$8,Expense!$A$3:$A$23,0),MATCH($B$6,Expense!$N$2:$P$2,0))</f>
        <v>68.63</v>
      </c>
      <c r="X12" s="68" cm="1">
        <f t="array" ref="X12">INDEX('Population projection'!$F$3:$F$23,MATCH(B12,'Population projection'!$B$3:$B$23,0),)</f>
        <v>12548788</v>
      </c>
      <c r="Y12" s="78">
        <f t="shared" si="1"/>
        <v>662952470.03999996</v>
      </c>
      <c r="AA12" s="80">
        <f t="shared" si="0"/>
        <v>662952470.03999996</v>
      </c>
      <c r="AB12" s="81">
        <f>AA12*(IF(B12&lt;2022,1,'Inflation projection'!G34))</f>
        <v>662952470.03999996</v>
      </c>
      <c r="AC12">
        <f t="shared" si="2"/>
        <v>1.1020025031289111</v>
      </c>
    </row>
    <row r="13" spans="2:29" x14ac:dyDescent="0.2">
      <c r="B13" s="48">
        <f t="shared" si="3"/>
        <v>2020</v>
      </c>
      <c r="C13" s="45">
        <f>INDEX(Expense!$B$3:$D$23,MATCH(C$8,Expense!$A$3:$A$23,0),MATCH($B$6,Expense!$N$2:$P$2,0))</f>
        <v>55.93</v>
      </c>
      <c r="D13" s="45">
        <f>INDEX(Expense!$B$3:$D$23,MATCH(D$8,Expense!$A$3:$A$23,0),MATCH($B$6,Expense!$N$2:$P$2,0))</f>
        <v>73.94</v>
      </c>
      <c r="E13" s="45">
        <f>INDEX(Expense!$B$3:$D$23,MATCH(E$8,Expense!$A$3:$A$23,0),MATCH($B$6,Expense!$N$2:$P$2,0))</f>
        <v>118.29</v>
      </c>
      <c r="F13" s="45">
        <f>INDEX(Expense!$B$3:$D$23,MATCH(F$8,Expense!$A$3:$A$23,0),MATCH($B$6,Expense!$N$2:$P$2,0))</f>
        <v>190.93</v>
      </c>
      <c r="G13" s="45">
        <f>INDEX(Expense!$B$3:$D$23,MATCH(G$8,Expense!$A$3:$A$23,0),MATCH($B$6,Expense!$N$2:$P$2,0))</f>
        <v>57.97</v>
      </c>
      <c r="H13" s="45">
        <f>INDEX(Expense!$B$3:$D$23,MATCH(H$8,Expense!$A$3:$A$23,0),MATCH($B$6,Expense!$N$2:$P$2,0))</f>
        <v>0</v>
      </c>
      <c r="I13" s="45">
        <f>INDEX(Expense!$B$3:$D$23,MATCH(I$8,Expense!$A$3:$A$23,0),MATCH($B$6,Expense!$N$2:$P$2,0))</f>
        <v>89.83</v>
      </c>
      <c r="J13" s="45">
        <f>INDEX(Expense!$B$3:$D$23,MATCH(J$8,Expense!$A$3:$A$23,0),MATCH($B$6,Expense!$N$2:$P$2,0))</f>
        <v>112.22</v>
      </c>
      <c r="K13" s="45">
        <f>INDEX(Expense!$B$3:$D$23,MATCH(K$8,Expense!$A$3:$A$23,0),MATCH($B$6,Expense!$N$2:$P$2,0))</f>
        <v>45.84</v>
      </c>
      <c r="L13" s="45">
        <f>INDEX(Expense!$B$3:$D$23,MATCH(L$8,Expense!$A$3:$A$23,0),MATCH($B$6,Expense!$N$2:$P$2,0))</f>
        <v>83.75</v>
      </c>
      <c r="M13" s="45">
        <f>INDEX(Expense!$B$3:$D$23,MATCH(M$8,Expense!$A$3:$A$23,0),MATCH($B$6,Expense!$N$2:$P$2,0))</f>
        <v>124.14</v>
      </c>
      <c r="N13" s="45">
        <f>INDEX(Expense!$B$3:$D$23,MATCH(N$8,Expense!$A$3:$A$23,0),MATCH($B$6,Expense!$N$2:$P$2,0))</f>
        <v>118.15</v>
      </c>
      <c r="O13" s="45">
        <f>INDEX(Expense!$B$3:$D$23,MATCH(O$8,Expense!$A$3:$A$23,0),MATCH($B$6,Expense!$N$2:$P$2,0))</f>
        <v>131.86000000000001</v>
      </c>
      <c r="P13" s="45">
        <f>INDEX(Expense!$B$3:$D$23,MATCH(P$8,Expense!$A$3:$A$23,0),MATCH($B$6,Expense!$N$2:$P$2,0))</f>
        <v>82.48</v>
      </c>
      <c r="Q13" s="45">
        <f>INDEX(Expense!$B$3:$D$23,MATCH(Q$8,Expense!$A$3:$A$23,0),MATCH($B$6,Expense!$N$2:$P$2,0))</f>
        <v>58.11</v>
      </c>
      <c r="R13" s="45">
        <f>INDEX(Expense!$B$3:$D$23,MATCH(R$8,Expense!$A$3:$A$23,0),MATCH($B$6,Expense!$N$2:$P$2,0))</f>
        <v>64.349999999999994</v>
      </c>
      <c r="S13" s="45">
        <f>INDEX(Expense!$B$3:$D$23,MATCH(S$8,Expense!$A$3:$A$23,0),MATCH($B$6,Expense!$N$2:$P$2,0))</f>
        <v>50.44</v>
      </c>
      <c r="T13" s="45">
        <f>INDEX(Expense!$B$3:$D$23,MATCH(T$8,Expense!$A$3:$A$23,0),MATCH($B$6,Expense!$N$2:$P$2,0))</f>
        <v>115.87</v>
      </c>
      <c r="U13" s="45">
        <f>INDEX(Expense!$B$3:$D$23,MATCH(U$8,Expense!$A$3:$A$23,0),MATCH($B$6,Expense!$N$2:$P$2,0))</f>
        <v>181.65</v>
      </c>
      <c r="V13" s="45">
        <f>INDEX(Expense!$B$3:$D$23,MATCH(V$8,Expense!$A$3:$A$23,0),MATCH($B$6,Expense!$N$2:$P$2,0))</f>
        <v>62.53</v>
      </c>
      <c r="W13" s="55">
        <f>INDEX(Expense!$B$3:$D$23,MATCH(W$8,Expense!$A$3:$A$23,0),MATCH($B$6,Expense!$N$2:$P$2,0))</f>
        <v>64.790000000000006</v>
      </c>
      <c r="X13" s="69" cm="1">
        <f t="array" ref="X13">INDEX('Population projection'!$F$3:$F$23,MATCH(B13,'Population projection'!$B$3:$B$23,0),)</f>
        <v>12569472</v>
      </c>
      <c r="Y13" s="79">
        <f t="shared" si="1"/>
        <v>634004167.67999995</v>
      </c>
      <c r="AA13" s="80">
        <f t="shared" si="0"/>
        <v>634004167.67999995</v>
      </c>
      <c r="AB13" s="81">
        <f>AA13*(IF(B13&lt;2022,1,'Inflation projection'!G35))</f>
        <v>634004167.67999995</v>
      </c>
      <c r="AC13">
        <f t="shared" si="2"/>
        <v>0.9547605527162597</v>
      </c>
    </row>
    <row r="14" spans="2:29" x14ac:dyDescent="0.2">
      <c r="B14" s="59">
        <f t="shared" si="3"/>
        <v>2021</v>
      </c>
      <c r="C14" s="35">
        <f>_xlfn.FORECAST.LINEAR($B14,C$9:C13,$B$9:$B13)</f>
        <v>73.706999999998516</v>
      </c>
      <c r="D14" s="35">
        <f>_xlfn.FORECAST.LINEAR($B14,D$9:D13,$B$9:$B13)</f>
        <v>98.604000000002998</v>
      </c>
      <c r="E14" s="35">
        <f>_xlfn.FORECAST.LINEAR($B14,E$9:E13,$B$9:$B13)</f>
        <v>143.35399999999936</v>
      </c>
      <c r="F14" s="35">
        <f>_xlfn.FORECAST.LINEAR($B14,F$9:F13,$B$9:$B13)</f>
        <v>206.90699999999924</v>
      </c>
      <c r="G14" s="35">
        <f>_xlfn.FORECAST.LINEAR($B14,G$9:G13,$B$9:$B13)</f>
        <v>76.988000000001193</v>
      </c>
      <c r="H14" s="35">
        <f>_xlfn.FORECAST.LINEAR($B14,H$9:H13,$B$9:$B13)</f>
        <v>0</v>
      </c>
      <c r="I14" s="35">
        <f>_xlfn.FORECAST.LINEAR($B14,I$9:I13,$B$9:$B13)</f>
        <v>83.155999999999977</v>
      </c>
      <c r="J14" s="35">
        <f>_xlfn.FORECAST.LINEAR($B14,J$9:J13,$B$9:$B13)</f>
        <v>144.81199999999808</v>
      </c>
      <c r="K14" s="35">
        <f>_xlfn.FORECAST.LINEAR($B14,K$9:K13,$B$9:$B13)</f>
        <v>58.579999999999927</v>
      </c>
      <c r="L14" s="35">
        <f>_xlfn.FORECAST.LINEAR($B14,L$9:L13,$B$9:$B13)</f>
        <v>90.651999999998225</v>
      </c>
      <c r="M14" s="35">
        <f>_xlfn.FORECAST.LINEAR($B14,M$9:M13,$B$9:$B13)</f>
        <v>154.16600000000108</v>
      </c>
      <c r="N14" s="35">
        <f>_xlfn.FORECAST.LINEAR($B14,N$9:N13,$B$9:$B13)</f>
        <v>126.02800000000025</v>
      </c>
      <c r="O14" s="35">
        <f>_xlfn.FORECAST.LINEAR($B14,O$9:O13,$B$9:$B13)</f>
        <v>175.75800000000163</v>
      </c>
      <c r="P14" s="35">
        <f>_xlfn.FORECAST.LINEAR($B14,P$9:P13,$B$9:$B13)</f>
        <v>85.471000000001368</v>
      </c>
      <c r="Q14" s="35">
        <f>_xlfn.FORECAST.LINEAR($B14,Q$9:Q13,$B$9:$B13)</f>
        <v>54.25</v>
      </c>
      <c r="R14" s="35">
        <f>_xlfn.FORECAST.LINEAR($B14,R$9:R13,$B$9:$B13)</f>
        <v>71.090999999999894</v>
      </c>
      <c r="S14" s="35">
        <f>_xlfn.FORECAST.LINEAR($B14,S$9:S13,$B$9:$B13)</f>
        <v>57.943999999999505</v>
      </c>
      <c r="T14" s="35">
        <f>_xlfn.FORECAST.LINEAR($B14,T$9:T13,$B$9:$B13)</f>
        <v>136.19100000000253</v>
      </c>
      <c r="U14" s="35">
        <f>_xlfn.FORECAST.LINEAR($B14,U$9:U13,$B$9:$B13)</f>
        <v>186.67900000000009</v>
      </c>
      <c r="V14" s="35">
        <f>_xlfn.FORECAST.LINEAR($B14,V$9:V13,$B$9:$B13)</f>
        <v>73.001999999999953</v>
      </c>
      <c r="W14" s="64">
        <f>_xlfn.FORECAST.LINEAR($B14,W$9:W13,$B$9:$B13)</f>
        <v>85.329999999998108</v>
      </c>
      <c r="X14" s="61" cm="1">
        <f t="array" ref="X14">INDEX('Population projection'!$F$3:$F$23,MATCH(B14,'Population projection'!$B$3:$B$23,0),)</f>
        <v>12630242.517640233</v>
      </c>
      <c r="Y14" s="78">
        <f t="shared" si="1"/>
        <v>731846772.44213939</v>
      </c>
      <c r="AA14" s="80">
        <f t="shared" si="0"/>
        <v>731846772.44213939</v>
      </c>
      <c r="AB14" s="81">
        <f>AA14*(IF(B14&lt;2022,1,'Inflation projection'!G36))</f>
        <v>731846772.44213939</v>
      </c>
      <c r="AC14">
        <f t="shared" si="2"/>
        <v>1.1487708168120441</v>
      </c>
    </row>
    <row r="15" spans="2:29" x14ac:dyDescent="0.2">
      <c r="B15" s="59">
        <f t="shared" si="3"/>
        <v>2022</v>
      </c>
      <c r="C15" s="35">
        <f>_xlfn.FORECAST.LINEAR($B15,C$9:C14,$B$9:$B14)</f>
        <v>82.063999999998487</v>
      </c>
      <c r="D15" s="35">
        <f>_xlfn.FORECAST.LINEAR($B15,D$9:D14,$B$9:$B14)</f>
        <v>108.82200000000012</v>
      </c>
      <c r="E15" s="35">
        <f>_xlfn.FORECAST.LINEAR($B15,E$9:E14,$B$9:$B14)</f>
        <v>159.82200000000012</v>
      </c>
      <c r="F15" s="35">
        <f>_xlfn.FORECAST.LINEAR($B15,F$9:F14,$B$9:$B14)</f>
        <v>233.28199999999924</v>
      </c>
      <c r="G15" s="35">
        <f>_xlfn.FORECAST.LINEAR($B15,G$9:G14,$B$9:$B14)</f>
        <v>84.265999999999622</v>
      </c>
      <c r="H15" s="35">
        <f>_xlfn.FORECAST.LINEAR($B15,H$9:H14,$B$9:$B14)</f>
        <v>0</v>
      </c>
      <c r="I15" s="35">
        <f>_xlfn.FORECAST.LINEAR($B15,I$9:I14,$B$9:$B14)</f>
        <v>83.036000000000001</v>
      </c>
      <c r="J15" s="35">
        <f>_xlfn.FORECAST.LINEAR($B15,J$9:J14,$B$9:$B14)</f>
        <v>155.6820000000007</v>
      </c>
      <c r="K15" s="35">
        <f>_xlfn.FORECAST.LINEAR($B15,K$9:K14,$B$9:$B14)</f>
        <v>63.061999999999898</v>
      </c>
      <c r="L15" s="35">
        <f>_xlfn.FORECAST.LINEAR($B15,L$9:L14,$B$9:$B14)</f>
        <v>100.98399999999674</v>
      </c>
      <c r="M15" s="35">
        <f>_xlfn.FORECAST.LINEAR($B15,M$9:M14,$B$9:$B14)</f>
        <v>163.21800000000076</v>
      </c>
      <c r="N15" s="35">
        <f>_xlfn.FORECAST.LINEAR($B15,N$9:N14,$B$9:$B14)</f>
        <v>131.69200000000092</v>
      </c>
      <c r="O15" s="35">
        <f>_xlfn.FORECAST.LINEAR($B15,O$9:O14,$B$9:$B14)</f>
        <v>198.19800000000396</v>
      </c>
      <c r="P15" s="35">
        <f>_xlfn.FORECAST.LINEAR($B15,P$9:P14,$B$9:$B14)</f>
        <v>96.497999999999593</v>
      </c>
      <c r="Q15" s="35">
        <f>_xlfn.FORECAST.LINEAR($B15,Q$9:Q14,$B$9:$B14)</f>
        <v>46.543999999999869</v>
      </c>
      <c r="R15" s="35">
        <f>_xlfn.FORECAST.LINEAR($B15,R$9:R14,$B$9:$B14)</f>
        <v>69.849999999999909</v>
      </c>
      <c r="S15" s="35">
        <f>_xlfn.FORECAST.LINEAR($B15,S$9:S14,$B$9:$B14)</f>
        <v>62.203999999999724</v>
      </c>
      <c r="T15" s="35">
        <f>_xlfn.FORECAST.LINEAR($B15,T$9:T14,$B$9:$B14)</f>
        <v>149.65200000000186</v>
      </c>
      <c r="U15" s="35">
        <f>_xlfn.FORECAST.LINEAR($B15,U$9:U14,$B$9:$B14)</f>
        <v>200.1339999999982</v>
      </c>
      <c r="V15" s="35">
        <f>_xlfn.FORECAST.LINEAR($B15,V$9:V14,$B$9:$B14)</f>
        <v>71.728000000000065</v>
      </c>
      <c r="W15" s="64">
        <f>_xlfn.FORECAST.LINEAR($B15,W$9:W14,$B$9:$B14)</f>
        <v>94.538000000000466</v>
      </c>
      <c r="X15" s="61" cm="1">
        <f t="array" ref="X15">INDEX('Population projection'!$F$3:$F$23,MATCH(B15,'Population projection'!$B$3:$B$23,0),)</f>
        <v>12692485.711932613</v>
      </c>
      <c r="Y15" s="78">
        <f t="shared" si="1"/>
        <v>789523381.22505271</v>
      </c>
      <c r="AA15" s="80">
        <f t="shared" si="0"/>
        <v>789523381.22505271</v>
      </c>
      <c r="AB15" s="81">
        <f>AA15*(IF(B15&lt;2022,1,'Inflation projection'!G37))</f>
        <v>808108039.48373353</v>
      </c>
      <c r="AC15">
        <f t="shared" si="2"/>
        <v>1.0735192599751529</v>
      </c>
    </row>
    <row r="16" spans="2:29" x14ac:dyDescent="0.2">
      <c r="B16" s="59">
        <f t="shared" si="3"/>
        <v>2023</v>
      </c>
      <c r="C16" s="35">
        <f>_xlfn.FORECAST.LINEAR($B16,C$9:C15,$B$9:$B15)</f>
        <v>90.420999999998457</v>
      </c>
      <c r="D16" s="35">
        <f>_xlfn.FORECAST.LINEAR($B16,D$9:D15,$B$9:$B15)</f>
        <v>119.04000000000451</v>
      </c>
      <c r="E16" s="35">
        <f>_xlfn.FORECAST.LINEAR($B16,E$9:E15,$B$9:$B15)</f>
        <v>176.29000000000087</v>
      </c>
      <c r="F16" s="35">
        <f>_xlfn.FORECAST.LINEAR($B16,F$9:F15,$B$9:$B15)</f>
        <v>259.65699999999197</v>
      </c>
      <c r="G16" s="35">
        <f>_xlfn.FORECAST.LINEAR($B16,G$9:G15,$B$9:$B15)</f>
        <v>91.544000000001688</v>
      </c>
      <c r="H16" s="35">
        <f>_xlfn.FORECAST.LINEAR($B16,H$9:H15,$B$9:$B15)</f>
        <v>0</v>
      </c>
      <c r="I16" s="35">
        <f>_xlfn.FORECAST.LINEAR($B16,I$9:I15,$B$9:$B15)</f>
        <v>82.915999999999968</v>
      </c>
      <c r="J16" s="35">
        <f>_xlfn.FORECAST.LINEAR($B16,J$9:J15,$B$9:$B15)</f>
        <v>166.55199999999968</v>
      </c>
      <c r="K16" s="35">
        <f>_xlfn.FORECAST.LINEAR($B16,K$9:K15,$B$9:$B15)</f>
        <v>67.543999999999869</v>
      </c>
      <c r="L16" s="35">
        <f>_xlfn.FORECAST.LINEAR($B16,L$9:L15,$B$9:$B15)</f>
        <v>111.31599999999526</v>
      </c>
      <c r="M16" s="35">
        <f>_xlfn.FORECAST.LINEAR($B16,M$9:M15,$B$9:$B15)</f>
        <v>172.27000000000407</v>
      </c>
      <c r="N16" s="35">
        <f>_xlfn.FORECAST.LINEAR($B16,N$9:N15,$B$9:$B15)</f>
        <v>137.35600000000159</v>
      </c>
      <c r="O16" s="35">
        <f>_xlfn.FORECAST.LINEAR($B16,O$9:O15,$B$9:$B15)</f>
        <v>220.63800000000629</v>
      </c>
      <c r="P16" s="35">
        <f>_xlfn.FORECAST.LINEAR($B16,P$9:P15,$B$9:$B15)</f>
        <v>107.52500000000146</v>
      </c>
      <c r="Q16" s="35">
        <f>_xlfn.FORECAST.LINEAR($B16,Q$9:Q15,$B$9:$B15)</f>
        <v>38.837999999999738</v>
      </c>
      <c r="R16" s="35">
        <f>_xlfn.FORECAST.LINEAR($B16,R$9:R15,$B$9:$B15)</f>
        <v>68.608999999999924</v>
      </c>
      <c r="S16" s="35">
        <f>_xlfn.FORECAST.LINEAR($B16,S$9:S15,$B$9:$B15)</f>
        <v>66.463999999998123</v>
      </c>
      <c r="T16" s="35">
        <f>_xlfn.FORECAST.LINEAR($B16,T$9:T15,$B$9:$B15)</f>
        <v>163.11300000000119</v>
      </c>
      <c r="U16" s="35">
        <f>_xlfn.FORECAST.LINEAR($B16,U$9:U15,$B$9:$B15)</f>
        <v>213.58899999999994</v>
      </c>
      <c r="V16" s="35">
        <f>_xlfn.FORECAST.LINEAR($B16,V$9:V15,$B$9:$B15)</f>
        <v>70.454000000000178</v>
      </c>
      <c r="W16" s="64">
        <f>_xlfn.FORECAST.LINEAR($B16,W$9:W15,$B$9:$B15)</f>
        <v>103.74600000000282</v>
      </c>
      <c r="X16" s="61" cm="1">
        <f t="array" ref="X16">INDEX('Population projection'!$F$3:$F$23,MATCH(B16,'Population projection'!$B$3:$B$23,0),)</f>
        <v>12756213.47054033</v>
      </c>
      <c r="Y16" s="78">
        <f t="shared" si="1"/>
        <v>847828972.10596848</v>
      </c>
      <c r="AA16" s="80">
        <f t="shared" si="0"/>
        <v>847828972.10596848</v>
      </c>
      <c r="AB16" s="81">
        <f>AA16*(IF(B16&lt;2022,1,'Inflation projection'!G38))</f>
        <v>884753113.17006934</v>
      </c>
      <c r="AC16">
        <f t="shared" si="2"/>
        <v>1.0684843418429428</v>
      </c>
    </row>
    <row r="17" spans="2:29" x14ac:dyDescent="0.2">
      <c r="B17" s="59">
        <f t="shared" si="3"/>
        <v>2024</v>
      </c>
      <c r="C17" s="35">
        <f>_xlfn.FORECAST.LINEAR($B17,C$9:C16,$B$9:$B16)</f>
        <v>98.778000000002066</v>
      </c>
      <c r="D17" s="35">
        <f>_xlfn.FORECAST.LINEAR($B17,D$9:D16,$B$9:$B16)</f>
        <v>129.25800000000527</v>
      </c>
      <c r="E17" s="35">
        <f>_xlfn.FORECAST.LINEAR($B17,E$9:E16,$B$9:$B16)</f>
        <v>192.75800000000163</v>
      </c>
      <c r="F17" s="35">
        <f>_xlfn.FORECAST.LINEAR($B17,F$9:F16,$B$9:$B16)</f>
        <v>286.03199999999197</v>
      </c>
      <c r="G17" s="35">
        <f>_xlfn.FORECAST.LINEAR($B17,G$9:G16,$B$9:$B16)</f>
        <v>98.822000000000116</v>
      </c>
      <c r="H17" s="35">
        <f>_xlfn.FORECAST.LINEAR($B17,H$9:H16,$B$9:$B16)</f>
        <v>0</v>
      </c>
      <c r="I17" s="35">
        <f>_xlfn.FORECAST.LINEAR($B17,I$9:I16,$B$9:$B16)</f>
        <v>82.795999999999964</v>
      </c>
      <c r="J17" s="35">
        <f>_xlfn.FORECAST.LINEAR($B17,J$9:J16,$B$9:$B16)</f>
        <v>177.4220000000023</v>
      </c>
      <c r="K17" s="35">
        <f>_xlfn.FORECAST.LINEAR($B17,K$9:K16,$B$9:$B16)</f>
        <v>72.02599999999984</v>
      </c>
      <c r="L17" s="35">
        <f>_xlfn.FORECAST.LINEAR($B17,L$9:L16,$B$9:$B16)</f>
        <v>121.64799999999741</v>
      </c>
      <c r="M17" s="35">
        <f>_xlfn.FORECAST.LINEAR($B17,M$9:M16,$B$9:$B16)</f>
        <v>181.32200000000012</v>
      </c>
      <c r="N17" s="35">
        <f>_xlfn.FORECAST.LINEAR($B17,N$9:N16,$B$9:$B16)</f>
        <v>143.02000000000226</v>
      </c>
      <c r="O17" s="35">
        <f>_xlfn.FORECAST.LINEAR($B17,O$9:O16,$B$9:$B16)</f>
        <v>243.07800000000134</v>
      </c>
      <c r="P17" s="35">
        <f>_xlfn.FORECAST.LINEAR($B17,P$9:P16,$B$9:$B16)</f>
        <v>118.55199999999968</v>
      </c>
      <c r="Q17" s="35">
        <f>_xlfn.FORECAST.LINEAR($B17,Q$9:Q16,$B$9:$B16)</f>
        <v>31.131999999999607</v>
      </c>
      <c r="R17" s="35">
        <f>_xlfn.FORECAST.LINEAR($B17,R$9:R16,$B$9:$B16)</f>
        <v>67.367999999999938</v>
      </c>
      <c r="S17" s="35">
        <f>_xlfn.FORECAST.LINEAR($B17,S$9:S16,$B$9:$B16)</f>
        <v>70.723999999998341</v>
      </c>
      <c r="T17" s="35">
        <f>_xlfn.FORECAST.LINEAR($B17,T$9:T16,$B$9:$B16)</f>
        <v>176.57400000000416</v>
      </c>
      <c r="U17" s="35">
        <f>_xlfn.FORECAST.LINEAR($B17,U$9:U16,$B$9:$B16)</f>
        <v>227.04399999999805</v>
      </c>
      <c r="V17" s="35">
        <f>_xlfn.FORECAST.LINEAR($B17,V$9:V16,$B$9:$B16)</f>
        <v>69.179999999999836</v>
      </c>
      <c r="W17" s="64">
        <f>_xlfn.FORECAST.LINEAR($B17,W$9:W16,$B$9:$B16)</f>
        <v>112.95400000000154</v>
      </c>
      <c r="X17" s="61" cm="1">
        <f t="array" ref="X17">INDEX('Population projection'!$F$3:$F$23,MATCH(B17,'Population projection'!$B$3:$B$23,0),)</f>
        <v>12821438.795467623</v>
      </c>
      <c r="Y17" s="78">
        <f t="shared" si="1"/>
        <v>906783437.37063086</v>
      </c>
      <c r="AA17" s="80">
        <f t="shared" si="0"/>
        <v>906783437.37063086</v>
      </c>
      <c r="AB17" s="81">
        <f>AA17*(IF(B17&lt;2022,1,'Inflation projection'!G39))</f>
        <v>964630054.17436337</v>
      </c>
      <c r="AC17">
        <f t="shared" si="2"/>
        <v>1.0640948483389554</v>
      </c>
    </row>
    <row r="18" spans="2:29" x14ac:dyDescent="0.2">
      <c r="B18" s="59">
        <f t="shared" si="3"/>
        <v>2025</v>
      </c>
      <c r="C18" s="35">
        <f>_xlfn.FORECAST.LINEAR($B18,C$9:C17,$B$9:$B17)</f>
        <v>107.1349999999984</v>
      </c>
      <c r="D18" s="35">
        <f>_xlfn.FORECAST.LINEAR($B18,D$9:D17,$B$9:$B17)</f>
        <v>139.47600000000602</v>
      </c>
      <c r="E18" s="35">
        <f>_xlfn.FORECAST.LINEAR($B18,E$9:E17,$B$9:$B17)</f>
        <v>209.22600000000239</v>
      </c>
      <c r="F18" s="35">
        <f>_xlfn.FORECAST.LINEAR($B18,F$9:F17,$B$9:$B17)</f>
        <v>312.40699999999197</v>
      </c>
      <c r="G18" s="35">
        <f>_xlfn.FORECAST.LINEAR($B18,G$9:G17,$B$9:$B17)</f>
        <v>106.10000000000218</v>
      </c>
      <c r="H18" s="35">
        <f>_xlfn.FORECAST.LINEAR($B18,H$9:H17,$B$9:$B17)</f>
        <v>0</v>
      </c>
      <c r="I18" s="35">
        <f>_xlfn.FORECAST.LINEAR($B18,I$9:I17,$B$9:$B17)</f>
        <v>82.675999999999988</v>
      </c>
      <c r="J18" s="35">
        <f>_xlfn.FORECAST.LINEAR($B18,J$9:J17,$B$9:$B17)</f>
        <v>188.29200000000128</v>
      </c>
      <c r="K18" s="35">
        <f>_xlfn.FORECAST.LINEAR($B18,K$9:K17,$B$9:$B17)</f>
        <v>76.507999999999811</v>
      </c>
      <c r="L18" s="35">
        <f>_xlfn.FORECAST.LINEAR($B18,L$9:L17,$B$9:$B17)</f>
        <v>131.97999999999593</v>
      </c>
      <c r="M18" s="35">
        <f>_xlfn.FORECAST.LINEAR($B18,M$9:M17,$B$9:$B17)</f>
        <v>190.3739999999998</v>
      </c>
      <c r="N18" s="35">
        <f>_xlfn.FORECAST.LINEAR($B18,N$9:N17,$B$9:$B17)</f>
        <v>148.68400000000292</v>
      </c>
      <c r="O18" s="35">
        <f>_xlfn.FORECAST.LINEAR($B18,O$9:O17,$B$9:$B17)</f>
        <v>265.51800000000367</v>
      </c>
      <c r="P18" s="35">
        <f>_xlfn.FORECAST.LINEAR($B18,P$9:P17,$B$9:$B17)</f>
        <v>129.5789999999979</v>
      </c>
      <c r="Q18" s="35">
        <f>_xlfn.FORECAST.LINEAR($B18,Q$9:Q17,$B$9:$B17)</f>
        <v>23.425999999999476</v>
      </c>
      <c r="R18" s="35">
        <f>_xlfn.FORECAST.LINEAR($B18,R$9:R17,$B$9:$B17)</f>
        <v>66.126999999999498</v>
      </c>
      <c r="S18" s="35">
        <f>_xlfn.FORECAST.LINEAR($B18,S$9:S17,$B$9:$B17)</f>
        <v>74.983999999998559</v>
      </c>
      <c r="T18" s="35">
        <f>_xlfn.FORECAST.LINEAR($B18,T$9:T17,$B$9:$B17)</f>
        <v>190.03500000000349</v>
      </c>
      <c r="U18" s="35">
        <f>_xlfn.FORECAST.LINEAR($B18,U$9:U17,$B$9:$B17)</f>
        <v>240.49899999999616</v>
      </c>
      <c r="V18" s="35">
        <f>_xlfn.FORECAST.LINEAR($B18,V$9:V17,$B$9:$B17)</f>
        <v>67.905999999999949</v>
      </c>
      <c r="W18" s="64">
        <f>_xlfn.FORECAST.LINEAR($B18,W$9:W17,$B$9:$B17)</f>
        <v>122.16200000000026</v>
      </c>
      <c r="X18" s="61" cm="1">
        <f t="array" ref="X18">INDEX('Population projection'!$F$3:$F$23,MATCH(B18,'Population projection'!$B$3:$B$23,0),)</f>
        <v>12888175.818660446</v>
      </c>
      <c r="Y18" s="78">
        <f t="shared" si="1"/>
        <v>966406975.58641624</v>
      </c>
      <c r="AA18" s="80">
        <f t="shared" si="0"/>
        <v>966406975.58641624</v>
      </c>
      <c r="AB18" s="81">
        <f>AA18*(IF(B18&lt;2022,1,'Inflation projection'!G40))</f>
        <v>1048028948.9049282</v>
      </c>
      <c r="AC18">
        <f t="shared" si="2"/>
        <v>1.0602341496521734</v>
      </c>
    </row>
    <row r="19" spans="2:29" x14ac:dyDescent="0.2">
      <c r="B19" s="59">
        <f t="shared" si="3"/>
        <v>2026</v>
      </c>
      <c r="C19" s="35">
        <f>_xlfn.FORECAST.LINEAR($B19,C$9:C18,$B$9:$B18)</f>
        <v>115.49199999999837</v>
      </c>
      <c r="D19" s="35">
        <f>_xlfn.FORECAST.LINEAR($B19,D$9:D18,$B$9:$B18)</f>
        <v>149.69400000000678</v>
      </c>
      <c r="E19" s="35">
        <f>_xlfn.FORECAST.LINEAR($B19,E$9:E18,$B$9:$B18)</f>
        <v>225.69400000000314</v>
      </c>
      <c r="F19" s="35">
        <f>_xlfn.FORECAST.LINEAR($B19,F$9:F18,$B$9:$B18)</f>
        <v>338.78199999999197</v>
      </c>
      <c r="G19" s="35">
        <f>_xlfn.FORECAST.LINEAR($B19,G$9:G18,$B$9:$B18)</f>
        <v>113.37800000000061</v>
      </c>
      <c r="H19" s="35">
        <f>_xlfn.FORECAST.LINEAR($B19,H$9:H18,$B$9:$B18)</f>
        <v>0</v>
      </c>
      <c r="I19" s="35">
        <f>_xlfn.FORECAST.LINEAR($B19,I$9:I18,$B$9:$B18)</f>
        <v>82.555999999999955</v>
      </c>
      <c r="J19" s="35">
        <f>_xlfn.FORECAST.LINEAR($B19,J$9:J18,$B$9:$B18)</f>
        <v>199.16200000000026</v>
      </c>
      <c r="K19" s="35">
        <f>_xlfn.FORECAST.LINEAR($B19,K$9:K18,$B$9:$B18)</f>
        <v>80.989999999999782</v>
      </c>
      <c r="L19" s="35">
        <f>_xlfn.FORECAST.LINEAR($B19,L$9:L18,$B$9:$B18)</f>
        <v>142.31199999999444</v>
      </c>
      <c r="M19" s="35">
        <f>_xlfn.FORECAST.LINEAR($B19,M$9:M18,$B$9:$B18)</f>
        <v>199.42599999999948</v>
      </c>
      <c r="N19" s="35">
        <f>_xlfn.FORECAST.LINEAR($B19,N$9:N18,$B$9:$B18)</f>
        <v>154.34800000000178</v>
      </c>
      <c r="O19" s="35">
        <f>_xlfn.FORECAST.LINEAR($B19,O$9:O18,$B$9:$B18)</f>
        <v>287.95799999999872</v>
      </c>
      <c r="P19" s="35">
        <f>_xlfn.FORECAST.LINEAR($B19,P$9:P18,$B$9:$B18)</f>
        <v>140.60599999999977</v>
      </c>
      <c r="Q19" s="35">
        <f>_xlfn.FORECAST.LINEAR($B19,Q$9:Q18,$B$9:$B18)</f>
        <v>15.719999999999345</v>
      </c>
      <c r="R19" s="35">
        <f>_xlfn.FORECAST.LINEAR($B19,R$9:R18,$B$9:$B18)</f>
        <v>64.885999999999513</v>
      </c>
      <c r="S19" s="35">
        <f>_xlfn.FORECAST.LINEAR($B19,S$9:S18,$B$9:$B18)</f>
        <v>79.243999999998778</v>
      </c>
      <c r="T19" s="35">
        <f>_xlfn.FORECAST.LINEAR($B19,T$9:T18,$B$9:$B18)</f>
        <v>203.49600000000282</v>
      </c>
      <c r="U19" s="35">
        <f>_xlfn.FORECAST.LINEAR($B19,U$9:U18,$B$9:$B18)</f>
        <v>253.9539999999979</v>
      </c>
      <c r="V19" s="35">
        <f>_xlfn.FORECAST.LINEAR($B19,V$9:V18,$B$9:$B18)</f>
        <v>66.632000000000062</v>
      </c>
      <c r="W19" s="64">
        <f>_xlfn.FORECAST.LINEAR($B19,W$9:W18,$B$9:$B18)</f>
        <v>131.36999999999898</v>
      </c>
      <c r="X19" s="61" cm="1">
        <f t="array" ref="X19">INDEX('Population projection'!$F$3:$F$23,MATCH(B19,'Population projection'!$B$3:$B$23,0),)</f>
        <v>12956439.819164585</v>
      </c>
      <c r="Y19" s="78">
        <f t="shared" si="1"/>
        <v>1026720117.0298625</v>
      </c>
      <c r="AA19" s="80">
        <f t="shared" si="0"/>
        <v>1026720117.0298625</v>
      </c>
      <c r="AB19" s="81">
        <f>AA19*(IF(B19&lt;2022,1,'Inflation projection'!G41))</f>
        <v>1133957598.7374101</v>
      </c>
      <c r="AC19">
        <f t="shared" si="2"/>
        <v>1.05681211991892</v>
      </c>
    </row>
    <row r="20" spans="2:29" x14ac:dyDescent="0.2">
      <c r="B20" s="59">
        <f t="shared" si="3"/>
        <v>2027</v>
      </c>
      <c r="C20" s="35">
        <f>_xlfn.FORECAST.LINEAR($B20,C$9:C19,$B$9:$B19)</f>
        <v>123.84899999999834</v>
      </c>
      <c r="D20" s="35">
        <f>_xlfn.FORECAST.LINEAR($B20,D$9:D19,$B$9:$B19)</f>
        <v>159.91200000000754</v>
      </c>
      <c r="E20" s="35">
        <f>_xlfn.FORECAST.LINEAR($B20,E$9:E19,$B$9:$B19)</f>
        <v>242.16199999999662</v>
      </c>
      <c r="F20" s="35">
        <f>_xlfn.FORECAST.LINEAR($B20,F$9:F19,$B$9:$B19)</f>
        <v>365.15699999999197</v>
      </c>
      <c r="G20" s="35">
        <f>_xlfn.FORECAST.LINEAR($B20,G$9:G19,$B$9:$B19)</f>
        <v>120.65600000000086</v>
      </c>
      <c r="H20" s="35">
        <f>_xlfn.FORECAST.LINEAR($B20,H$9:H19,$B$9:$B19)</f>
        <v>0</v>
      </c>
      <c r="I20" s="35">
        <f>_xlfn.FORECAST.LINEAR($B20,I$9:I19,$B$9:$B19)</f>
        <v>82.436000000000007</v>
      </c>
      <c r="J20" s="35">
        <f>_xlfn.FORECAST.LINEAR($B20,J$9:J19,$B$9:$B19)</f>
        <v>210.03199999999924</v>
      </c>
      <c r="K20" s="35">
        <f>_xlfn.FORECAST.LINEAR($B20,K$9:K19,$B$9:$B19)</f>
        <v>85.471999999999753</v>
      </c>
      <c r="L20" s="35">
        <f>_xlfn.FORECAST.LINEAR($B20,L$9:L19,$B$9:$B19)</f>
        <v>152.64399999999659</v>
      </c>
      <c r="M20" s="35">
        <f>_xlfn.FORECAST.LINEAR($B20,M$9:M19,$B$9:$B19)</f>
        <v>208.47800000000279</v>
      </c>
      <c r="N20" s="35">
        <f>_xlfn.FORECAST.LINEAR($B20,N$9:N19,$B$9:$B19)</f>
        <v>160.01200000000063</v>
      </c>
      <c r="O20" s="35">
        <f>_xlfn.FORECAST.LINEAR($B20,O$9:O19,$B$9:$B19)</f>
        <v>310.39800000000105</v>
      </c>
      <c r="P20" s="35">
        <f>_xlfn.FORECAST.LINEAR($B20,P$9:P19,$B$9:$B19)</f>
        <v>151.63300000000163</v>
      </c>
      <c r="Q20" s="35">
        <f>_xlfn.FORECAST.LINEAR($B20,Q$9:Q19,$B$9:$B19)</f>
        <v>8.0139999999992142</v>
      </c>
      <c r="R20" s="35">
        <f>_xlfn.FORECAST.LINEAR($B20,R$9:R19,$B$9:$B19)</f>
        <v>63.644999999999982</v>
      </c>
      <c r="S20" s="35">
        <f>_xlfn.FORECAST.LINEAR($B20,S$9:S19,$B$9:$B19)</f>
        <v>83.503999999998996</v>
      </c>
      <c r="T20" s="35">
        <f>_xlfn.FORECAST.LINEAR($B20,T$9:T19,$B$9:$B19)</f>
        <v>216.95700000000579</v>
      </c>
      <c r="U20" s="35">
        <f>_xlfn.FORECAST.LINEAR($B20,U$9:U19,$B$9:$B19)</f>
        <v>267.40899999999965</v>
      </c>
      <c r="V20" s="35">
        <f>_xlfn.FORECAST.LINEAR($B20,V$9:V19,$B$9:$B19)</f>
        <v>65.35799999999972</v>
      </c>
      <c r="W20" s="64">
        <f>_xlfn.FORECAST.LINEAR($B20,W$9:W19,$B$9:$B19)</f>
        <v>140.57800000000134</v>
      </c>
      <c r="X20" s="61" cm="1">
        <f t="array" ref="X20">INDEX('Population projection'!$F$3:$F$23,MATCH(B20,'Population projection'!$B$3:$B$23,0),)</f>
        <v>13026247.241869118</v>
      </c>
      <c r="Y20" s="78">
        <f t="shared" si="1"/>
        <v>1087743749.6850257</v>
      </c>
      <c r="AA20" s="80">
        <f t="shared" si="0"/>
        <v>1087743749.6850257</v>
      </c>
      <c r="AB20" s="81">
        <f>AA20*(IF(B20&lt;2022,1,'Inflation projection'!G42))</f>
        <v>1232109304.9723711</v>
      </c>
      <c r="AC20">
        <f t="shared" si="2"/>
        <v>1.0537580132249795</v>
      </c>
    </row>
    <row r="21" spans="2:29" x14ac:dyDescent="0.2">
      <c r="B21" s="59">
        <f t="shared" si="3"/>
        <v>2028</v>
      </c>
      <c r="C21" s="35">
        <f>_xlfn.FORECAST.LINEAR($B21,C$9:C20,$B$9:$B20)</f>
        <v>132.20600000000195</v>
      </c>
      <c r="D21" s="35">
        <f>_xlfn.FORECAST.LINEAR($B21,D$9:D20,$B$9:$B20)</f>
        <v>170.13000000000829</v>
      </c>
      <c r="E21" s="35">
        <f>_xlfn.FORECAST.LINEAR($B21,E$9:E20,$B$9:$B20)</f>
        <v>258.63000000000466</v>
      </c>
      <c r="F21" s="35">
        <f>_xlfn.FORECAST.LINEAR($B21,F$9:F20,$B$9:$B20)</f>
        <v>391.53199999999197</v>
      </c>
      <c r="G21" s="35">
        <f>_xlfn.FORECAST.LINEAR($B21,G$9:G20,$B$9:$B20)</f>
        <v>127.93400000000111</v>
      </c>
      <c r="H21" s="35">
        <f>_xlfn.FORECAST.LINEAR($B21,H$9:H20,$B$9:$B20)</f>
        <v>0</v>
      </c>
      <c r="I21" s="35">
        <f>_xlfn.FORECAST.LINEAR($B21,I$9:I20,$B$9:$B20)</f>
        <v>82.315999999999974</v>
      </c>
      <c r="J21" s="35">
        <f>_xlfn.FORECAST.LINEAR($B21,J$9:J20,$B$9:$B20)</f>
        <v>220.90199999999822</v>
      </c>
      <c r="K21" s="35">
        <f>_xlfn.FORECAST.LINEAR($B21,K$9:K20,$B$9:$B20)</f>
        <v>89.953999999999724</v>
      </c>
      <c r="L21" s="35">
        <f>_xlfn.FORECAST.LINEAR($B21,L$9:L20,$B$9:$B20)</f>
        <v>162.97599999999875</v>
      </c>
      <c r="M21" s="35">
        <f>_xlfn.FORECAST.LINEAR($B21,M$9:M20,$B$9:$B20)</f>
        <v>217.53000000000247</v>
      </c>
      <c r="N21" s="35">
        <f>_xlfn.FORECAST.LINEAR($B21,N$9:N20,$B$9:$B20)</f>
        <v>165.6760000000013</v>
      </c>
      <c r="O21" s="35">
        <f>_xlfn.FORECAST.LINEAR($B21,O$9:O20,$B$9:$B20)</f>
        <v>332.83800000000338</v>
      </c>
      <c r="P21" s="35">
        <f>_xlfn.FORECAST.LINEAR($B21,P$9:P20,$B$9:$B20)</f>
        <v>162.65999999999622</v>
      </c>
      <c r="Q21" s="35">
        <f>_xlfn.FORECAST.LINEAR($B21,Q$9:Q20,$B$9:$B20)</f>
        <v>0.30799999999726424</v>
      </c>
      <c r="R21" s="35">
        <f>_xlfn.FORECAST.LINEAR($B21,R$9:R20,$B$9:$B20)</f>
        <v>62.403999999999542</v>
      </c>
      <c r="S21" s="35">
        <f>_xlfn.FORECAST.LINEAR($B21,S$9:S20,$B$9:$B20)</f>
        <v>87.763999999997395</v>
      </c>
      <c r="T21" s="35">
        <f>_xlfn.FORECAST.LINEAR($B21,T$9:T20,$B$9:$B20)</f>
        <v>230.41800000000512</v>
      </c>
      <c r="U21" s="35">
        <f>_xlfn.FORECAST.LINEAR($B21,U$9:U20,$B$9:$B20)</f>
        <v>280.8640000000014</v>
      </c>
      <c r="V21" s="35">
        <f>_xlfn.FORECAST.LINEAR($B21,V$9:V20,$B$9:$B20)</f>
        <v>64.083999999999378</v>
      </c>
      <c r="W21" s="64">
        <f>_xlfn.FORECAST.LINEAR($B21,W$9:W20,$B$9:$B20)</f>
        <v>149.78600000000006</v>
      </c>
      <c r="X21" s="61" cm="1">
        <f t="array" ref="X21">INDEX('Population projection'!$F$3:$F$23,MATCH(B21,'Population projection'!$B$3:$B$23,0),)</f>
        <v>13097615.717866201</v>
      </c>
      <c r="Y21" s="78">
        <f t="shared" si="1"/>
        <v>1149499145.8627751</v>
      </c>
      <c r="AA21" s="80">
        <f t="shared" si="0"/>
        <v>1149499145.8627751</v>
      </c>
      <c r="AB21" s="81">
        <f>AA21*(IF(B21&lt;2022,1,'Inflation projection'!G43))</f>
        <v>1330781505.6181183</v>
      </c>
      <c r="AC21">
        <f t="shared" si="2"/>
        <v>1.0510155202145819</v>
      </c>
    </row>
    <row r="22" spans="2:29" x14ac:dyDescent="0.2">
      <c r="B22" s="59">
        <f t="shared" si="3"/>
        <v>2029</v>
      </c>
      <c r="C22" s="35">
        <f>_xlfn.FORECAST.LINEAR($B22,C$9:C21,$B$9:$B21)</f>
        <v>140.56299999999828</v>
      </c>
      <c r="D22" s="35">
        <f>_xlfn.FORECAST.LINEAR($B22,D$9:D21,$B$9:$B21)</f>
        <v>180.34800000000905</v>
      </c>
      <c r="E22" s="35">
        <f>_xlfn.FORECAST.LINEAR($B22,E$9:E21,$B$9:$B21)</f>
        <v>275.09799999999814</v>
      </c>
      <c r="F22" s="35">
        <f>_xlfn.FORECAST.LINEAR($B22,F$9:F21,$B$9:$B21)</f>
        <v>417.90699999999197</v>
      </c>
      <c r="G22" s="35">
        <f>_xlfn.FORECAST.LINEAR($B22,G$9:G21,$B$9:$B21)</f>
        <v>135.21200000000135</v>
      </c>
      <c r="H22" s="35">
        <f>_xlfn.FORECAST.LINEAR($B22,H$9:H21,$B$9:$B21)</f>
        <v>0</v>
      </c>
      <c r="I22" s="35">
        <f>_xlfn.FORECAST.LINEAR($B22,I$9:I21,$B$9:$B21)</f>
        <v>82.195999999999941</v>
      </c>
      <c r="J22" s="35">
        <f>_xlfn.FORECAST.LINEAR($B22,J$9:J21,$B$9:$B21)</f>
        <v>231.77200000000084</v>
      </c>
      <c r="K22" s="35">
        <f>_xlfn.FORECAST.LINEAR($B22,K$9:K21,$B$9:$B21)</f>
        <v>94.435999999999694</v>
      </c>
      <c r="L22" s="35">
        <f>_xlfn.FORECAST.LINEAR($B22,L$9:L21,$B$9:$B21)</f>
        <v>173.30799999999363</v>
      </c>
      <c r="M22" s="35">
        <f>_xlfn.FORECAST.LINEAR($B22,M$9:M21,$B$9:$B21)</f>
        <v>226.58199999999852</v>
      </c>
      <c r="N22" s="35">
        <f>_xlfn.FORECAST.LINEAR($B22,N$9:N21,$B$9:$B21)</f>
        <v>171.34000000000196</v>
      </c>
      <c r="O22" s="35">
        <f>_xlfn.FORECAST.LINEAR($B22,O$9:O21,$B$9:$B21)</f>
        <v>355.2780000000057</v>
      </c>
      <c r="P22" s="35">
        <f>_xlfn.FORECAST.LINEAR($B22,P$9:P21,$B$9:$B21)</f>
        <v>173.68699999999808</v>
      </c>
      <c r="Q22" s="35">
        <f>_xlfn.FORECAST.LINEAR($B22,Q$9:Q21,$B$9:$B21)</f>
        <v>-7.3980000000010477</v>
      </c>
      <c r="R22" s="35">
        <f>_xlfn.FORECAST.LINEAR($B22,R$9:R21,$B$9:$B21)</f>
        <v>61.162999999999556</v>
      </c>
      <c r="S22" s="35">
        <f>_xlfn.FORECAST.LINEAR($B22,S$9:S21,$B$9:$B21)</f>
        <v>92.023999999997613</v>
      </c>
      <c r="T22" s="35">
        <f>_xlfn.FORECAST.LINEAR($B22,T$9:T21,$B$9:$B21)</f>
        <v>243.87900000000445</v>
      </c>
      <c r="U22" s="35">
        <f>_xlfn.FORECAST.LINEAR($B22,U$9:U21,$B$9:$B21)</f>
        <v>294.31899999999951</v>
      </c>
      <c r="V22" s="35">
        <f>_xlfn.FORECAST.LINEAR($B22,V$9:V21,$B$9:$B21)</f>
        <v>62.809999999999945</v>
      </c>
      <c r="W22" s="64">
        <f>_xlfn.FORECAST.LINEAR($B22,W$9:W21,$B$9:$B21)</f>
        <v>158.99400000000242</v>
      </c>
      <c r="X22" s="61" cm="1">
        <f t="array" ref="X22">INDEX('Population projection'!$F$3:$F$23,MATCH(B22,'Population projection'!$B$3:$B$23,0),)</f>
        <v>13170564.086461198</v>
      </c>
      <c r="Y22" s="78">
        <f t="shared" si="1"/>
        <v>1212007989.4924738</v>
      </c>
      <c r="AA22" s="80">
        <f t="shared" si="0"/>
        <v>1212007989.4924738</v>
      </c>
      <c r="AB22" s="81">
        <f>AA22*(IF(B22&lt;2022,1,'Inflation projection'!G44))</f>
        <v>1438049100.2139256</v>
      </c>
      <c r="AC22">
        <f t="shared" si="2"/>
        <v>1.0485392643908704</v>
      </c>
    </row>
    <row r="23" spans="2:29" x14ac:dyDescent="0.2">
      <c r="B23" s="59">
        <v>2030</v>
      </c>
      <c r="C23" s="35">
        <f>_xlfn.FORECAST.LINEAR($B23,C$9:C22,$B$9:$B22)</f>
        <v>148.91999999999825</v>
      </c>
      <c r="D23" s="35">
        <f>_xlfn.FORECAST.LINEAR($B23,D$9:D22,$B$9:$B22)</f>
        <v>190.56600000000981</v>
      </c>
      <c r="E23" s="35">
        <f>_xlfn.FORECAST.LINEAR($B23,E$9:E22,$B$9:$B22)</f>
        <v>291.56600000000617</v>
      </c>
      <c r="F23" s="35">
        <f>_xlfn.FORECAST.LINEAR($B23,F$9:F22,$B$9:$B22)</f>
        <v>444.28199999999197</v>
      </c>
      <c r="G23" s="35">
        <f>_xlfn.FORECAST.LINEAR($B23,G$9:G22,$B$9:$B22)</f>
        <v>142.4900000000016</v>
      </c>
      <c r="H23" s="35">
        <f>_xlfn.FORECAST.LINEAR($B23,H$9:H22,$B$9:$B22)</f>
        <v>0</v>
      </c>
      <c r="I23" s="35">
        <f>_xlfn.FORECAST.LINEAR($B23,I$9:I22,$B$9:$B22)</f>
        <v>82.075999999999937</v>
      </c>
      <c r="J23" s="35">
        <f>_xlfn.FORECAST.LINEAR($B23,J$9:J22,$B$9:$B22)</f>
        <v>242.64199999999983</v>
      </c>
      <c r="K23" s="35">
        <f>_xlfn.FORECAST.LINEAR($B23,K$9:K22,$B$9:$B22)</f>
        <v>98.917999999999665</v>
      </c>
      <c r="L23" s="35">
        <f>_xlfn.FORECAST.LINEAR($B23,L$9:L22,$B$9:$B22)</f>
        <v>183.63999999999578</v>
      </c>
      <c r="M23" s="35">
        <f>_xlfn.FORECAST.LINEAR($B23,M$9:M22,$B$9:$B22)</f>
        <v>235.63400000000183</v>
      </c>
      <c r="N23" s="35">
        <f>_xlfn.FORECAST.LINEAR($B23,N$9:N22,$B$9:$B22)</f>
        <v>177.00400000000263</v>
      </c>
      <c r="O23" s="35">
        <f>_xlfn.FORECAST.LINEAR($B23,O$9:O22,$B$9:$B22)</f>
        <v>377.71800000000803</v>
      </c>
      <c r="P23" s="35">
        <f>_xlfn.FORECAST.LINEAR($B23,P$9:P22,$B$9:$B22)</f>
        <v>184.71399999999994</v>
      </c>
      <c r="Q23" s="35">
        <f>_xlfn.FORECAST.LINEAR($B23,Q$9:Q22,$B$9:$B22)</f>
        <v>-15.104000000002998</v>
      </c>
      <c r="R23" s="35">
        <f>_xlfn.FORECAST.LINEAR($B23,R$9:R22,$B$9:$B22)</f>
        <v>59.921999999999571</v>
      </c>
      <c r="S23" s="35">
        <f>_xlfn.FORECAST.LINEAR($B23,S$9:S22,$B$9:$B22)</f>
        <v>96.283999999997832</v>
      </c>
      <c r="T23" s="35">
        <f>_xlfn.FORECAST.LINEAR($B23,T$9:T22,$B$9:$B22)</f>
        <v>257.34000000000378</v>
      </c>
      <c r="U23" s="35">
        <f>_xlfn.FORECAST.LINEAR($B23,U$9:U22,$B$9:$B22)</f>
        <v>307.77399999999761</v>
      </c>
      <c r="V23" s="35">
        <f>_xlfn.FORECAST.LINEAR($B23,V$9:V22,$B$9:$B22)</f>
        <v>61.535999999999603</v>
      </c>
      <c r="W23" s="35">
        <f>_xlfn.FORECAST.LINEAR($B23,W$9:W22,$B$9:$B22)</f>
        <v>168.20200000000114</v>
      </c>
      <c r="X23" s="61" cm="1">
        <f t="array" ref="X23">INDEX('Population projection'!$F$3:$F$23,MATCH(B23,'Population projection'!$B$3:$B$23,0),)</f>
        <v>13245112.418870445</v>
      </c>
      <c r="Y23" s="78">
        <f t="shared" si="1"/>
        <v>1275292404.1384933</v>
      </c>
      <c r="AA23" s="80">
        <f t="shared" si="0"/>
        <v>1275292404.1384933</v>
      </c>
      <c r="AB23" s="81">
        <f>AA23*(IF(B23&lt;2022,1,'Inflation projection'!G45))</f>
        <v>1550370827.1441748</v>
      </c>
      <c r="AC23">
        <f t="shared" si="2"/>
        <v>1.0462922715813301</v>
      </c>
    </row>
    <row r="24" spans="2:29" x14ac:dyDescent="0.2">
      <c r="B24" s="60">
        <v>2031</v>
      </c>
      <c r="C24" s="65">
        <f>_xlfn.FORECAST.LINEAR($B24,C$9:C22,$B$9:$B22)</f>
        <v>157.27699999999822</v>
      </c>
      <c r="D24" s="65">
        <f>_xlfn.FORECAST.LINEAR($B24,D$9:D22,$B$9:$B22)</f>
        <v>200.78400000001056</v>
      </c>
      <c r="E24" s="65">
        <f>_xlfn.FORECAST.LINEAR($B24,E$9:E22,$B$9:$B22)</f>
        <v>308.03400000000693</v>
      </c>
      <c r="F24" s="65">
        <f>_xlfn.FORECAST.LINEAR($B24,F$9:F22,$B$9:$B22)</f>
        <v>470.65699999999197</v>
      </c>
      <c r="G24" s="65">
        <f>_xlfn.FORECAST.LINEAR($B24,G$9:G22,$B$9:$B22)</f>
        <v>149.76800000000185</v>
      </c>
      <c r="H24" s="65">
        <f>_xlfn.FORECAST.LINEAR($B24,H$9:H22,$B$9:$B22)</f>
        <v>0</v>
      </c>
      <c r="I24" s="65">
        <f>_xlfn.FORECAST.LINEAR($B24,I$9:I22,$B$9:$B22)</f>
        <v>81.955999999999932</v>
      </c>
      <c r="J24" s="65">
        <f>_xlfn.FORECAST.LINEAR($B24,J$9:J22,$B$9:$B22)</f>
        <v>253.51199999999881</v>
      </c>
      <c r="K24" s="65">
        <f>_xlfn.FORECAST.LINEAR($B24,K$9:K22,$B$9:$B22)</f>
        <v>103.39999999999964</v>
      </c>
      <c r="L24" s="65">
        <f>_xlfn.FORECAST.LINEAR($B24,L$9:L22,$B$9:$B22)</f>
        <v>193.9719999999943</v>
      </c>
      <c r="M24" s="65">
        <f>_xlfn.FORECAST.LINEAR($B24,M$9:M22,$B$9:$B22)</f>
        <v>244.68600000000151</v>
      </c>
      <c r="N24" s="65">
        <f>_xlfn.FORECAST.LINEAR($B24,N$9:N22,$B$9:$B22)</f>
        <v>182.6680000000033</v>
      </c>
      <c r="O24" s="65">
        <f>_xlfn.FORECAST.LINEAR($B24,O$9:O22,$B$9:$B22)</f>
        <v>400.15800000001036</v>
      </c>
      <c r="P24" s="65">
        <f>_xlfn.FORECAST.LINEAR($B24,P$9:P22,$B$9:$B22)</f>
        <v>195.74099999999817</v>
      </c>
      <c r="Q24" s="65">
        <f>_xlfn.FORECAST.LINEAR($B24,Q$9:Q22,$B$9:$B22)</f>
        <v>-22.810000000003129</v>
      </c>
      <c r="R24" s="65">
        <f>_xlfn.FORECAST.LINEAR($B24,R$9:R22,$B$9:$B22)</f>
        <v>58.680999999999585</v>
      </c>
      <c r="S24" s="65">
        <f>_xlfn.FORECAST.LINEAR($B24,S$9:S22,$B$9:$B22)</f>
        <v>100.54399999999805</v>
      </c>
      <c r="T24" s="65">
        <f>_xlfn.FORECAST.LINEAR($B24,T$9:T22,$B$9:$B22)</f>
        <v>270.80100000000675</v>
      </c>
      <c r="U24" s="65">
        <f>_xlfn.FORECAST.LINEAR($B24,U$9:U22,$B$9:$B22)</f>
        <v>321.22899999999572</v>
      </c>
      <c r="V24" s="65">
        <f>_xlfn.FORECAST.LINEAR($B24,V$9:V22,$B$9:$B22)</f>
        <v>60.261999999999716</v>
      </c>
      <c r="W24" s="66">
        <f>_xlfn.FORECAST.LINEAR($B24,W$9:W22,$B$9:$B22)</f>
        <v>177.41000000000349</v>
      </c>
      <c r="X24" s="62" cm="1">
        <f t="array" ref="X24">INDEX('Population projection'!$F$3:$F$23,MATCH(B24,'Population projection'!$B$3:$B$23,0),)</f>
        <v>13246265.690988546</v>
      </c>
      <c r="Y24" s="79">
        <f t="shared" si="1"/>
        <v>1331832537.6347265</v>
      </c>
      <c r="AA24" s="80">
        <f t="shared" si="0"/>
        <v>1331832537.6347265</v>
      </c>
      <c r="AB24" s="81">
        <f>AA24*(IF(B24&lt;2022,1,'Inflation projection'!G46))</f>
        <v>1659202675.886076</v>
      </c>
      <c r="AC24">
        <f t="shared" si="2"/>
        <v>1.044244111171122</v>
      </c>
    </row>
    <row r="30" spans="2:29" x14ac:dyDescent="0.2">
      <c r="B30" s="70" t="s">
        <v>37</v>
      </c>
      <c r="X30"/>
    </row>
    <row r="31" spans="2:29" x14ac:dyDescent="0.2">
      <c r="X31"/>
    </row>
    <row r="32" spans="2:29" x14ac:dyDescent="0.2">
      <c r="B32" s="46" t="s">
        <v>1</v>
      </c>
      <c r="C32" s="44" t="str" cm="1">
        <f t="array" ref="C32:W32">TRANSPOSE(Expense!$A$3:$A$23)</f>
        <v>Bernepamar</v>
      </c>
      <c r="D32" s="44" t="str">
        <v>Byasier Pujan</v>
      </c>
      <c r="E32" s="44" t="str">
        <v>Cuandbo</v>
      </c>
      <c r="F32" s="44" t="str">
        <v>Djipines</v>
      </c>
      <c r="G32" s="44" t="str">
        <v>Dosqaly</v>
      </c>
      <c r="H32" s="44" t="str">
        <v>Eastern Sleboube</v>
      </c>
      <c r="I32" s="44" t="str">
        <v>Esia</v>
      </c>
      <c r="J32" s="44" t="str">
        <v>Galamily</v>
      </c>
      <c r="K32" s="44" t="str">
        <v>Giumle Lizeibon</v>
      </c>
      <c r="L32" s="44" t="str">
        <v>Greri Landmoslands</v>
      </c>
      <c r="M32" s="44" t="str">
        <v>Manlisgamncent</v>
      </c>
      <c r="N32" s="44" t="str">
        <v>Mico</v>
      </c>
      <c r="O32" s="44" t="str">
        <v>Nganion</v>
      </c>
      <c r="P32" s="44" t="str">
        <v>Nkasland Cronestan</v>
      </c>
      <c r="Q32" s="44" t="str">
        <v>People's Land of Maneau</v>
      </c>
      <c r="R32" s="44" t="str">
        <v>Quewenia</v>
      </c>
      <c r="S32" s="44" t="str">
        <v>Rarita</v>
      </c>
      <c r="T32" s="44" t="str">
        <v>Sobianitedrucy</v>
      </c>
      <c r="U32" s="44" t="str">
        <v>Southern Ristan</v>
      </c>
      <c r="V32" s="44" t="str">
        <v>Unicorporated Tiagascar</v>
      </c>
      <c r="W32" s="54" t="str">
        <v>Xikong</v>
      </c>
      <c r="X32" s="46" t="s">
        <v>85</v>
      </c>
      <c r="Y32" s="54" t="s">
        <v>88</v>
      </c>
    </row>
    <row r="33" spans="2:25" x14ac:dyDescent="0.2">
      <c r="B33" s="47">
        <v>2016</v>
      </c>
      <c r="C33" s="33">
        <f>INDEX(Expense!$N$3:$P$23,MATCH(C$8,Expense!$A$3:$A$23,0),MATCH($B$30,Expense!$N$2:$P$2,0))</f>
        <v>60.88</v>
      </c>
      <c r="D33" s="33">
        <f>INDEX(Expense!$N$3:$P$23,MATCH(D$8,Expense!$A$3:$A$23,0),MATCH($B$30,Expense!$N$2:$P$2,0))</f>
        <v>134.22</v>
      </c>
      <c r="E33" s="33">
        <f>INDEX(Expense!$N$3:$P$23,MATCH(E$8,Expense!$A$3:$A$23,0),MATCH($B$30,Expense!$N$2:$P$2,0))</f>
        <v>198.72</v>
      </c>
      <c r="F33" s="33">
        <f>INDEX(Expense!$N$3:$P$23,MATCH(F$8,Expense!$A$3:$A$23,0),MATCH($B$30,Expense!$N$2:$P$2,0))</f>
        <v>122.96</v>
      </c>
      <c r="G33" s="33">
        <f>INDEX(Expense!$N$3:$P$23,MATCH(G$8,Expense!$A$3:$A$23,0),MATCH($B$30,Expense!$N$2:$P$2,0))</f>
        <v>140.97999999999999</v>
      </c>
      <c r="H33" s="33">
        <f>INDEX(Expense!$N$3:$P$23,MATCH(H$8,Expense!$A$3:$A$23,0),MATCH($B$30,Expense!$N$2:$P$2,0))</f>
        <v>0</v>
      </c>
      <c r="I33" s="33">
        <f>INDEX(Expense!$N$3:$P$23,MATCH(I$8,Expense!$A$3:$A$23,0),MATCH($B$30,Expense!$N$2:$P$2,0))</f>
        <v>106.32</v>
      </c>
      <c r="J33" s="33">
        <f>INDEX(Expense!$N$3:$P$23,MATCH(J$8,Expense!$A$3:$A$23,0),MATCH($B$30,Expense!$N$2:$P$2,0))</f>
        <v>137.75</v>
      </c>
      <c r="K33" s="33">
        <f>INDEX(Expense!$N$3:$P$23,MATCH(K$8,Expense!$A$3:$A$23,0),MATCH($B$30,Expense!$N$2:$P$2,0))</f>
        <v>125.35</v>
      </c>
      <c r="L33" s="33">
        <f>INDEX(Expense!$N$3:$P$23,MATCH(L$8,Expense!$A$3:$A$23,0),MATCH($B$30,Expense!$N$2:$P$2,0))</f>
        <v>155.94</v>
      </c>
      <c r="M33" s="33">
        <f>INDEX(Expense!$N$3:$P$23,MATCH(M$8,Expense!$A$3:$A$23,0),MATCH($B$30,Expense!$N$2:$P$2,0))</f>
        <v>155.05000000000001</v>
      </c>
      <c r="N33" s="33">
        <f>INDEX(Expense!$N$3:$P$23,MATCH(N$8,Expense!$A$3:$A$23,0),MATCH($B$30,Expense!$N$2:$P$2,0))</f>
        <v>266.79000000000002</v>
      </c>
      <c r="O33" s="33">
        <f>INDEX(Expense!$N$3:$P$23,MATCH(O$8,Expense!$A$3:$A$23,0),MATCH($B$30,Expense!$N$2:$P$2,0))</f>
        <v>252.69</v>
      </c>
      <c r="P33" s="33">
        <f>INDEX(Expense!$N$3:$P$23,MATCH(P$8,Expense!$A$3:$A$23,0),MATCH($B$30,Expense!$N$2:$P$2,0))</f>
        <v>60.03</v>
      </c>
      <c r="Q33" s="33">
        <f>INDEX(Expense!$N$3:$P$23,MATCH(Q$8,Expense!$A$3:$A$23,0),MATCH($B$30,Expense!$N$2:$P$2,0))</f>
        <v>188.05</v>
      </c>
      <c r="R33" s="33">
        <f>INDEX(Expense!$N$3:$P$23,MATCH(R$8,Expense!$A$3:$A$23,0),MATCH($B$30,Expense!$N$2:$P$2,0))</f>
        <v>195.4</v>
      </c>
      <c r="S33" s="33">
        <f>INDEX(Expense!$N$3:$P$23,MATCH(S$8,Expense!$A$3:$A$23,0),MATCH($B$30,Expense!$N$2:$P$2,0))</f>
        <v>79.34</v>
      </c>
      <c r="T33" s="33">
        <f>INDEX(Expense!$N$3:$P$23,MATCH(T$8,Expense!$A$3:$A$23,0),MATCH($B$30,Expense!$N$2:$P$2,0))</f>
        <v>195.63</v>
      </c>
      <c r="U33" s="33">
        <f>INDEX(Expense!$N$3:$P$23,MATCH(U$8,Expense!$A$3:$A$23,0),MATCH($B$30,Expense!$N$2:$P$2,0))</f>
        <v>170.32</v>
      </c>
      <c r="V33" s="33">
        <f>INDEX(Expense!$N$3:$P$23,MATCH(V$8,Expense!$A$3:$A$23,0),MATCH($B$30,Expense!$N$2:$P$2,0))</f>
        <v>63.14</v>
      </c>
      <c r="W33" s="33">
        <f>INDEX(Expense!$N$3:$P$23,MATCH(W$8,Expense!$A$3:$A$23,0),MATCH($B$30,Expense!$N$2:$P$2,0))</f>
        <v>84.69</v>
      </c>
      <c r="X33" s="68" cm="1">
        <f t="array" ref="X33">INDEX('Population projection'!$F$3:$F$23,MATCH(B33,'Population projection'!$B$3:$B$23,0),)</f>
        <v>12331271</v>
      </c>
      <c r="Y33" s="57">
        <f>X33*S33</f>
        <v>978363041.13999999</v>
      </c>
    </row>
    <row r="34" spans="2:25" x14ac:dyDescent="0.2">
      <c r="B34" s="47">
        <f>B33+1</f>
        <v>2017</v>
      </c>
      <c r="C34" s="33">
        <f>INDEX(Expense!$K$3:$M$23,MATCH(C$8,Expense!$A$3:$A$23,0),MATCH($B$30,Expense!$N$2:$P$2,0))</f>
        <v>68.959999999999994</v>
      </c>
      <c r="D34" s="33">
        <f>INDEX(Expense!$K$3:$M$23,MATCH(D$8,Expense!$A$3:$A$23,0),MATCH($B$30,Expense!$N$2:$P$2,0))</f>
        <v>133.56</v>
      </c>
      <c r="E34" s="33">
        <f>INDEX(Expense!$K$3:$M$23,MATCH(E$8,Expense!$A$3:$A$23,0),MATCH($B$30,Expense!$N$2:$P$2,0))</f>
        <v>178.77</v>
      </c>
      <c r="F34" s="33">
        <f>INDEX(Expense!$K$3:$M$23,MATCH(F$8,Expense!$A$3:$A$23,0),MATCH($B$30,Expense!$N$2:$P$2,0))</f>
        <v>114.21</v>
      </c>
      <c r="G34" s="33">
        <f>INDEX(Expense!$K$3:$M$23,MATCH(G$8,Expense!$A$3:$A$23,0),MATCH($B$30,Expense!$N$2:$P$2,0))</f>
        <v>142.75</v>
      </c>
      <c r="H34" s="33">
        <f>INDEX(Expense!$K$3:$M$23,MATCH(H$8,Expense!$A$3:$A$23,0),MATCH($B$30,Expense!$N$2:$P$2,0))</f>
        <v>0</v>
      </c>
      <c r="I34" s="33">
        <f>INDEX(Expense!$K$3:$M$23,MATCH(I$8,Expense!$A$3:$A$23,0),MATCH($B$30,Expense!$N$2:$P$2,0))</f>
        <v>96.19</v>
      </c>
      <c r="J34" s="33">
        <f>INDEX(Expense!$K$3:$M$23,MATCH(J$8,Expense!$A$3:$A$23,0),MATCH($B$30,Expense!$N$2:$P$2,0))</f>
        <v>133.09</v>
      </c>
      <c r="K34" s="33">
        <f>INDEX(Expense!$K$3:$M$23,MATCH(K$8,Expense!$A$3:$A$23,0),MATCH($B$30,Expense!$N$2:$P$2,0))</f>
        <v>121.13</v>
      </c>
      <c r="L34" s="33">
        <f>INDEX(Expense!$K$3:$M$23,MATCH(L$8,Expense!$A$3:$A$23,0),MATCH($B$30,Expense!$N$2:$P$2,0))</f>
        <v>125.46</v>
      </c>
      <c r="M34" s="33">
        <f>INDEX(Expense!$K$3:$M$23,MATCH(M$8,Expense!$A$3:$A$23,0),MATCH($B$30,Expense!$N$2:$P$2,0))</f>
        <v>149.80000000000001</v>
      </c>
      <c r="N34" s="33">
        <f>INDEX(Expense!$K$3:$M$23,MATCH(N$8,Expense!$A$3:$A$23,0),MATCH($B$30,Expense!$N$2:$P$2,0))</f>
        <v>212.79</v>
      </c>
      <c r="O34" s="33">
        <f>INDEX(Expense!$K$3:$M$23,MATCH(O$8,Expense!$A$3:$A$23,0),MATCH($B$30,Expense!$N$2:$P$2,0))</f>
        <v>232.49</v>
      </c>
      <c r="P34" s="33">
        <f>INDEX(Expense!$K$3:$M$23,MATCH(P$8,Expense!$A$3:$A$23,0),MATCH($B$30,Expense!$N$2:$P$2,0))</f>
        <v>58.68</v>
      </c>
      <c r="Q34" s="33">
        <f>INDEX(Expense!$K$3:$M$23,MATCH(Q$8,Expense!$A$3:$A$23,0),MATCH($B$30,Expense!$N$2:$P$2,0))</f>
        <v>179.98</v>
      </c>
      <c r="R34" s="33">
        <f>INDEX(Expense!$K$3:$M$23,MATCH(R$8,Expense!$A$3:$A$23,0),MATCH($B$30,Expense!$N$2:$P$2,0))</f>
        <v>148.47</v>
      </c>
      <c r="S34" s="33">
        <f>INDEX(Expense!$K$3:$M$23,MATCH(S$8,Expense!$A$3:$A$23,0),MATCH($B$30,Expense!$N$2:$P$2,0))</f>
        <v>76.45</v>
      </c>
      <c r="T34" s="33">
        <f>INDEX(Expense!$K$3:$M$23,MATCH(T$8,Expense!$A$3:$A$23,0),MATCH($B$30,Expense!$N$2:$P$2,0))</f>
        <v>227.3</v>
      </c>
      <c r="U34" s="33">
        <f>INDEX(Expense!$K$3:$M$23,MATCH(U$8,Expense!$A$3:$A$23,0),MATCH($B$30,Expense!$N$2:$P$2,0))</f>
        <v>225.22</v>
      </c>
      <c r="V34" s="33">
        <f>INDEX(Expense!$K$3:$M$23,MATCH(V$8,Expense!$A$3:$A$23,0),MATCH($B$30,Expense!$N$2:$P$2,0))</f>
        <v>73.7</v>
      </c>
      <c r="W34" s="33">
        <f>INDEX(Expense!$K$3:$M$23,MATCH(W$8,Expense!$A$3:$A$23,0),MATCH($B$30,Expense!$N$2:$P$2,0))</f>
        <v>84.89</v>
      </c>
      <c r="X34" s="68" cm="1">
        <f t="array" ref="X34">INDEX('Population projection'!$F$3:$F$23,MATCH(B34,'Population projection'!$B$3:$B$23,0),)</f>
        <v>12393007</v>
      </c>
      <c r="Y34" s="57">
        <f t="shared" ref="Y34:Y48" si="4">X34*S34</f>
        <v>947445385.14999998</v>
      </c>
    </row>
    <row r="35" spans="2:25" x14ac:dyDescent="0.2">
      <c r="B35" s="47">
        <f t="shared" ref="B35:B46" si="5">B34+1</f>
        <v>2018</v>
      </c>
      <c r="C35" s="33">
        <f>INDEX(Expense!$H$3:$J$23,MATCH(C$8,Expense!$A$3:$A$23,0),MATCH($B$30,Expense!$N$2:$P$2,0))</f>
        <v>77.17</v>
      </c>
      <c r="D35" s="33">
        <f>INDEX(Expense!$H$3:$J$23,MATCH(D$8,Expense!$A$3:$A$23,0),MATCH($B$30,Expense!$N$2:$P$2,0))</f>
        <v>144.37</v>
      </c>
      <c r="E35" s="33">
        <f>INDEX(Expense!$H$3:$J$23,MATCH(E$8,Expense!$A$3:$A$23,0),MATCH($B$30,Expense!$N$2:$P$2,0))</f>
        <v>235.74</v>
      </c>
      <c r="F35" s="33">
        <f>INDEX(Expense!$H$3:$J$23,MATCH(F$8,Expense!$A$3:$A$23,0),MATCH($B$30,Expense!$N$2:$P$2,0))</f>
        <v>135.08000000000001</v>
      </c>
      <c r="G35" s="33">
        <f>INDEX(Expense!$H$3:$J$23,MATCH(G$8,Expense!$A$3:$A$23,0),MATCH($B$30,Expense!$N$2:$P$2,0))</f>
        <v>169.03</v>
      </c>
      <c r="H35" s="33">
        <f>INDEX(Expense!$H$3:$J$23,MATCH(H$8,Expense!$A$3:$A$23,0),MATCH($B$30,Expense!$N$2:$P$2,0))</f>
        <v>0</v>
      </c>
      <c r="I35" s="33">
        <f>INDEX(Expense!$H$3:$J$23,MATCH(I$8,Expense!$A$3:$A$23,0),MATCH($B$30,Expense!$N$2:$P$2,0))</f>
        <v>144.36000000000001</v>
      </c>
      <c r="J35" s="33">
        <f>INDEX(Expense!$H$3:$J$23,MATCH(J$8,Expense!$A$3:$A$23,0),MATCH($B$30,Expense!$N$2:$P$2,0))</f>
        <v>153.94</v>
      </c>
      <c r="K35" s="33">
        <f>INDEX(Expense!$H$3:$J$23,MATCH(K$8,Expense!$A$3:$A$23,0),MATCH($B$30,Expense!$N$2:$P$2,0))</f>
        <v>176.3</v>
      </c>
      <c r="L35" s="33">
        <f>INDEX(Expense!$H$3:$J$23,MATCH(L$8,Expense!$A$3:$A$23,0),MATCH($B$30,Expense!$N$2:$P$2,0))</f>
        <v>144.58000000000001</v>
      </c>
      <c r="M35" s="33">
        <f>INDEX(Expense!$H$3:$J$23,MATCH(M$8,Expense!$A$3:$A$23,0),MATCH($B$30,Expense!$N$2:$P$2,0))</f>
        <v>158.36000000000001</v>
      </c>
      <c r="N35" s="33">
        <f>INDEX(Expense!$H$3:$J$23,MATCH(N$8,Expense!$A$3:$A$23,0),MATCH($B$30,Expense!$N$2:$P$2,0))</f>
        <v>248.88</v>
      </c>
      <c r="O35" s="33">
        <f>INDEX(Expense!$H$3:$J$23,MATCH(O$8,Expense!$A$3:$A$23,0),MATCH($B$30,Expense!$N$2:$P$2,0))</f>
        <v>317.60000000000002</v>
      </c>
      <c r="P35" s="33">
        <f>INDEX(Expense!$H$3:$J$23,MATCH(P$8,Expense!$A$3:$A$23,0),MATCH($B$30,Expense!$N$2:$P$2,0))</f>
        <v>61.45</v>
      </c>
      <c r="Q35" s="33">
        <f>INDEX(Expense!$H$3:$J$23,MATCH(Q$8,Expense!$A$3:$A$23,0),MATCH($B$30,Expense!$N$2:$P$2,0))</f>
        <v>198.93</v>
      </c>
      <c r="R35" s="33">
        <f>INDEX(Expense!$H$3:$J$23,MATCH(R$8,Expense!$A$3:$A$23,0),MATCH($B$30,Expense!$N$2:$P$2,0))</f>
        <v>192.46</v>
      </c>
      <c r="S35" s="33">
        <f>INDEX(Expense!$H$3:$J$23,MATCH(S$8,Expense!$A$3:$A$23,0),MATCH($B$30,Expense!$N$2:$P$2,0))</f>
        <v>93.8</v>
      </c>
      <c r="T35" s="33">
        <f>INDEX(Expense!$H$3:$J$23,MATCH(T$8,Expense!$A$3:$A$23,0),MATCH($B$30,Expense!$N$2:$P$2,0))</f>
        <v>246.2</v>
      </c>
      <c r="U35" s="33">
        <f>INDEX(Expense!$H$3:$J$23,MATCH(U$8,Expense!$A$3:$A$23,0),MATCH($B$30,Expense!$N$2:$P$2,0))</f>
        <v>307.54000000000002</v>
      </c>
      <c r="V35" s="33">
        <f>INDEX(Expense!$H$3:$J$23,MATCH(V$8,Expense!$A$3:$A$23,0),MATCH($B$30,Expense!$N$2:$P$2,0))</f>
        <v>81.17</v>
      </c>
      <c r="W35" s="33">
        <f>INDEX(Expense!$H$3:$J$23,MATCH(W$8,Expense!$A$3:$A$23,0),MATCH($B$30,Expense!$N$2:$P$2,0))</f>
        <v>118.68</v>
      </c>
      <c r="X35" s="68" cm="1">
        <f t="array" ref="X35">INDEX('Population projection'!$F$3:$F$23,MATCH(B35,'Population projection'!$B$3:$B$23,0),)</f>
        <v>12463353</v>
      </c>
      <c r="Y35" s="57">
        <f t="shared" si="4"/>
        <v>1169062511.3999999</v>
      </c>
    </row>
    <row r="36" spans="2:25" x14ac:dyDescent="0.2">
      <c r="B36" s="47">
        <f t="shared" si="5"/>
        <v>2019</v>
      </c>
      <c r="C36" s="33">
        <f>INDEX(Expense!$E$3:$G$23,MATCH(C$8,Expense!$A$3:$A$23,0),MATCH($B$30,Expense!$N$2:$P$2,0))</f>
        <v>93.5</v>
      </c>
      <c r="D36" s="33">
        <f>INDEX(Expense!$E$3:$G$23,MATCH(D$8,Expense!$A$3:$A$23,0),MATCH($B$30,Expense!$N$2:$P$2,0))</f>
        <v>169.82</v>
      </c>
      <c r="E36" s="33">
        <f>INDEX(Expense!$E$3:$G$23,MATCH(E$8,Expense!$A$3:$A$23,0),MATCH($B$30,Expense!$N$2:$P$2,0))</f>
        <v>235.2</v>
      </c>
      <c r="F36" s="33">
        <f>INDEX(Expense!$E$3:$G$23,MATCH(F$8,Expense!$A$3:$A$23,0),MATCH($B$30,Expense!$N$2:$P$2,0))</f>
        <v>208.96</v>
      </c>
      <c r="G36" s="33">
        <f>INDEX(Expense!$E$3:$G$23,MATCH(G$8,Expense!$A$3:$A$23,0),MATCH($B$30,Expense!$N$2:$P$2,0))</f>
        <v>180.57</v>
      </c>
      <c r="H36" s="33">
        <f>INDEX(Expense!$E$3:$G$23,MATCH(H$8,Expense!$A$3:$A$23,0),MATCH($B$30,Expense!$N$2:$P$2,0))</f>
        <v>0</v>
      </c>
      <c r="I36" s="33">
        <f>INDEX(Expense!$E$3:$G$23,MATCH(I$8,Expense!$A$3:$A$23,0),MATCH($B$30,Expense!$N$2:$P$2,0))</f>
        <v>156.94999999999999</v>
      </c>
      <c r="J36" s="33">
        <f>INDEX(Expense!$E$3:$G$23,MATCH(J$8,Expense!$A$3:$A$23,0),MATCH($B$30,Expense!$N$2:$P$2,0))</f>
        <v>150.41999999999999</v>
      </c>
      <c r="K36" s="33">
        <f>INDEX(Expense!$E$3:$G$23,MATCH(K$8,Expense!$A$3:$A$23,0),MATCH($B$30,Expense!$N$2:$P$2,0))</f>
        <v>199.61</v>
      </c>
      <c r="L36" s="33">
        <f>INDEX(Expense!$E$3:$G$23,MATCH(L$8,Expense!$A$3:$A$23,0),MATCH($B$30,Expense!$N$2:$P$2,0))</f>
        <v>188.68</v>
      </c>
      <c r="M36" s="33">
        <f>INDEX(Expense!$E$3:$G$23,MATCH(M$8,Expense!$A$3:$A$23,0),MATCH($B$30,Expense!$N$2:$P$2,0))</f>
        <v>183.01</v>
      </c>
      <c r="N36" s="33">
        <f>INDEX(Expense!$E$3:$G$23,MATCH(N$8,Expense!$A$3:$A$23,0),MATCH($B$30,Expense!$N$2:$P$2,0))</f>
        <v>297.85000000000002</v>
      </c>
      <c r="O36" s="33">
        <f>INDEX(Expense!$E$3:$G$23,MATCH(O$8,Expense!$A$3:$A$23,0),MATCH($B$30,Expense!$N$2:$P$2,0))</f>
        <v>300.64</v>
      </c>
      <c r="P36" s="33">
        <f>INDEX(Expense!$E$3:$G$23,MATCH(P$8,Expense!$A$3:$A$23,0),MATCH($B$30,Expense!$N$2:$P$2,0))</f>
        <v>84.53</v>
      </c>
      <c r="Q36" s="33">
        <f>INDEX(Expense!$E$3:$G$23,MATCH(Q$8,Expense!$A$3:$A$23,0),MATCH($B$30,Expense!$N$2:$P$2,0))</f>
        <v>198.78</v>
      </c>
      <c r="R36" s="33">
        <f>INDEX(Expense!$E$3:$G$23,MATCH(R$8,Expense!$A$3:$A$23,0),MATCH($B$30,Expense!$N$2:$P$2,0))</f>
        <v>167.49</v>
      </c>
      <c r="S36" s="33">
        <f>INDEX(Expense!$E$3:$G$23,MATCH(S$8,Expense!$A$3:$A$23,0),MATCH($B$30,Expense!$N$2:$P$2,0))</f>
        <v>97.78</v>
      </c>
      <c r="T36" s="33">
        <f>INDEX(Expense!$E$3:$G$23,MATCH(T$8,Expense!$A$3:$A$23,0),MATCH($B$30,Expense!$N$2:$P$2,0))</f>
        <v>301.54000000000002</v>
      </c>
      <c r="U36" s="33">
        <f>INDEX(Expense!$E$3:$G$23,MATCH(U$8,Expense!$A$3:$A$23,0),MATCH($B$30,Expense!$N$2:$P$2,0))</f>
        <v>209.26</v>
      </c>
      <c r="V36" s="33">
        <f>INDEX(Expense!$E$3:$G$23,MATCH(V$8,Expense!$A$3:$A$23,0),MATCH($B$30,Expense!$N$2:$P$2,0))</f>
        <v>74.12</v>
      </c>
      <c r="W36" s="53">
        <f>INDEX(Expense!$E$3:$G$23,MATCH(W$8,Expense!$A$3:$A$23,0),MATCH($B$30,Expense!$N$2:$P$2,0))</f>
        <v>121.82</v>
      </c>
      <c r="X36" s="68" cm="1">
        <f t="array" ref="X36">INDEX('Population projection'!$F$3:$F$23,MATCH(B36,'Population projection'!$B$3:$B$23,0),)</f>
        <v>12548788</v>
      </c>
      <c r="Y36" s="57">
        <f t="shared" si="4"/>
        <v>1227020490.6400001</v>
      </c>
    </row>
    <row r="37" spans="2:25" x14ac:dyDescent="0.2">
      <c r="B37" s="48">
        <f t="shared" si="5"/>
        <v>2020</v>
      </c>
      <c r="C37" s="45">
        <f>INDEX(Expense!$B$3:$D$23,MATCH(C$8,Expense!$A$3:$A$23,0),MATCH($B$30,Expense!$N$2:$P$2,0))</f>
        <v>95.19</v>
      </c>
      <c r="D37" s="45">
        <f>INDEX(Expense!$B$3:$D$23,MATCH(D$8,Expense!$A$3:$A$23,0),MATCH($B$30,Expense!$N$2:$P$2,0))</f>
        <v>178.06</v>
      </c>
      <c r="E37" s="45">
        <f>INDEX(Expense!$B$3:$D$23,MATCH(E$8,Expense!$A$3:$A$23,0),MATCH($B$30,Expense!$N$2:$P$2,0))</f>
        <v>249.58</v>
      </c>
      <c r="F37" s="45">
        <f>INDEX(Expense!$B$3:$D$23,MATCH(F$8,Expense!$A$3:$A$23,0),MATCH($B$30,Expense!$N$2:$P$2,0))</f>
        <v>223.31</v>
      </c>
      <c r="G37" s="45">
        <f>INDEX(Expense!$B$3:$D$23,MATCH(G$8,Expense!$A$3:$A$23,0),MATCH($B$30,Expense!$N$2:$P$2,0))</f>
        <v>208.94</v>
      </c>
      <c r="H37" s="45">
        <f>INDEX(Expense!$B$3:$D$23,MATCH(H$8,Expense!$A$3:$A$23,0),MATCH($B$30,Expense!$N$2:$P$2,0))</f>
        <v>0</v>
      </c>
      <c r="I37" s="45">
        <f>INDEX(Expense!$B$3:$D$23,MATCH(I$8,Expense!$A$3:$A$23,0),MATCH($B$30,Expense!$N$2:$P$2,0))</f>
        <v>147.77000000000001</v>
      </c>
      <c r="J37" s="45">
        <f>INDEX(Expense!$B$3:$D$23,MATCH(J$8,Expense!$A$3:$A$23,0),MATCH($B$30,Expense!$N$2:$P$2,0))</f>
        <v>164.4</v>
      </c>
      <c r="K37" s="45">
        <f>INDEX(Expense!$B$3:$D$23,MATCH(K$8,Expense!$A$3:$A$23,0),MATCH($B$30,Expense!$N$2:$P$2,0))</f>
        <v>180.62</v>
      </c>
      <c r="L37" s="45">
        <f>INDEX(Expense!$B$3:$D$23,MATCH(L$8,Expense!$A$3:$A$23,0),MATCH($B$30,Expense!$N$2:$P$2,0))</f>
        <v>188.79</v>
      </c>
      <c r="M37" s="45">
        <f>INDEX(Expense!$B$3:$D$23,MATCH(M$8,Expense!$A$3:$A$23,0),MATCH($B$30,Expense!$N$2:$P$2,0))</f>
        <v>180.52</v>
      </c>
      <c r="N37" s="45">
        <f>INDEX(Expense!$B$3:$D$23,MATCH(N$8,Expense!$A$3:$A$23,0),MATCH($B$30,Expense!$N$2:$P$2,0))</f>
        <v>240.75</v>
      </c>
      <c r="O37" s="45">
        <f>INDEX(Expense!$B$3:$D$23,MATCH(O$8,Expense!$A$3:$A$23,0),MATCH($B$30,Expense!$N$2:$P$2,0))</f>
        <v>303.42</v>
      </c>
      <c r="P37" s="45">
        <f>INDEX(Expense!$B$3:$D$23,MATCH(P$8,Expense!$A$3:$A$23,0),MATCH($B$30,Expense!$N$2:$P$2,0))</f>
        <v>91.44</v>
      </c>
      <c r="Q37" s="45">
        <f>INDEX(Expense!$B$3:$D$23,MATCH(Q$8,Expense!$A$3:$A$23,0),MATCH($B$30,Expense!$N$2:$P$2,0))</f>
        <v>205.26</v>
      </c>
      <c r="R37" s="45">
        <f>INDEX(Expense!$B$3:$D$23,MATCH(R$8,Expense!$A$3:$A$23,0),MATCH($B$30,Expense!$N$2:$P$2,0))</f>
        <v>182.11</v>
      </c>
      <c r="S37" s="45">
        <f>INDEX(Expense!$B$3:$D$23,MATCH(S$8,Expense!$A$3:$A$23,0),MATCH($B$30,Expense!$N$2:$P$2,0))</f>
        <v>98.25</v>
      </c>
      <c r="T37" s="45">
        <f>INDEX(Expense!$B$3:$D$23,MATCH(T$8,Expense!$A$3:$A$23,0),MATCH($B$30,Expense!$N$2:$P$2,0))</f>
        <v>246.11</v>
      </c>
      <c r="U37" s="45">
        <f>INDEX(Expense!$B$3:$D$23,MATCH(U$8,Expense!$A$3:$A$23,0),MATCH($B$30,Expense!$N$2:$P$2,0))</f>
        <v>214.06</v>
      </c>
      <c r="V37" s="45">
        <f>INDEX(Expense!$B$3:$D$23,MATCH(V$8,Expense!$A$3:$A$23,0),MATCH($B$30,Expense!$N$2:$P$2,0))</f>
        <v>70.400000000000006</v>
      </c>
      <c r="W37" s="55">
        <f>INDEX(Expense!$B$3:$D$23,MATCH(W$8,Expense!$A$3:$A$23,0),MATCH($B$30,Expense!$N$2:$P$2,0))</f>
        <v>131.62</v>
      </c>
      <c r="X37" s="69" cm="1">
        <f t="array" ref="X37">INDEX('Population projection'!$F$3:$F$23,MATCH(B37,'Population projection'!$B$3:$B$23,0),)</f>
        <v>12569472</v>
      </c>
      <c r="Y37" s="58">
        <f t="shared" si="4"/>
        <v>1234950624</v>
      </c>
    </row>
    <row r="38" spans="2:25" x14ac:dyDescent="0.2">
      <c r="B38" s="59">
        <f t="shared" si="5"/>
        <v>2021</v>
      </c>
      <c r="C38" s="35">
        <f>_xlfn.FORECAST.LINEAR($B38,C$33:C37,$B$33:$B37)</f>
        <v>107.08799999999974</v>
      </c>
      <c r="D38" s="35">
        <f>_xlfn.FORECAST.LINEAR($B38,D$33:D37,$B$33:$B37)</f>
        <v>189.18800000000192</v>
      </c>
      <c r="E38" s="35">
        <f>_xlfn.FORECAST.LINEAR($B38,E$33:E37,$B$33:$B37)</f>
        <v>267.04699999999866</v>
      </c>
      <c r="F38" s="35">
        <f>_xlfn.FORECAST.LINEAR($B38,F$33:F37,$B$33:$B37)</f>
        <v>249.53900000000431</v>
      </c>
      <c r="G38" s="35">
        <f>_xlfn.FORECAST.LINEAR($B38,G$33:G37,$B$33:$B37)</f>
        <v>220.57600000000093</v>
      </c>
      <c r="H38" s="35">
        <f>_xlfn.FORECAST.LINEAR($B38,H$33:H37,$B$33:$B37)</f>
        <v>0</v>
      </c>
      <c r="I38" s="35">
        <f>_xlfn.FORECAST.LINEAR($B38,I$33:I37,$B$33:$B37)</f>
        <v>173.41599999999744</v>
      </c>
      <c r="J38" s="35">
        <f>_xlfn.FORECAST.LINEAR($B38,J$33:J37,$B$33:$B37)</f>
        <v>169.10900000000038</v>
      </c>
      <c r="K38" s="35">
        <f>_xlfn.FORECAST.LINEAR($B38,K$33:K37,$B$33:$B37)</f>
        <v>217.30799999999726</v>
      </c>
      <c r="L38" s="35">
        <f>_xlfn.FORECAST.LINEAR($B38,L$33:L37,$B$33:$B37)</f>
        <v>199.36599999999817</v>
      </c>
      <c r="M38" s="35">
        <f>_xlfn.FORECAST.LINEAR($B38,M$33:M37,$B$33:$B37)</f>
        <v>190.59300000000076</v>
      </c>
      <c r="N38" s="35">
        <f>_xlfn.FORECAST.LINEAR($B38,N$33:N37,$B$33:$B37)</f>
        <v>263.30599999999959</v>
      </c>
      <c r="O38" s="35">
        <f>_xlfn.FORECAST.LINEAR($B38,O$33:O37,$B$33:$B37)</f>
        <v>332.25100000000384</v>
      </c>
      <c r="P38" s="35">
        <f>_xlfn.FORECAST.LINEAR($B38,P$33:P37,$B$33:$B37)</f>
        <v>97.826999999997497</v>
      </c>
      <c r="Q38" s="35">
        <f>_xlfn.FORECAST.LINEAR($B38,Q$33:Q37,$B$33:$B37)</f>
        <v>210.16600000000108</v>
      </c>
      <c r="R38" s="35">
        <f>_xlfn.FORECAST.LINEAR($B38,R$33:R37,$B$33:$B37)</f>
        <v>174.91800000000012</v>
      </c>
      <c r="S38" s="35">
        <f>_xlfn.FORECAST.LINEAR($B38,S$33:S37,$B$33:$B37)</f>
        <v>106.8690000000006</v>
      </c>
      <c r="T38" s="35">
        <f>_xlfn.FORECAST.LINEAR($B38,T$33:T37,$B$33:$B37)</f>
        <v>295.91599999999744</v>
      </c>
      <c r="U38" s="35">
        <f>_xlfn.FORECAST.LINEAR($B38,U$33:U37,$B$33:$B37)</f>
        <v>246.73600000000079</v>
      </c>
      <c r="V38" s="35">
        <f>_xlfn.FORECAST.LINEAR($B38,V$33:V37,$B$33:$B37)</f>
        <v>76.987999999999829</v>
      </c>
      <c r="W38" s="64">
        <f>_xlfn.FORECAST.LINEAR($B38,W$33:W37,$B$33:$B37)</f>
        <v>147.5769999999975</v>
      </c>
      <c r="X38" s="61" cm="1">
        <f t="array" ref="X38">INDEX('Population projection'!$F$3:$F$23,MATCH(B38,'Population projection'!$B$3:$B$23,0),)</f>
        <v>12630242.517640233</v>
      </c>
      <c r="Y38" s="57">
        <f t="shared" si="4"/>
        <v>1349781387.6177015</v>
      </c>
    </row>
    <row r="39" spans="2:25" x14ac:dyDescent="0.2">
      <c r="B39" s="59">
        <f t="shared" si="5"/>
        <v>2022</v>
      </c>
      <c r="C39" s="35">
        <f>_xlfn.FORECAST.LINEAR($B39,C$33:C38,$B$33:$B38)</f>
        <v>116.40399999999863</v>
      </c>
      <c r="D39" s="35">
        <f>_xlfn.FORECAST.LINEAR($B39,D$33:D38,$B$33:$B38)</f>
        <v>201.58200000000215</v>
      </c>
      <c r="E39" s="35">
        <f>_xlfn.FORECAST.LINEAR($B39,E$33:E38,$B$33:$B38)</f>
        <v>282.86200000000099</v>
      </c>
      <c r="F39" s="35">
        <f>_xlfn.FORECAST.LINEAR($B39,F$33:F38,$B$33:$B38)</f>
        <v>279.08400000000984</v>
      </c>
      <c r="G39" s="35">
        <f>_xlfn.FORECAST.LINEAR($B39,G$33:G38,$B$33:$B38)</f>
        <v>237.95000000000437</v>
      </c>
      <c r="H39" s="35">
        <f>_xlfn.FORECAST.LINEAR($B39,H$33:H38,$B$33:$B38)</f>
        <v>0</v>
      </c>
      <c r="I39" s="35">
        <f>_xlfn.FORECAST.LINEAR($B39,I$33:I38,$B$33:$B38)</f>
        <v>187.78199999999924</v>
      </c>
      <c r="J39" s="35">
        <f>_xlfn.FORECAST.LINEAR($B39,J$33:J38,$B$33:$B38)</f>
        <v>176.17200000000048</v>
      </c>
      <c r="K39" s="35">
        <f>_xlfn.FORECAST.LINEAR($B39,K$33:K38,$B$33:$B38)</f>
        <v>236.20999999999913</v>
      </c>
      <c r="L39" s="35">
        <f>_xlfn.FORECAST.LINEAR($B39,L$33:L38,$B$33:$B38)</f>
        <v>212.25799999999799</v>
      </c>
      <c r="M39" s="35">
        <f>_xlfn.FORECAST.LINEAR($B39,M$33:M38,$B$33:$B38)</f>
        <v>199.00799999999799</v>
      </c>
      <c r="N39" s="35">
        <f>_xlfn.FORECAST.LINEAR($B39,N$33:N38,$B$33:$B38)</f>
        <v>266.60399999999936</v>
      </c>
      <c r="O39" s="35">
        <f>_xlfn.FORECAST.LINEAR($B39,O$33:O38,$B$33:$B38)</f>
        <v>349.21200000000681</v>
      </c>
      <c r="P39" s="35">
        <f>_xlfn.FORECAST.LINEAR($B39,P$33:P38,$B$33:$B38)</f>
        <v>106.69399999999587</v>
      </c>
      <c r="Q39" s="35">
        <f>_xlfn.FORECAST.LINEAR($B39,Q$33:Q38,$B$33:$B38)</f>
        <v>215.48800000000119</v>
      </c>
      <c r="R39" s="35">
        <f>_xlfn.FORECAST.LINEAR($B39,R$33:R38,$B$33:$B38)</f>
        <v>174.16200000000003</v>
      </c>
      <c r="S39" s="35">
        <f>_xlfn.FORECAST.LINEAR($B39,S$33:S38,$B$33:$B38)</f>
        <v>112.78399999999965</v>
      </c>
      <c r="T39" s="35">
        <f>_xlfn.FORECAST.LINEAR($B39,T$33:T38,$B$33:$B38)</f>
        <v>313.43600000000151</v>
      </c>
      <c r="U39" s="35">
        <f>_xlfn.FORECAST.LINEAR($B39,U$33:U38,$B$33:$B38)</f>
        <v>253.88800000000083</v>
      </c>
      <c r="V39" s="35">
        <f>_xlfn.FORECAST.LINEAR($B39,V$33:V38,$B$33:$B38)</f>
        <v>78.481999999999971</v>
      </c>
      <c r="W39" s="64">
        <f>_xlfn.FORECAST.LINEAR($B39,W$33:W38,$B$33:$B38)</f>
        <v>160.65599999999904</v>
      </c>
      <c r="X39" s="61" cm="1">
        <f t="array" ref="X39">INDEX('Population projection'!$F$3:$F$23,MATCH(B39,'Population projection'!$B$3:$B$23,0),)</f>
        <v>12692485.711932613</v>
      </c>
      <c r="Y39" s="57">
        <f t="shared" si="4"/>
        <v>1431509308.5346034</v>
      </c>
    </row>
    <row r="40" spans="2:25" x14ac:dyDescent="0.2">
      <c r="B40" s="59">
        <f t="shared" si="5"/>
        <v>2023</v>
      </c>
      <c r="C40" s="35">
        <f>_xlfn.FORECAST.LINEAR($B40,C$33:C39,$B$33:$B39)</f>
        <v>125.71999999999753</v>
      </c>
      <c r="D40" s="35">
        <f>_xlfn.FORECAST.LINEAR($B40,D$33:D39,$B$33:$B39)</f>
        <v>213.97600000000239</v>
      </c>
      <c r="E40" s="35">
        <f>_xlfn.FORECAST.LINEAR($B40,E$33:E39,$B$33:$B39)</f>
        <v>298.67700000000332</v>
      </c>
      <c r="F40" s="35">
        <f>_xlfn.FORECAST.LINEAR($B40,F$33:F39,$B$33:$B39)</f>
        <v>308.62900000000081</v>
      </c>
      <c r="G40" s="35">
        <f>_xlfn.FORECAST.LINEAR($B40,G$33:G39,$B$33:$B39)</f>
        <v>255.32400000000052</v>
      </c>
      <c r="H40" s="35">
        <f>_xlfn.FORECAST.LINEAR($B40,H$33:H39,$B$33:$B39)</f>
        <v>0</v>
      </c>
      <c r="I40" s="35">
        <f>_xlfn.FORECAST.LINEAR($B40,I$33:I39,$B$33:$B39)</f>
        <v>202.14800000000105</v>
      </c>
      <c r="J40" s="35">
        <f>_xlfn.FORECAST.LINEAR($B40,J$33:J39,$B$33:$B39)</f>
        <v>183.23500000000058</v>
      </c>
      <c r="K40" s="35">
        <f>_xlfn.FORECAST.LINEAR($B40,K$33:K39,$B$33:$B39)</f>
        <v>255.11199999999371</v>
      </c>
      <c r="L40" s="35">
        <f>_xlfn.FORECAST.LINEAR($B40,L$33:L39,$B$33:$B39)</f>
        <v>225.14999999999782</v>
      </c>
      <c r="M40" s="35">
        <f>_xlfn.FORECAST.LINEAR($B40,M$33:M39,$B$33:$B39)</f>
        <v>207.42299999999886</v>
      </c>
      <c r="N40" s="35">
        <f>_xlfn.FORECAST.LINEAR($B40,N$33:N39,$B$33:$B39)</f>
        <v>269.90200000000004</v>
      </c>
      <c r="O40" s="35">
        <f>_xlfn.FORECAST.LINEAR($B40,O$33:O39,$B$33:$B39)</f>
        <v>366.1730000000025</v>
      </c>
      <c r="P40" s="35">
        <f>_xlfn.FORECAST.LINEAR($B40,P$33:P39,$B$33:$B39)</f>
        <v>115.56099999999788</v>
      </c>
      <c r="Q40" s="35">
        <f>_xlfn.FORECAST.LINEAR($B40,Q$33:Q39,$B$33:$B39)</f>
        <v>220.81000000000131</v>
      </c>
      <c r="R40" s="35">
        <f>_xlfn.FORECAST.LINEAR($B40,R$33:R39,$B$33:$B39)</f>
        <v>173.40599999999995</v>
      </c>
      <c r="S40" s="35">
        <f>_xlfn.FORECAST.LINEAR($B40,S$33:S39,$B$33:$B39)</f>
        <v>118.69900000000052</v>
      </c>
      <c r="T40" s="35">
        <f>_xlfn.FORECAST.LINEAR($B40,T$33:T39,$B$33:$B39)</f>
        <v>330.95599999999831</v>
      </c>
      <c r="U40" s="35">
        <f>_xlfn.FORECAST.LINEAR($B40,U$33:U39,$B$33:$B39)</f>
        <v>261.04000000000269</v>
      </c>
      <c r="V40" s="35">
        <f>_xlfn.FORECAST.LINEAR($B40,V$33:V39,$B$33:$B39)</f>
        <v>79.976000000000113</v>
      </c>
      <c r="W40" s="64">
        <f>_xlfn.FORECAST.LINEAR($B40,W$33:W39,$B$33:$B39)</f>
        <v>173.73499999999694</v>
      </c>
      <c r="X40" s="61" cm="1">
        <f t="array" ref="X40">INDEX('Population projection'!$F$3:$F$23,MATCH(B40,'Population projection'!$B$3:$B$23,0),)</f>
        <v>12756213.47054033</v>
      </c>
      <c r="Y40" s="57">
        <f t="shared" si="4"/>
        <v>1514149782.7396734</v>
      </c>
    </row>
    <row r="41" spans="2:25" x14ac:dyDescent="0.2">
      <c r="B41" s="59">
        <f t="shared" si="5"/>
        <v>2024</v>
      </c>
      <c r="C41" s="35">
        <f>_xlfn.FORECAST.LINEAR($B41,C$33:C40,$B$33:$B40)</f>
        <v>135.03599999999642</v>
      </c>
      <c r="D41" s="35">
        <f>_xlfn.FORECAST.LINEAR($B41,D$33:D40,$B$33:$B40)</f>
        <v>226.37000000000262</v>
      </c>
      <c r="E41" s="35">
        <f>_xlfn.FORECAST.LINEAR($B41,E$33:E40,$B$33:$B40)</f>
        <v>314.49199999999837</v>
      </c>
      <c r="F41" s="35">
        <f>_xlfn.FORECAST.LINEAR($B41,F$33:F40,$B$33:$B40)</f>
        <v>338.17400000000634</v>
      </c>
      <c r="G41" s="35">
        <f>_xlfn.FORECAST.LINEAR($B41,G$33:G40,$B$33:$B40)</f>
        <v>272.69799999999668</v>
      </c>
      <c r="H41" s="35">
        <f>_xlfn.FORECAST.LINEAR($B41,H$33:H40,$B$33:$B40)</f>
        <v>0</v>
      </c>
      <c r="I41" s="35">
        <f>_xlfn.FORECAST.LINEAR($B41,I$33:I40,$B$33:$B40)</f>
        <v>216.51399999999558</v>
      </c>
      <c r="J41" s="35">
        <f>_xlfn.FORECAST.LINEAR($B41,J$33:J40,$B$33:$B40)</f>
        <v>190.29799999999886</v>
      </c>
      <c r="K41" s="35">
        <f>_xlfn.FORECAST.LINEAR($B41,K$33:K40,$B$33:$B40)</f>
        <v>274.01399999999558</v>
      </c>
      <c r="L41" s="35">
        <f>_xlfn.FORECAST.LINEAR($B41,L$33:L40,$B$33:$B40)</f>
        <v>238.041999999994</v>
      </c>
      <c r="M41" s="35">
        <f>_xlfn.FORECAST.LINEAR($B41,M$33:M40,$B$33:$B40)</f>
        <v>215.83799999999974</v>
      </c>
      <c r="N41" s="35">
        <f>_xlfn.FORECAST.LINEAR($B41,N$33:N40,$B$33:$B40)</f>
        <v>273.19999999999891</v>
      </c>
      <c r="O41" s="35">
        <f>_xlfn.FORECAST.LINEAR($B41,O$33:O40,$B$33:$B40)</f>
        <v>383.13400000000547</v>
      </c>
      <c r="P41" s="35">
        <f>_xlfn.FORECAST.LINEAR($B41,P$33:P40,$B$33:$B40)</f>
        <v>124.42799999999988</v>
      </c>
      <c r="Q41" s="35">
        <f>_xlfn.FORECAST.LINEAR($B41,Q$33:Q40,$B$33:$B40)</f>
        <v>226.13200000000325</v>
      </c>
      <c r="R41" s="35">
        <f>_xlfn.FORECAST.LINEAR($B41,R$33:R40,$B$33:$B40)</f>
        <v>172.65000000000009</v>
      </c>
      <c r="S41" s="35">
        <f>_xlfn.FORECAST.LINEAR($B41,S$33:S40,$B$33:$B40)</f>
        <v>124.61399999999958</v>
      </c>
      <c r="T41" s="35">
        <f>_xlfn.FORECAST.LINEAR($B41,T$33:T40,$B$33:$B40)</f>
        <v>348.47599999999511</v>
      </c>
      <c r="U41" s="35">
        <f>_xlfn.FORECAST.LINEAR($B41,U$33:U40,$B$33:$B40)</f>
        <v>268.19200000000274</v>
      </c>
      <c r="V41" s="35">
        <f>_xlfn.FORECAST.LINEAR($B41,V$33:V40,$B$33:$B40)</f>
        <v>81.4699999999998</v>
      </c>
      <c r="W41" s="64">
        <f>_xlfn.FORECAST.LINEAR($B41,W$33:W40,$B$33:$B40)</f>
        <v>186.81399999999849</v>
      </c>
      <c r="X41" s="61" cm="1">
        <f t="array" ref="X41">INDEX('Population projection'!$F$3:$F$23,MATCH(B41,'Population projection'!$B$3:$B$23,0),)</f>
        <v>12821438.795467623</v>
      </c>
      <c r="Y41" s="57">
        <f t="shared" si="4"/>
        <v>1597730774.0583968</v>
      </c>
    </row>
    <row r="42" spans="2:25" x14ac:dyDescent="0.2">
      <c r="B42" s="59">
        <f t="shared" si="5"/>
        <v>2025</v>
      </c>
      <c r="C42" s="35">
        <f>_xlfn.FORECAST.LINEAR($B42,C$33:C41,$B$33:$B41)</f>
        <v>144.35199999999895</v>
      </c>
      <c r="D42" s="35">
        <f>_xlfn.FORECAST.LINEAR($B42,D$33:D41,$B$33:$B41)</f>
        <v>238.76400000000285</v>
      </c>
      <c r="E42" s="35">
        <f>_xlfn.FORECAST.LINEAR($B42,E$33:E41,$B$33:$B41)</f>
        <v>330.3070000000007</v>
      </c>
      <c r="F42" s="35">
        <f>_xlfn.FORECAST.LINEAR($B42,F$33:F41,$B$33:$B41)</f>
        <v>367.7190000000046</v>
      </c>
      <c r="G42" s="35">
        <f>_xlfn.FORECAST.LINEAR($B42,G$33:G41,$B$33:$B41)</f>
        <v>290.07200000000012</v>
      </c>
      <c r="H42" s="35">
        <f>_xlfn.FORECAST.LINEAR($B42,H$33:H41,$B$33:$B41)</f>
        <v>0</v>
      </c>
      <c r="I42" s="35">
        <f>_xlfn.FORECAST.LINEAR($B42,I$33:I41,$B$33:$B41)</f>
        <v>230.87999999999738</v>
      </c>
      <c r="J42" s="35">
        <f>_xlfn.FORECAST.LINEAR($B42,J$33:J41,$B$33:$B41)</f>
        <v>197.36100000000079</v>
      </c>
      <c r="K42" s="35">
        <f>_xlfn.FORECAST.LINEAR($B42,K$33:K41,$B$33:$B41)</f>
        <v>292.91599999999016</v>
      </c>
      <c r="L42" s="35">
        <f>_xlfn.FORECAST.LINEAR($B42,L$33:L41,$B$33:$B41)</f>
        <v>250.93399999999747</v>
      </c>
      <c r="M42" s="35">
        <f>_xlfn.FORECAST.LINEAR($B42,M$33:M41,$B$33:$B41)</f>
        <v>224.25299999999697</v>
      </c>
      <c r="N42" s="35">
        <f>_xlfn.FORECAST.LINEAR($B42,N$33:N41,$B$33:$B41)</f>
        <v>276.49799999999959</v>
      </c>
      <c r="O42" s="35">
        <f>_xlfn.FORECAST.LINEAR($B42,O$33:O41,$B$33:$B41)</f>
        <v>400.09500000000844</v>
      </c>
      <c r="P42" s="35">
        <f>_xlfn.FORECAST.LINEAR($B42,P$33:P41,$B$33:$B41)</f>
        <v>133.29499999999825</v>
      </c>
      <c r="Q42" s="35">
        <f>_xlfn.FORECAST.LINEAR($B42,Q$33:Q41,$B$33:$B41)</f>
        <v>231.45400000000154</v>
      </c>
      <c r="R42" s="35">
        <f>_xlfn.FORECAST.LINEAR($B42,R$33:R41,$B$33:$B41)</f>
        <v>171.89400000000001</v>
      </c>
      <c r="S42" s="35">
        <f>_xlfn.FORECAST.LINEAR($B42,S$33:S41,$B$33:$B41)</f>
        <v>130.52899999999863</v>
      </c>
      <c r="T42" s="35">
        <f>_xlfn.FORECAST.LINEAR($B42,T$33:T41,$B$33:$B41)</f>
        <v>365.99599999999919</v>
      </c>
      <c r="U42" s="35">
        <f>_xlfn.FORECAST.LINEAR($B42,U$33:U41,$B$33:$B41)</f>
        <v>275.34400000000278</v>
      </c>
      <c r="V42" s="35">
        <f>_xlfn.FORECAST.LINEAR($B42,V$33:V41,$B$33:$B41)</f>
        <v>82.964000000000397</v>
      </c>
      <c r="W42" s="64">
        <f>_xlfn.FORECAST.LINEAR($B42,W$33:W41,$B$33:$B41)</f>
        <v>199.89300000000003</v>
      </c>
      <c r="X42" s="61" cm="1">
        <f t="array" ref="X42">INDEX('Population projection'!$F$3:$F$23,MATCH(B42,'Population projection'!$B$3:$B$23,0),)</f>
        <v>12888175.818660446</v>
      </c>
      <c r="Y42" s="57">
        <f t="shared" si="4"/>
        <v>1682280701.4339116</v>
      </c>
    </row>
    <row r="43" spans="2:25" x14ac:dyDescent="0.2">
      <c r="B43" s="59">
        <f t="shared" si="5"/>
        <v>2026</v>
      </c>
      <c r="C43" s="35">
        <f>_xlfn.FORECAST.LINEAR($B43,C$33:C42,$B$33:$B42)</f>
        <v>153.66799999999785</v>
      </c>
      <c r="D43" s="35">
        <f>_xlfn.FORECAST.LINEAR($B43,D$33:D42,$B$33:$B42)</f>
        <v>251.15800000000309</v>
      </c>
      <c r="E43" s="35">
        <f>_xlfn.FORECAST.LINEAR($B43,E$33:E42,$B$33:$B42)</f>
        <v>346.12200000000303</v>
      </c>
      <c r="F43" s="35">
        <f>_xlfn.FORECAST.LINEAR($B43,F$33:F42,$B$33:$B42)</f>
        <v>397.26400000000285</v>
      </c>
      <c r="G43" s="35">
        <f>_xlfn.FORECAST.LINEAR($B43,G$33:G42,$B$33:$B42)</f>
        <v>307.44599999999627</v>
      </c>
      <c r="H43" s="35">
        <f>_xlfn.FORECAST.LINEAR($B43,H$33:H42,$B$33:$B42)</f>
        <v>0</v>
      </c>
      <c r="I43" s="35">
        <f>_xlfn.FORECAST.LINEAR($B43,I$33:I42,$B$33:$B42)</f>
        <v>245.24599999999919</v>
      </c>
      <c r="J43" s="35">
        <f>_xlfn.FORECAST.LINEAR($B43,J$33:J42,$B$33:$B42)</f>
        <v>204.42399999999907</v>
      </c>
      <c r="K43" s="35">
        <f>_xlfn.FORECAST.LINEAR($B43,K$33:K42,$B$33:$B42)</f>
        <v>311.81799999998475</v>
      </c>
      <c r="L43" s="35">
        <f>_xlfn.FORECAST.LINEAR($B43,L$33:L42,$B$33:$B42)</f>
        <v>263.82599999999729</v>
      </c>
      <c r="M43" s="35">
        <f>_xlfn.FORECAST.LINEAR($B43,M$33:M42,$B$33:$B42)</f>
        <v>232.66800000000148</v>
      </c>
      <c r="N43" s="35">
        <f>_xlfn.FORECAST.LINEAR($B43,N$33:N42,$B$33:$B42)</f>
        <v>279.79600000000028</v>
      </c>
      <c r="O43" s="35">
        <f>_xlfn.FORECAST.LINEAR($B43,O$33:O42,$B$33:$B42)</f>
        <v>417.05600000001141</v>
      </c>
      <c r="P43" s="35">
        <f>_xlfn.FORECAST.LINEAR($B43,P$33:P42,$B$33:$B42)</f>
        <v>142.16199999999662</v>
      </c>
      <c r="Q43" s="35">
        <f>_xlfn.FORECAST.LINEAR($B43,Q$33:Q42,$B$33:$B42)</f>
        <v>236.77600000000348</v>
      </c>
      <c r="R43" s="35">
        <f>_xlfn.FORECAST.LINEAR($B43,R$33:R42,$B$33:$B42)</f>
        <v>171.13799999999992</v>
      </c>
      <c r="S43" s="35">
        <f>_xlfn.FORECAST.LINEAR($B43,S$33:S42,$B$33:$B42)</f>
        <v>136.44400000000132</v>
      </c>
      <c r="T43" s="35">
        <f>_xlfn.FORECAST.LINEAR($B43,T$33:T42,$B$33:$B42)</f>
        <v>383.51599999999598</v>
      </c>
      <c r="U43" s="35">
        <f>_xlfn.FORECAST.LINEAR($B43,U$33:U42,$B$33:$B42)</f>
        <v>282.49600000000282</v>
      </c>
      <c r="V43" s="35">
        <f>_xlfn.FORECAST.LINEAR($B43,V$33:V42,$B$33:$B42)</f>
        <v>84.458000000000084</v>
      </c>
      <c r="W43" s="64">
        <f>_xlfn.FORECAST.LINEAR($B43,W$33:W42,$B$33:$B42)</f>
        <v>212.9719999999943</v>
      </c>
      <c r="X43" s="61" cm="1">
        <f t="array" ref="X43">INDEX('Population projection'!$F$3:$F$23,MATCH(B43,'Population projection'!$B$3:$B$23,0),)</f>
        <v>12956439.819164585</v>
      </c>
      <c r="Y43" s="57">
        <f t="shared" si="4"/>
        <v>1767828474.6861098</v>
      </c>
    </row>
    <row r="44" spans="2:25" x14ac:dyDescent="0.2">
      <c r="B44" s="59">
        <f t="shared" si="5"/>
        <v>2027</v>
      </c>
      <c r="C44" s="35">
        <f>_xlfn.FORECAST.LINEAR($B44,C$33:C43,$B$33:$B43)</f>
        <v>162.98399999999674</v>
      </c>
      <c r="D44" s="35">
        <f>_xlfn.FORECAST.LINEAR($B44,D$33:D43,$B$33:$B43)</f>
        <v>263.55200000000332</v>
      </c>
      <c r="E44" s="35">
        <f>_xlfn.FORECAST.LINEAR($B44,E$33:E43,$B$33:$B43)</f>
        <v>361.93699999999808</v>
      </c>
      <c r="F44" s="35">
        <f>_xlfn.FORECAST.LINEAR($B44,F$33:F43,$B$33:$B43)</f>
        <v>426.80900000000838</v>
      </c>
      <c r="G44" s="35">
        <f>_xlfn.FORECAST.LINEAR($B44,G$33:G43,$B$33:$B43)</f>
        <v>324.81999999999971</v>
      </c>
      <c r="H44" s="35">
        <f>_xlfn.FORECAST.LINEAR($B44,H$33:H43,$B$33:$B43)</f>
        <v>0</v>
      </c>
      <c r="I44" s="35">
        <f>_xlfn.FORECAST.LINEAR($B44,I$33:I43,$B$33:$B43)</f>
        <v>259.61199999999735</v>
      </c>
      <c r="J44" s="35">
        <f>_xlfn.FORECAST.LINEAR($B44,J$33:J43,$B$33:$B43)</f>
        <v>211.48700000000099</v>
      </c>
      <c r="K44" s="35">
        <f>_xlfn.FORECAST.LINEAR($B44,K$33:K43,$B$33:$B43)</f>
        <v>330.71999999998661</v>
      </c>
      <c r="L44" s="35">
        <f>_xlfn.FORECAST.LINEAR($B44,L$33:L43,$B$33:$B43)</f>
        <v>276.71799999999712</v>
      </c>
      <c r="M44" s="35">
        <f>_xlfn.FORECAST.LINEAR($B44,M$33:M43,$B$33:$B43)</f>
        <v>241.08300000000236</v>
      </c>
      <c r="N44" s="35">
        <f>_xlfn.FORECAST.LINEAR($B44,N$33:N43,$B$33:$B43)</f>
        <v>283.09400000000005</v>
      </c>
      <c r="O44" s="35">
        <f>_xlfn.FORECAST.LINEAR($B44,O$33:O43,$B$33:$B43)</f>
        <v>434.0170000000071</v>
      </c>
      <c r="P44" s="35">
        <f>_xlfn.FORECAST.LINEAR($B44,P$33:P43,$B$33:$B43)</f>
        <v>151.02899999999499</v>
      </c>
      <c r="Q44" s="35">
        <f>_xlfn.FORECAST.LINEAR($B44,Q$33:Q43,$B$33:$B43)</f>
        <v>242.09800000000178</v>
      </c>
      <c r="R44" s="35">
        <f>_xlfn.FORECAST.LINEAR($B44,R$33:R43,$B$33:$B43)</f>
        <v>170.38200000000006</v>
      </c>
      <c r="S44" s="35">
        <f>_xlfn.FORECAST.LINEAR($B44,S$33:S43,$B$33:$B43)</f>
        <v>142.35900000000038</v>
      </c>
      <c r="T44" s="35">
        <f>_xlfn.FORECAST.LINEAR($B44,T$33:T43,$B$33:$B43)</f>
        <v>401.03600000000006</v>
      </c>
      <c r="U44" s="35">
        <f>_xlfn.FORECAST.LINEAR($B44,U$33:U43,$B$33:$B43)</f>
        <v>289.64800000000287</v>
      </c>
      <c r="V44" s="35">
        <f>_xlfn.FORECAST.LINEAR($B44,V$33:V43,$B$33:$B43)</f>
        <v>85.951999999999771</v>
      </c>
      <c r="W44" s="64">
        <f>_xlfn.FORECAST.LINEAR($B44,W$33:W43,$B$33:$B43)</f>
        <v>226.05099999999584</v>
      </c>
      <c r="X44" s="61" cm="1">
        <f t="array" ref="X44">INDEX('Population projection'!$F$3:$F$23,MATCH(B44,'Population projection'!$B$3:$B$23,0),)</f>
        <v>13026247.241869118</v>
      </c>
      <c r="Y44" s="57">
        <f t="shared" si="4"/>
        <v>1854403531.1052506</v>
      </c>
    </row>
    <row r="45" spans="2:25" x14ac:dyDescent="0.2">
      <c r="B45" s="59">
        <f t="shared" si="5"/>
        <v>2028</v>
      </c>
      <c r="C45" s="35">
        <f>_xlfn.FORECAST.LINEAR($B45,C$33:C44,$B$33:$B44)</f>
        <v>172.29999999999927</v>
      </c>
      <c r="D45" s="35">
        <f>_xlfn.FORECAST.LINEAR($B45,D$33:D44,$B$33:$B44)</f>
        <v>275.94600000000355</v>
      </c>
      <c r="E45" s="35">
        <f>_xlfn.FORECAST.LINEAR($B45,E$33:E44,$B$33:$B44)</f>
        <v>377.75200000000041</v>
      </c>
      <c r="F45" s="35">
        <f>_xlfn.FORECAST.LINEAR($B45,F$33:F44,$B$33:$B44)</f>
        <v>456.35400000000664</v>
      </c>
      <c r="G45" s="35">
        <f>_xlfn.FORECAST.LINEAR($B45,G$33:G44,$B$33:$B44)</f>
        <v>342.19399999999587</v>
      </c>
      <c r="H45" s="35">
        <f>_xlfn.FORECAST.LINEAR($B45,H$33:H44,$B$33:$B44)</f>
        <v>0</v>
      </c>
      <c r="I45" s="35">
        <f>_xlfn.FORECAST.LINEAR($B45,I$33:I44,$B$33:$B44)</f>
        <v>273.97799999999552</v>
      </c>
      <c r="J45" s="35">
        <f>_xlfn.FORECAST.LINEAR($B45,J$33:J44,$B$33:$B44)</f>
        <v>218.54999999999927</v>
      </c>
      <c r="K45" s="35">
        <f>_xlfn.FORECAST.LINEAR($B45,K$33:K44,$B$33:$B44)</f>
        <v>349.62199999998847</v>
      </c>
      <c r="L45" s="35">
        <f>_xlfn.FORECAST.LINEAR($B45,L$33:L44,$B$33:$B44)</f>
        <v>289.60999999999331</v>
      </c>
      <c r="M45" s="35">
        <f>_xlfn.FORECAST.LINEAR($B45,M$33:M44,$B$33:$B44)</f>
        <v>249.49800000000323</v>
      </c>
      <c r="N45" s="35">
        <f>_xlfn.FORECAST.LINEAR($B45,N$33:N44,$B$33:$B44)</f>
        <v>286.39199999999983</v>
      </c>
      <c r="O45" s="35">
        <f>_xlfn.FORECAST.LINEAR($B45,O$33:O44,$B$33:$B44)</f>
        <v>450.97800000000279</v>
      </c>
      <c r="P45" s="35">
        <f>_xlfn.FORECAST.LINEAR($B45,P$33:P44,$B$33:$B44)</f>
        <v>159.89599999999336</v>
      </c>
      <c r="Q45" s="35">
        <f>_xlfn.FORECAST.LINEAR($B45,Q$33:Q44,$B$33:$B44)</f>
        <v>247.42000000000189</v>
      </c>
      <c r="R45" s="35">
        <f>_xlfn.FORECAST.LINEAR($B45,R$33:R44,$B$33:$B44)</f>
        <v>169.62599999999975</v>
      </c>
      <c r="S45" s="35">
        <f>_xlfn.FORECAST.LINEAR($B45,S$33:S44,$B$33:$B44)</f>
        <v>148.27399999999943</v>
      </c>
      <c r="T45" s="35">
        <f>_xlfn.FORECAST.LINEAR($B45,T$33:T44,$B$33:$B44)</f>
        <v>418.55599999999686</v>
      </c>
      <c r="U45" s="35">
        <f>_xlfn.FORECAST.LINEAR($B45,U$33:U44,$B$33:$B44)</f>
        <v>296.80000000000473</v>
      </c>
      <c r="V45" s="35">
        <f>_xlfn.FORECAST.LINEAR($B45,V$33:V44,$B$33:$B44)</f>
        <v>87.445999999999913</v>
      </c>
      <c r="W45" s="64">
        <f>_xlfn.FORECAST.LINEAR($B45,W$33:W44,$B$33:$B44)</f>
        <v>239.12999999999738</v>
      </c>
      <c r="X45" s="61" cm="1">
        <f t="array" ref="X45">INDEX('Population projection'!$F$3:$F$23,MATCH(B45,'Population projection'!$B$3:$B$23,0),)</f>
        <v>13097615.717866201</v>
      </c>
      <c r="Y45" s="57">
        <f t="shared" si="4"/>
        <v>1942035872.9508855</v>
      </c>
    </row>
    <row r="46" spans="2:25" x14ac:dyDescent="0.2">
      <c r="B46" s="59">
        <f t="shared" si="5"/>
        <v>2029</v>
      </c>
      <c r="C46" s="35">
        <f>_xlfn.FORECAST.LINEAR($B46,C$33:C45,$B$33:$B45)</f>
        <v>181.61599999999453</v>
      </c>
      <c r="D46" s="35">
        <f>_xlfn.FORECAST.LINEAR($B46,D$33:D45,$B$33:$B45)</f>
        <v>288.34000000000378</v>
      </c>
      <c r="E46" s="35">
        <f>_xlfn.FORECAST.LINEAR($B46,E$33:E45,$B$33:$B45)</f>
        <v>393.56700000000274</v>
      </c>
      <c r="F46" s="35">
        <f>_xlfn.FORECAST.LINEAR($B46,F$33:F45,$B$33:$B45)</f>
        <v>485.89900000001217</v>
      </c>
      <c r="G46" s="35">
        <f>_xlfn.FORECAST.LINEAR($B46,G$33:G45,$B$33:$B45)</f>
        <v>359.5679999999993</v>
      </c>
      <c r="H46" s="35">
        <f>_xlfn.FORECAST.LINEAR($B46,H$33:H45,$B$33:$B45)</f>
        <v>0</v>
      </c>
      <c r="I46" s="35">
        <f>_xlfn.FORECAST.LINEAR($B46,I$33:I45,$B$33:$B45)</f>
        <v>288.34399999999732</v>
      </c>
      <c r="J46" s="35">
        <f>_xlfn.FORECAST.LINEAR($B46,J$33:J45,$B$33:$B45)</f>
        <v>225.61299999999937</v>
      </c>
      <c r="K46" s="35">
        <f>_xlfn.FORECAST.LINEAR($B46,K$33:K45,$B$33:$B45)</f>
        <v>368.52399999998306</v>
      </c>
      <c r="L46" s="35">
        <f>_xlfn.FORECAST.LINEAR($B46,L$33:L45,$B$33:$B45)</f>
        <v>302.50199999999677</v>
      </c>
      <c r="M46" s="35">
        <f>_xlfn.FORECAST.LINEAR($B46,M$33:M45,$B$33:$B45)</f>
        <v>257.9130000000041</v>
      </c>
      <c r="N46" s="35">
        <f>_xlfn.FORECAST.LINEAR($B46,N$33:N45,$B$33:$B45)</f>
        <v>289.6899999999996</v>
      </c>
      <c r="O46" s="35">
        <f>_xlfn.FORECAST.LINEAR($B46,O$33:O45,$B$33:$B45)</f>
        <v>467.93900000001304</v>
      </c>
      <c r="P46" s="35">
        <f>_xlfn.FORECAST.LINEAR($B46,P$33:P45,$B$33:$B45)</f>
        <v>168.76299999999537</v>
      </c>
      <c r="Q46" s="35">
        <f>_xlfn.FORECAST.LINEAR($B46,Q$33:Q45,$B$33:$B45)</f>
        <v>252.74200000000383</v>
      </c>
      <c r="R46" s="35">
        <f>_xlfn.FORECAST.LINEAR($B46,R$33:R45,$B$33:$B45)</f>
        <v>168.87000000000012</v>
      </c>
      <c r="S46" s="35">
        <f>_xlfn.FORECAST.LINEAR($B46,S$33:S45,$B$33:$B45)</f>
        <v>154.18899999999849</v>
      </c>
      <c r="T46" s="35">
        <f>_xlfn.FORECAST.LINEAR($B46,T$33:T45,$B$33:$B45)</f>
        <v>436.07600000000093</v>
      </c>
      <c r="U46" s="35">
        <f>_xlfn.FORECAST.LINEAR($B46,U$33:U45,$B$33:$B45)</f>
        <v>303.95200000000295</v>
      </c>
      <c r="V46" s="35">
        <f>_xlfn.FORECAST.LINEAR($B46,V$33:V45,$B$33:$B45)</f>
        <v>88.940000000000055</v>
      </c>
      <c r="W46" s="64">
        <f>_xlfn.FORECAST.LINEAR($B46,W$33:W45,$B$33:$B45)</f>
        <v>252.20899999999892</v>
      </c>
      <c r="X46" s="61" cm="1">
        <f t="array" ref="X46">INDEX('Population projection'!$F$3:$F$23,MATCH(B46,'Population projection'!$B$3:$B$23,0),)</f>
        <v>13170564.086461198</v>
      </c>
      <c r="Y46" s="57">
        <f t="shared" si="4"/>
        <v>2030756105.9273458</v>
      </c>
    </row>
    <row r="47" spans="2:25" x14ac:dyDescent="0.2">
      <c r="B47" s="59">
        <v>2030</v>
      </c>
      <c r="C47" s="35">
        <f>_xlfn.FORECAST.LINEAR($B47,C$33:C46,$B$33:$B46)</f>
        <v>190.93199999999706</v>
      </c>
      <c r="D47" s="35">
        <f>_xlfn.FORECAST.LINEAR($B47,D$33:D46,$B$33:$B46)</f>
        <v>300.73400000000402</v>
      </c>
      <c r="E47" s="35">
        <f>_xlfn.FORECAST.LINEAR($B47,E$33:E46,$B$33:$B46)</f>
        <v>409.38200000000143</v>
      </c>
      <c r="F47" s="35">
        <f>_xlfn.FORECAST.LINEAR($B47,F$33:F46,$B$33:$B46)</f>
        <v>515.44400000001042</v>
      </c>
      <c r="G47" s="35">
        <f>_xlfn.FORECAST.LINEAR($B47,G$33:G46,$B$33:$B46)</f>
        <v>376.94200000000274</v>
      </c>
      <c r="H47" s="35">
        <f>_xlfn.FORECAST.LINEAR($B47,H$33:H46,$B$33:$B46)</f>
        <v>0</v>
      </c>
      <c r="I47" s="35">
        <f>_xlfn.FORECAST.LINEAR($B47,I$33:I46,$B$33:$B46)</f>
        <v>302.70999999999549</v>
      </c>
      <c r="J47" s="35">
        <f>_xlfn.FORECAST.LINEAR($B47,J$33:J46,$B$33:$B46)</f>
        <v>232.67599999999948</v>
      </c>
      <c r="K47" s="35">
        <f>_xlfn.FORECAST.LINEAR($B47,K$33:K46,$B$33:$B46)</f>
        <v>387.42599999998492</v>
      </c>
      <c r="L47" s="35">
        <f>_xlfn.FORECAST.LINEAR($B47,L$33:L46,$B$33:$B46)</f>
        <v>315.39399999999296</v>
      </c>
      <c r="M47" s="35">
        <f>_xlfn.FORECAST.LINEAR($B47,M$33:M46,$B$33:$B46)</f>
        <v>266.32800000000134</v>
      </c>
      <c r="N47" s="35">
        <f>_xlfn.FORECAST.LINEAR($B47,N$33:N46,$B$33:$B46)</f>
        <v>292.98799999999937</v>
      </c>
      <c r="O47" s="35">
        <f>_xlfn.FORECAST.LINEAR($B47,O$33:O46,$B$33:$B46)</f>
        <v>484.90000000000873</v>
      </c>
      <c r="P47" s="35">
        <f>_xlfn.FORECAST.LINEAR($B47,P$33:P46,$B$33:$B46)</f>
        <v>177.62999999999374</v>
      </c>
      <c r="Q47" s="35">
        <f>_xlfn.FORECAST.LINEAR($B47,Q$33:Q46,$B$33:$B46)</f>
        <v>258.06400000000212</v>
      </c>
      <c r="R47" s="35">
        <f>_xlfn.FORECAST.LINEAR($B47,R$33:R46,$B$33:$B46)</f>
        <v>168.11400000000026</v>
      </c>
      <c r="S47" s="35">
        <f>_xlfn.FORECAST.LINEAR($B47,S$33:S46,$B$33:$B46)</f>
        <v>160.10399999999936</v>
      </c>
      <c r="T47" s="35">
        <f>_xlfn.FORECAST.LINEAR($B47,T$33:T46,$B$33:$B46)</f>
        <v>453.59599999999045</v>
      </c>
      <c r="U47" s="35">
        <f>_xlfn.FORECAST.LINEAR($B47,U$33:U46,$B$33:$B46)</f>
        <v>311.10400000000482</v>
      </c>
      <c r="V47" s="35">
        <f>_xlfn.FORECAST.LINEAR($B47,V$33:V46,$B$33:$B46)</f>
        <v>90.434000000000196</v>
      </c>
      <c r="W47" s="64">
        <f>_xlfn.FORECAST.LINEAR($B47,W$33:W46,$B$33:$B46)</f>
        <v>265.28799999999683</v>
      </c>
      <c r="X47" s="61" cm="1">
        <f t="array" ref="X47">INDEX('Population projection'!$F$3:$F$23,MATCH(B47,'Population projection'!$B$3:$B$23,0),)</f>
        <v>13245112.418870445</v>
      </c>
      <c r="Y47" s="57">
        <f>X47*S47</f>
        <v>2120595478.7108252</v>
      </c>
    </row>
    <row r="48" spans="2:25" x14ac:dyDescent="0.2">
      <c r="B48" s="60">
        <v>2031</v>
      </c>
      <c r="C48" s="65">
        <f>_xlfn.FORECAST.LINEAR($B48,C$33:C46,$B$33:$B46)</f>
        <v>200.24799999999595</v>
      </c>
      <c r="D48" s="65">
        <f>_xlfn.FORECAST.LINEAR($B48,D$33:D46,$B$33:$B46)</f>
        <v>313.12800000000425</v>
      </c>
      <c r="E48" s="65">
        <f>_xlfn.FORECAST.LINEAR($B48,E$33:E46,$B$33:$B46)</f>
        <v>425.19700000000012</v>
      </c>
      <c r="F48" s="65">
        <f>_xlfn.FORECAST.LINEAR($B48,F$33:F46,$B$33:$B46)</f>
        <v>544.98900000000867</v>
      </c>
      <c r="G48" s="65">
        <f>_xlfn.FORECAST.LINEAR($B48,G$33:G46,$B$33:$B46)</f>
        <v>394.31600000000617</v>
      </c>
      <c r="H48" s="65">
        <f>_xlfn.FORECAST.LINEAR($B48,H$33:H46,$B$33:$B46)</f>
        <v>0</v>
      </c>
      <c r="I48" s="65">
        <f>_xlfn.FORECAST.LINEAR($B48,I$33:I46,$B$33:$B46)</f>
        <v>317.07599999999729</v>
      </c>
      <c r="J48" s="65">
        <f>_xlfn.FORECAST.LINEAR($B48,J$33:J46,$B$33:$B46)</f>
        <v>239.73899999999958</v>
      </c>
      <c r="K48" s="65">
        <f>_xlfn.FORECAST.LINEAR($B48,K$33:K46,$B$33:$B46)</f>
        <v>406.32799999998679</v>
      </c>
      <c r="L48" s="65">
        <f>_xlfn.FORECAST.LINEAR($B48,L$33:L46,$B$33:$B46)</f>
        <v>328.28599999999278</v>
      </c>
      <c r="M48" s="65">
        <f>_xlfn.FORECAST.LINEAR($B48,M$33:M46,$B$33:$B46)</f>
        <v>274.74300000000221</v>
      </c>
      <c r="N48" s="65">
        <f>_xlfn.FORECAST.LINEAR($B48,N$33:N46,$B$33:$B46)</f>
        <v>296.28599999999915</v>
      </c>
      <c r="O48" s="65">
        <f>_xlfn.FORECAST.LINEAR($B48,O$33:O46,$B$33:$B46)</f>
        <v>501.8610000000117</v>
      </c>
      <c r="P48" s="65">
        <f>_xlfn.FORECAST.LINEAR($B48,P$33:P46,$B$33:$B46)</f>
        <v>186.49699999999211</v>
      </c>
      <c r="Q48" s="65">
        <f>_xlfn.FORECAST.LINEAR($B48,Q$33:Q46,$B$33:$B46)</f>
        <v>263.38600000000406</v>
      </c>
      <c r="R48" s="65">
        <f>_xlfn.FORECAST.LINEAR($B48,R$33:R46,$B$33:$B46)</f>
        <v>167.35800000000017</v>
      </c>
      <c r="S48" s="65">
        <f>_xlfn.FORECAST.LINEAR($B48,S$33:S46,$B$33:$B46)</f>
        <v>166.01900000000023</v>
      </c>
      <c r="T48" s="65">
        <f>_xlfn.FORECAST.LINEAR($B48,T$33:T46,$B$33:$B46)</f>
        <v>471.11599999999453</v>
      </c>
      <c r="U48" s="65">
        <f>_xlfn.FORECAST.LINEAR($B48,U$33:U46,$B$33:$B46)</f>
        <v>318.25600000000486</v>
      </c>
      <c r="V48" s="65">
        <f>_xlfn.FORECAST.LINEAR($B48,V$33:V46,$B$33:$B46)</f>
        <v>91.927999999999884</v>
      </c>
      <c r="W48" s="66">
        <f>_xlfn.FORECAST.LINEAR($B48,W$33:W46,$B$33:$B46)</f>
        <v>278.36699999999473</v>
      </c>
      <c r="X48" s="62" cm="1">
        <f t="array" ref="X48">INDEX('Population projection'!$F$3:$F$23,MATCH(B48,'Population projection'!$B$3:$B$23,0),)</f>
        <v>13246265.690988546</v>
      </c>
      <c r="Y48" s="58">
        <f t="shared" si="4"/>
        <v>2199131783.7522306</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92BAE79-BDB4-9B4F-88EC-8EF0C2B7ABEB}">
          <x14:formula1>
            <xm:f>Expense!$B$2:$D$2</xm:f>
          </x14:formula1>
          <xm:sqref>B6 B30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E0658-10B2-D145-9D5D-678FFDDFAFCA}">
  <sheetPr>
    <tabColor theme="9" tint="0.79998168889431442"/>
  </sheetPr>
  <dimension ref="B1:V61"/>
  <sheetViews>
    <sheetView workbookViewId="0">
      <selection activeCell="F40" sqref="F40:F61"/>
    </sheetView>
  </sheetViews>
  <sheetFormatPr baseColWidth="10" defaultColWidth="8.83203125" defaultRowHeight="15" x14ac:dyDescent="0.2"/>
  <cols>
    <col min="1" max="1" width="5.5" customWidth="1"/>
    <col min="2" max="2" width="26.1640625" bestFit="1" customWidth="1"/>
    <col min="3" max="4" width="26.1640625" customWidth="1"/>
    <col min="5" max="15" width="13.1640625" bestFit="1" customWidth="1"/>
    <col min="19" max="19" width="13.83203125" customWidth="1"/>
  </cols>
  <sheetData>
    <row r="1" spans="2:22" x14ac:dyDescent="0.2">
      <c r="B1" t="s">
        <v>91</v>
      </c>
    </row>
    <row r="2" spans="2:22" ht="16" customHeight="1" x14ac:dyDescent="0.2">
      <c r="B2" s="89" t="s">
        <v>92</v>
      </c>
      <c r="C2" s="138">
        <v>22</v>
      </c>
      <c r="D2" s="98"/>
    </row>
    <row r="3" spans="2:22" ht="16" customHeight="1" x14ac:dyDescent="0.2">
      <c r="B3" s="91" t="s">
        <v>93</v>
      </c>
      <c r="C3" s="139">
        <f>25%</f>
        <v>0.25</v>
      </c>
      <c r="D3" s="71"/>
      <c r="E3" s="71"/>
    </row>
    <row r="4" spans="2:22" ht="16" customHeight="1" x14ac:dyDescent="0.2">
      <c r="B4" s="93" t="s">
        <v>94</v>
      </c>
      <c r="C4" s="140"/>
      <c r="E4" s="75"/>
    </row>
    <row r="7" spans="2:22" ht="13" customHeight="1" x14ac:dyDescent="0.2">
      <c r="D7" t="s">
        <v>1</v>
      </c>
      <c r="E7">
        <v>2021</v>
      </c>
      <c r="F7">
        <v>2022</v>
      </c>
      <c r="G7">
        <f t="shared" ref="G7:O7" si="0">F7+1</f>
        <v>2023</v>
      </c>
      <c r="H7">
        <f t="shared" si="0"/>
        <v>2024</v>
      </c>
      <c r="I7">
        <f t="shared" si="0"/>
        <v>2025</v>
      </c>
      <c r="J7">
        <f t="shared" si="0"/>
        <v>2026</v>
      </c>
      <c r="K7">
        <f t="shared" si="0"/>
        <v>2027</v>
      </c>
      <c r="L7">
        <f t="shared" si="0"/>
        <v>2028</v>
      </c>
      <c r="M7">
        <f t="shared" si="0"/>
        <v>2029</v>
      </c>
      <c r="N7">
        <f t="shared" si="0"/>
        <v>2030</v>
      </c>
      <c r="O7">
        <f t="shared" si="0"/>
        <v>2031</v>
      </c>
    </row>
    <row r="8" spans="2:22" ht="16" customHeight="1" thickBot="1" x14ac:dyDescent="0.25">
      <c r="B8" t="s">
        <v>95</v>
      </c>
      <c r="D8" t="s">
        <v>96</v>
      </c>
      <c r="E8" s="33">
        <v>1</v>
      </c>
      <c r="F8" s="150" cm="1">
        <f t="array" ref="F8">INDEX('Inflation projection'!$G$37:$G$46,MATCH('Player salary'!F7,'Inflation projection'!$B$37:$B$46,0),)</f>
        <v>1.0235390853527913</v>
      </c>
      <c r="G8" s="150" cm="1">
        <f t="array" ref="G8">INDEX('Inflation projection'!$G$37:$G$46,MATCH('Player salary'!G7,'Inflation projection'!$B$37:$B$46,0),)</f>
        <v>1.0435514027933994</v>
      </c>
      <c r="H8" s="150" cm="1">
        <f t="array" ref="H8">INDEX('Inflation projection'!$G$37:$G$46,MATCH('Player salary'!H7,'Inflation projection'!$B$37:$B$46,0),)</f>
        <v>1.0637931995885019</v>
      </c>
      <c r="I8" s="150" cm="1">
        <f t="array" ref="I8">INDEX('Inflation projection'!$G$37:$G$46,MATCH('Player salary'!I7,'Inflation projection'!$B$37:$B$46,0),)</f>
        <v>1.0844592137478972</v>
      </c>
      <c r="J8" s="150" cm="1">
        <f t="array" ref="J8">INDEX('Inflation projection'!$G$37:$G$46,MATCH('Player salary'!J7,'Inflation projection'!$B$37:$B$46,0),)</f>
        <v>1.1044466548661465</v>
      </c>
      <c r="K8" s="150" cm="1">
        <f t="array" ref="K8">INDEX('Inflation projection'!$G$37:$G$46,MATCH('Player salary'!K7,'Inflation projection'!$B$37:$B$46,0),)</f>
        <v>1.1327201883064359</v>
      </c>
      <c r="L8" s="150" cm="1">
        <f t="array" ref="L8">INDEX('Inflation projection'!$G$37:$G$46,MATCH('Player salary'!L7,'Inflation projection'!$B$37:$B$46,0),)</f>
        <v>1.1577055193192674</v>
      </c>
      <c r="M8" s="150" cm="1">
        <f t="array" ref="M8">INDEX('Inflation projection'!$G$37:$G$46,MATCH('Player salary'!M7,'Inflation projection'!$B$37:$B$46,0),)</f>
        <v>1.1865013371868167</v>
      </c>
      <c r="N8" s="150" cm="1">
        <f t="array" ref="N8">INDEX('Inflation projection'!$G$37:$G$46,MATCH('Player salary'!N7,'Inflation projection'!$B$37:$B$46,0),)</f>
        <v>1.2156983152357965</v>
      </c>
      <c r="O8" s="150" cm="1">
        <f t="array" ref="O8">INDEX('Inflation projection'!$G$37:$G$46,MATCH('Player salary'!O7,'Inflation projection'!$B$37:$B$46,0),)</f>
        <v>1.245804280193322</v>
      </c>
      <c r="Q8" s="146"/>
      <c r="R8" s="145" t="s">
        <v>97</v>
      </c>
      <c r="S8" s="149" t="s">
        <v>98</v>
      </c>
      <c r="T8" s="149" t="s">
        <v>99</v>
      </c>
      <c r="U8" s="149" t="s">
        <v>100</v>
      </c>
      <c r="V8" s="149" t="s">
        <v>101</v>
      </c>
    </row>
    <row r="9" spans="2:22" ht="16" thickBot="1" x14ac:dyDescent="0.25">
      <c r="B9" s="141">
        <v>1</v>
      </c>
      <c r="C9" s="98" t="str">
        <f t="shared" ref="C9:C30" si="1">R9</f>
        <v>F. Akumu</v>
      </c>
      <c r="D9" s="98" t="str">
        <f t="shared" ref="D9:D30" si="2">U9</f>
        <v>GK</v>
      </c>
      <c r="E9" s="142">
        <f t="shared" ref="E9:E30" si="3">S9</f>
        <v>5600000</v>
      </c>
      <c r="F9" s="143">
        <f t="shared" ref="F9:O18" si="4">F$8*$E9</f>
        <v>5731818.8779756306</v>
      </c>
      <c r="G9" s="143">
        <f t="shared" si="4"/>
        <v>5843887.8556430368</v>
      </c>
      <c r="H9" s="143">
        <f t="shared" si="4"/>
        <v>5957241.9176956108</v>
      </c>
      <c r="I9" s="143">
        <f t="shared" si="4"/>
        <v>6072971.5969882244</v>
      </c>
      <c r="J9" s="143">
        <f t="shared" si="4"/>
        <v>6184901.2672504205</v>
      </c>
      <c r="K9" s="143">
        <f t="shared" si="4"/>
        <v>6343233.0545160417</v>
      </c>
      <c r="L9" s="143">
        <f t="shared" si="4"/>
        <v>6483150.9081878969</v>
      </c>
      <c r="M9" s="143">
        <f t="shared" si="4"/>
        <v>6644407.4882461736</v>
      </c>
      <c r="N9" s="143">
        <f t="shared" si="4"/>
        <v>6807910.5653204601</v>
      </c>
      <c r="O9" s="143">
        <f t="shared" si="4"/>
        <v>6976503.9690826032</v>
      </c>
      <c r="Q9" s="147">
        <v>1</v>
      </c>
      <c r="R9" s="148" t="s">
        <v>102</v>
      </c>
      <c r="S9" s="148">
        <v>5600000</v>
      </c>
      <c r="T9" s="148">
        <v>18664904</v>
      </c>
      <c r="U9" s="148" t="s">
        <v>103</v>
      </c>
      <c r="V9" s="148">
        <v>3.3330190000000002</v>
      </c>
    </row>
    <row r="10" spans="2:22" ht="16" thickBot="1" x14ac:dyDescent="0.25">
      <c r="B10" s="63">
        <v>2</v>
      </c>
      <c r="C10" s="75" t="str">
        <f t="shared" si="1"/>
        <v>J. Turyasingura</v>
      </c>
      <c r="D10" s="75" t="str">
        <f t="shared" si="2"/>
        <v>GK</v>
      </c>
      <c r="E10" s="142">
        <f t="shared" si="3"/>
        <v>5730000</v>
      </c>
      <c r="F10" s="143">
        <f t="shared" si="4"/>
        <v>5864878.9590714937</v>
      </c>
      <c r="G10" s="143">
        <f t="shared" si="4"/>
        <v>5979549.538006179</v>
      </c>
      <c r="H10" s="143">
        <f t="shared" si="4"/>
        <v>6095535.033642116</v>
      </c>
      <c r="I10" s="143">
        <f t="shared" si="4"/>
        <v>6213951.2947754515</v>
      </c>
      <c r="J10" s="143">
        <f t="shared" si="4"/>
        <v>6328479.3323830189</v>
      </c>
      <c r="K10" s="143">
        <f t="shared" si="4"/>
        <v>6490486.6789958784</v>
      </c>
      <c r="L10" s="143">
        <f t="shared" si="4"/>
        <v>6633652.6256994018</v>
      </c>
      <c r="M10" s="143">
        <f t="shared" si="4"/>
        <v>6798652.6620804602</v>
      </c>
      <c r="N10" s="143">
        <f t="shared" si="4"/>
        <v>6965951.3463011142</v>
      </c>
      <c r="O10" s="143">
        <f t="shared" si="4"/>
        <v>7138458.5255077351</v>
      </c>
      <c r="Q10" s="147">
        <v>2</v>
      </c>
      <c r="R10" s="148" t="s">
        <v>104</v>
      </c>
      <c r="S10" s="148">
        <v>5730000</v>
      </c>
      <c r="T10" s="148">
        <v>17958514</v>
      </c>
      <c r="U10" s="148" t="s">
        <v>103</v>
      </c>
      <c r="V10" s="148">
        <v>3.1341209999999999</v>
      </c>
    </row>
    <row r="11" spans="2:22" ht="16" thickBot="1" x14ac:dyDescent="0.25">
      <c r="B11" s="141">
        <v>3</v>
      </c>
      <c r="C11" s="75" t="str">
        <f t="shared" si="1"/>
        <v>F. Ithungu</v>
      </c>
      <c r="D11" s="75" t="str">
        <f t="shared" si="2"/>
        <v>GK</v>
      </c>
      <c r="E11" s="142">
        <f t="shared" si="3"/>
        <v>5780000</v>
      </c>
      <c r="F11" s="143">
        <f t="shared" si="4"/>
        <v>5916055.9133391334</v>
      </c>
      <c r="G11" s="143">
        <f t="shared" si="4"/>
        <v>6031727.1081458488</v>
      </c>
      <c r="H11" s="143">
        <f t="shared" si="4"/>
        <v>6148724.6936215414</v>
      </c>
      <c r="I11" s="143">
        <f t="shared" si="4"/>
        <v>6268174.2554628458</v>
      </c>
      <c r="J11" s="143">
        <f t="shared" si="4"/>
        <v>6383701.6651263265</v>
      </c>
      <c r="K11" s="143">
        <f t="shared" si="4"/>
        <v>6547122.6884111995</v>
      </c>
      <c r="L11" s="143">
        <f t="shared" si="4"/>
        <v>6691537.9016653653</v>
      </c>
      <c r="M11" s="143">
        <f t="shared" si="4"/>
        <v>6857977.7289398005</v>
      </c>
      <c r="N11" s="143">
        <f t="shared" si="4"/>
        <v>7026736.2620629035</v>
      </c>
      <c r="O11" s="143">
        <f t="shared" si="4"/>
        <v>7200748.739517401</v>
      </c>
      <c r="Q11" s="147">
        <v>3</v>
      </c>
      <c r="R11" s="148" t="s">
        <v>105</v>
      </c>
      <c r="S11" s="148">
        <v>5780000</v>
      </c>
      <c r="T11" s="148">
        <v>16655731</v>
      </c>
      <c r="U11" s="148" t="s">
        <v>103</v>
      </c>
      <c r="V11" s="148">
        <v>2.8816139999999999</v>
      </c>
    </row>
    <row r="12" spans="2:22" ht="16" thickBot="1" x14ac:dyDescent="0.25">
      <c r="B12" s="63">
        <v>4</v>
      </c>
      <c r="C12" s="75" t="str">
        <f t="shared" si="1"/>
        <v>U. Arthur</v>
      </c>
      <c r="D12" s="75" t="str">
        <f t="shared" si="2"/>
        <v>DF</v>
      </c>
      <c r="E12" s="142">
        <f t="shared" si="3"/>
        <v>7080000</v>
      </c>
      <c r="F12" s="143">
        <f t="shared" si="4"/>
        <v>7246656.7242977619</v>
      </c>
      <c r="G12" s="143">
        <f t="shared" si="4"/>
        <v>7388343.9317772677</v>
      </c>
      <c r="H12" s="143">
        <f t="shared" si="4"/>
        <v>7531655.8530865936</v>
      </c>
      <c r="I12" s="143">
        <f t="shared" si="4"/>
        <v>7677971.2333351122</v>
      </c>
      <c r="J12" s="143">
        <f t="shared" si="4"/>
        <v>7819482.3164523169</v>
      </c>
      <c r="K12" s="143">
        <f t="shared" si="4"/>
        <v>8019658.9332095664</v>
      </c>
      <c r="L12" s="143">
        <f t="shared" si="4"/>
        <v>8196555.0767804133</v>
      </c>
      <c r="M12" s="143">
        <f t="shared" si="4"/>
        <v>8400429.4672826622</v>
      </c>
      <c r="N12" s="143">
        <f t="shared" si="4"/>
        <v>8607144.0718694385</v>
      </c>
      <c r="O12" s="143">
        <f t="shared" si="4"/>
        <v>8820294.3037687205</v>
      </c>
      <c r="Q12" s="147">
        <v>4</v>
      </c>
      <c r="R12" s="148" t="s">
        <v>106</v>
      </c>
      <c r="S12" s="148">
        <v>7080000</v>
      </c>
      <c r="T12" s="148">
        <v>22584047</v>
      </c>
      <c r="U12" s="148" t="s">
        <v>107</v>
      </c>
      <c r="V12" s="148">
        <v>3.1898369999999998</v>
      </c>
    </row>
    <row r="13" spans="2:22" ht="16" thickBot="1" x14ac:dyDescent="0.25">
      <c r="B13" s="141">
        <v>5</v>
      </c>
      <c r="C13" s="75" t="str">
        <f t="shared" si="1"/>
        <v>M. Beck</v>
      </c>
      <c r="D13" s="75" t="str">
        <f t="shared" si="2"/>
        <v>DF</v>
      </c>
      <c r="E13" s="142">
        <f t="shared" si="3"/>
        <v>8050000</v>
      </c>
      <c r="F13" s="143">
        <f t="shared" si="4"/>
        <v>8239489.6370899696</v>
      </c>
      <c r="G13" s="143">
        <f t="shared" si="4"/>
        <v>8400588.7924868651</v>
      </c>
      <c r="H13" s="143">
        <f t="shared" si="4"/>
        <v>8563535.25668744</v>
      </c>
      <c r="I13" s="143">
        <f t="shared" si="4"/>
        <v>8729896.6706705727</v>
      </c>
      <c r="J13" s="143">
        <f t="shared" si="4"/>
        <v>8890795.5716724787</v>
      </c>
      <c r="K13" s="143">
        <f t="shared" si="4"/>
        <v>9118397.5158668086</v>
      </c>
      <c r="L13" s="143">
        <f t="shared" si="4"/>
        <v>9319529.4305201024</v>
      </c>
      <c r="M13" s="143">
        <f t="shared" si="4"/>
        <v>9551335.7643538751</v>
      </c>
      <c r="N13" s="143">
        <f t="shared" si="4"/>
        <v>9786371.4376481622</v>
      </c>
      <c r="O13" s="143">
        <f t="shared" si="4"/>
        <v>10028724.455556242</v>
      </c>
      <c r="Q13" s="147">
        <v>5</v>
      </c>
      <c r="R13" s="148" t="s">
        <v>108</v>
      </c>
      <c r="S13" s="148">
        <v>8050000</v>
      </c>
      <c r="T13" s="148">
        <v>25478925</v>
      </c>
      <c r="U13" s="148" t="s">
        <v>107</v>
      </c>
      <c r="V13" s="148">
        <v>3.1650839999999998</v>
      </c>
    </row>
    <row r="14" spans="2:22" ht="16" thickBot="1" x14ac:dyDescent="0.25">
      <c r="B14" s="63">
        <v>6</v>
      </c>
      <c r="C14" s="75" t="str">
        <f t="shared" si="1"/>
        <v>C. Baluka</v>
      </c>
      <c r="D14" s="75" t="str">
        <f t="shared" si="2"/>
        <v>DF</v>
      </c>
      <c r="E14" s="142">
        <f t="shared" si="3"/>
        <v>7760000</v>
      </c>
      <c r="F14" s="143">
        <f t="shared" si="4"/>
        <v>7942663.3023376605</v>
      </c>
      <c r="G14" s="143">
        <f t="shared" si="4"/>
        <v>8097958.8856767798</v>
      </c>
      <c r="H14" s="143">
        <f t="shared" si="4"/>
        <v>8255035.2288067751</v>
      </c>
      <c r="I14" s="143">
        <f t="shared" si="4"/>
        <v>8415403.4986836817</v>
      </c>
      <c r="J14" s="143">
        <f t="shared" si="4"/>
        <v>8570506.0417612959</v>
      </c>
      <c r="K14" s="143">
        <f t="shared" si="4"/>
        <v>8789908.6612579431</v>
      </c>
      <c r="L14" s="143">
        <f t="shared" si="4"/>
        <v>8983794.8299175147</v>
      </c>
      <c r="M14" s="143">
        <f t="shared" si="4"/>
        <v>9207250.3765696976</v>
      </c>
      <c r="N14" s="143">
        <f t="shared" si="4"/>
        <v>9433818.9262297805</v>
      </c>
      <c r="O14" s="143">
        <f t="shared" si="4"/>
        <v>9667441.214300178</v>
      </c>
      <c r="Q14" s="147">
        <v>6</v>
      </c>
      <c r="R14" s="148" t="s">
        <v>109</v>
      </c>
      <c r="S14" s="148">
        <v>7760000</v>
      </c>
      <c r="T14" s="148">
        <v>24264759</v>
      </c>
      <c r="U14" s="148" t="s">
        <v>107</v>
      </c>
      <c r="V14" s="148">
        <v>3.1269019999999998</v>
      </c>
    </row>
    <row r="15" spans="2:22" ht="16" thickBot="1" x14ac:dyDescent="0.25">
      <c r="B15" s="141">
        <v>7</v>
      </c>
      <c r="C15" s="75" t="str">
        <f t="shared" si="1"/>
        <v>Q. Sano</v>
      </c>
      <c r="D15" s="75" t="str">
        <f t="shared" si="2"/>
        <v>DF</v>
      </c>
      <c r="E15" s="142">
        <f t="shared" si="3"/>
        <v>7200000</v>
      </c>
      <c r="F15" s="143">
        <f t="shared" si="4"/>
        <v>7369481.4145400971</v>
      </c>
      <c r="G15" s="143">
        <f t="shared" si="4"/>
        <v>7513570.1001124755</v>
      </c>
      <c r="H15" s="143">
        <f t="shared" si="4"/>
        <v>7659311.0370372143</v>
      </c>
      <c r="I15" s="143">
        <f t="shared" si="4"/>
        <v>7808106.3389848601</v>
      </c>
      <c r="J15" s="143">
        <f t="shared" si="4"/>
        <v>7952015.9150362546</v>
      </c>
      <c r="K15" s="143">
        <f t="shared" si="4"/>
        <v>8155585.3558063386</v>
      </c>
      <c r="L15" s="143">
        <f t="shared" si="4"/>
        <v>8335479.7390987249</v>
      </c>
      <c r="M15" s="143">
        <f t="shared" si="4"/>
        <v>8542809.6277450807</v>
      </c>
      <c r="N15" s="143">
        <f t="shared" si="4"/>
        <v>8753027.8696977347</v>
      </c>
      <c r="O15" s="143">
        <f t="shared" si="4"/>
        <v>8969790.817391919</v>
      </c>
      <c r="Q15" s="147">
        <v>7</v>
      </c>
      <c r="R15" s="148" t="s">
        <v>110</v>
      </c>
      <c r="S15" s="148">
        <v>7200000</v>
      </c>
      <c r="T15" s="148">
        <v>21730001</v>
      </c>
      <c r="U15" s="148" t="s">
        <v>107</v>
      </c>
      <c r="V15" s="148">
        <v>3.0180560000000001</v>
      </c>
    </row>
    <row r="16" spans="2:22" ht="16" thickBot="1" x14ac:dyDescent="0.25">
      <c r="B16" s="63">
        <v>8</v>
      </c>
      <c r="C16" s="75" t="str">
        <f t="shared" si="1"/>
        <v>N. Tamura</v>
      </c>
      <c r="D16" s="75" t="str">
        <f t="shared" si="2"/>
        <v>DF</v>
      </c>
      <c r="E16" s="142">
        <f t="shared" si="3"/>
        <v>8240000</v>
      </c>
      <c r="F16" s="143">
        <f t="shared" si="4"/>
        <v>8433962.0633070003</v>
      </c>
      <c r="G16" s="143">
        <f t="shared" si="4"/>
        <v>8598863.5590176117</v>
      </c>
      <c r="H16" s="143">
        <f t="shared" si="4"/>
        <v>8765655.964609256</v>
      </c>
      <c r="I16" s="143">
        <f t="shared" si="4"/>
        <v>8935943.9212826733</v>
      </c>
      <c r="J16" s="143">
        <f t="shared" si="4"/>
        <v>9100640.4360970464</v>
      </c>
      <c r="K16" s="143">
        <f t="shared" si="4"/>
        <v>9333614.3516450319</v>
      </c>
      <c r="L16" s="143">
        <f t="shared" si="4"/>
        <v>9539493.4791907631</v>
      </c>
      <c r="M16" s="143">
        <f t="shared" si="4"/>
        <v>9776771.0184193701</v>
      </c>
      <c r="N16" s="143">
        <f t="shared" si="4"/>
        <v>10017354.117542963</v>
      </c>
      <c r="O16" s="143">
        <f t="shared" si="4"/>
        <v>10265427.268792974</v>
      </c>
      <c r="Q16" s="147">
        <v>8</v>
      </c>
      <c r="R16" s="148" t="s">
        <v>111</v>
      </c>
      <c r="S16" s="148">
        <v>8240000</v>
      </c>
      <c r="T16" s="148">
        <v>23053730</v>
      </c>
      <c r="U16" s="148" t="s">
        <v>107</v>
      </c>
      <c r="V16" s="148">
        <v>2.7977829999999999</v>
      </c>
    </row>
    <row r="17" spans="2:22" ht="16" thickBot="1" x14ac:dyDescent="0.25">
      <c r="B17" s="141">
        <v>9</v>
      </c>
      <c r="C17" s="75" t="str">
        <f t="shared" si="1"/>
        <v>O. Balog</v>
      </c>
      <c r="D17" s="75" t="str">
        <f t="shared" si="2"/>
        <v>DF</v>
      </c>
      <c r="E17" s="142">
        <f t="shared" si="3"/>
        <v>9730000</v>
      </c>
      <c r="F17" s="143">
        <f t="shared" si="4"/>
        <v>9959035.3004826587</v>
      </c>
      <c r="G17" s="143">
        <f t="shared" si="4"/>
        <v>10153755.149179777</v>
      </c>
      <c r="H17" s="143">
        <f t="shared" si="4"/>
        <v>10350707.831996124</v>
      </c>
      <c r="I17" s="143">
        <f t="shared" si="4"/>
        <v>10551788.149767039</v>
      </c>
      <c r="J17" s="143">
        <f t="shared" si="4"/>
        <v>10746265.951847605</v>
      </c>
      <c r="K17" s="143">
        <f t="shared" si="4"/>
        <v>11021367.432221621</v>
      </c>
      <c r="L17" s="143">
        <f t="shared" si="4"/>
        <v>11264474.702976471</v>
      </c>
      <c r="M17" s="143">
        <f t="shared" si="4"/>
        <v>11544658.010827726</v>
      </c>
      <c r="N17" s="143">
        <f t="shared" si="4"/>
        <v>11828744.6072443</v>
      </c>
      <c r="O17" s="143">
        <f t="shared" si="4"/>
        <v>12121675.646281023</v>
      </c>
      <c r="Q17" s="147">
        <v>9</v>
      </c>
      <c r="R17" s="148" t="s">
        <v>112</v>
      </c>
      <c r="S17" s="148">
        <v>9730000</v>
      </c>
      <c r="T17" s="148">
        <v>17588493</v>
      </c>
      <c r="U17" s="148" t="s">
        <v>107</v>
      </c>
      <c r="V17" s="148">
        <v>1.8076559999999999</v>
      </c>
    </row>
    <row r="18" spans="2:22" ht="16" thickBot="1" x14ac:dyDescent="0.25">
      <c r="B18" s="63">
        <v>10</v>
      </c>
      <c r="C18" s="75" t="str">
        <f t="shared" si="1"/>
        <v>P. Chi</v>
      </c>
      <c r="D18" s="75" t="str">
        <f t="shared" si="2"/>
        <v>DF</v>
      </c>
      <c r="E18" s="142">
        <f t="shared" si="3"/>
        <v>12610000</v>
      </c>
      <c r="F18" s="143">
        <f t="shared" si="4"/>
        <v>12906827.866298698</v>
      </c>
      <c r="G18" s="143">
        <f t="shared" si="4"/>
        <v>13159183.189224767</v>
      </c>
      <c r="H18" s="143">
        <f t="shared" si="4"/>
        <v>13414432.24681101</v>
      </c>
      <c r="I18" s="143">
        <f t="shared" si="4"/>
        <v>13675030.685360985</v>
      </c>
      <c r="J18" s="143">
        <f t="shared" si="4"/>
        <v>13927072.317862106</v>
      </c>
      <c r="K18" s="143">
        <f t="shared" si="4"/>
        <v>14283601.574544158</v>
      </c>
      <c r="L18" s="143">
        <f t="shared" si="4"/>
        <v>14598666.598615961</v>
      </c>
      <c r="M18" s="143">
        <f t="shared" si="4"/>
        <v>14961781.861925758</v>
      </c>
      <c r="N18" s="143">
        <f t="shared" si="4"/>
        <v>15329955.755123394</v>
      </c>
      <c r="O18" s="143">
        <f t="shared" si="4"/>
        <v>15709591.97323779</v>
      </c>
      <c r="Q18" s="147">
        <v>10</v>
      </c>
      <c r="R18" s="148" t="s">
        <v>113</v>
      </c>
      <c r="S18" s="148">
        <v>12610000</v>
      </c>
      <c r="T18" s="148">
        <v>19112487</v>
      </c>
      <c r="U18" s="148" t="s">
        <v>107</v>
      </c>
      <c r="V18" s="148">
        <v>1.5156609999999999</v>
      </c>
    </row>
    <row r="19" spans="2:22" ht="16" thickBot="1" x14ac:dyDescent="0.25">
      <c r="B19" s="141">
        <v>11</v>
      </c>
      <c r="C19" s="75" t="str">
        <f t="shared" si="1"/>
        <v>J. Namirembe</v>
      </c>
      <c r="D19" s="75" t="str">
        <f t="shared" si="2"/>
        <v>MF</v>
      </c>
      <c r="E19" s="142">
        <f t="shared" si="3"/>
        <v>8330000</v>
      </c>
      <c r="F19" s="143">
        <f t="shared" ref="F19:O30" si="5">F$8*$E19</f>
        <v>8526080.5809887517</v>
      </c>
      <c r="G19" s="143">
        <f t="shared" si="5"/>
        <v>8692783.1852690168</v>
      </c>
      <c r="H19" s="143">
        <f t="shared" si="5"/>
        <v>8861397.3525722213</v>
      </c>
      <c r="I19" s="143">
        <f t="shared" si="5"/>
        <v>9033545.2505199835</v>
      </c>
      <c r="J19" s="143">
        <f t="shared" si="5"/>
        <v>9200040.6350350007</v>
      </c>
      <c r="K19" s="143">
        <f t="shared" si="5"/>
        <v>9435559.1685926113</v>
      </c>
      <c r="L19" s="143">
        <f t="shared" si="5"/>
        <v>9643686.9759294968</v>
      </c>
      <c r="M19" s="143">
        <f t="shared" si="5"/>
        <v>9883556.1387661826</v>
      </c>
      <c r="N19" s="143">
        <f t="shared" si="5"/>
        <v>10126766.965914184</v>
      </c>
      <c r="O19" s="143">
        <f t="shared" si="5"/>
        <v>10377549.654010372</v>
      </c>
      <c r="Q19" s="147">
        <v>11</v>
      </c>
      <c r="R19" s="148" t="s">
        <v>114</v>
      </c>
      <c r="S19" s="148">
        <v>8330000</v>
      </c>
      <c r="T19" s="148">
        <v>31832469</v>
      </c>
      <c r="U19" s="148" t="s">
        <v>115</v>
      </c>
      <c r="V19" s="148">
        <v>3.8214250000000001</v>
      </c>
    </row>
    <row r="20" spans="2:22" ht="16" thickBot="1" x14ac:dyDescent="0.25">
      <c r="B20" s="63">
        <v>12</v>
      </c>
      <c r="C20" s="75" t="str">
        <f t="shared" si="1"/>
        <v>G. Jankowski</v>
      </c>
      <c r="D20" s="75" t="str">
        <f t="shared" si="2"/>
        <v>MF</v>
      </c>
      <c r="E20" s="142">
        <f t="shared" si="3"/>
        <v>9020000</v>
      </c>
      <c r="F20" s="143">
        <f t="shared" si="5"/>
        <v>9232322.5498821773</v>
      </c>
      <c r="G20" s="143">
        <f t="shared" si="5"/>
        <v>9412833.6531964634</v>
      </c>
      <c r="H20" s="143">
        <f t="shared" si="5"/>
        <v>9595414.6602882873</v>
      </c>
      <c r="I20" s="143">
        <f t="shared" si="5"/>
        <v>9781822.1080060322</v>
      </c>
      <c r="J20" s="143">
        <f t="shared" si="5"/>
        <v>9962108.8268926404</v>
      </c>
      <c r="K20" s="143">
        <f t="shared" si="5"/>
        <v>10217136.098524053</v>
      </c>
      <c r="L20" s="143">
        <f t="shared" si="5"/>
        <v>10442503.784259792</v>
      </c>
      <c r="M20" s="143">
        <f t="shared" si="5"/>
        <v>10702242.061425086</v>
      </c>
      <c r="N20" s="143">
        <f t="shared" si="5"/>
        <v>10965598.803426884</v>
      </c>
      <c r="O20" s="143">
        <f t="shared" si="5"/>
        <v>11237154.607343765</v>
      </c>
      <c r="Q20" s="147">
        <v>12</v>
      </c>
      <c r="R20" s="148" t="s">
        <v>116</v>
      </c>
      <c r="S20" s="148">
        <v>9020000</v>
      </c>
      <c r="T20" s="148">
        <v>31639044</v>
      </c>
      <c r="U20" s="148" t="s">
        <v>115</v>
      </c>
      <c r="V20" s="148">
        <v>3.5076550000000002</v>
      </c>
    </row>
    <row r="21" spans="2:22" ht="16" thickBot="1" x14ac:dyDescent="0.25">
      <c r="B21" s="141">
        <v>13</v>
      </c>
      <c r="C21" s="75" t="str">
        <f t="shared" si="1"/>
        <v>D. Bengtsson</v>
      </c>
      <c r="D21" s="75" t="str">
        <f t="shared" si="2"/>
        <v>MF</v>
      </c>
      <c r="E21" s="142">
        <f t="shared" si="3"/>
        <v>8190000</v>
      </c>
      <c r="F21" s="143">
        <f t="shared" si="5"/>
        <v>8382785.1090393607</v>
      </c>
      <c r="G21" s="143">
        <f t="shared" si="5"/>
        <v>8546685.9888779409</v>
      </c>
      <c r="H21" s="143">
        <f t="shared" si="5"/>
        <v>8712466.3046298306</v>
      </c>
      <c r="I21" s="143">
        <f t="shared" si="5"/>
        <v>8881720.9605952781</v>
      </c>
      <c r="J21" s="143">
        <f t="shared" si="5"/>
        <v>9045418.1033537388</v>
      </c>
      <c r="K21" s="143">
        <f t="shared" si="5"/>
        <v>9276978.3422297109</v>
      </c>
      <c r="L21" s="143">
        <f t="shared" si="5"/>
        <v>9481608.2032248005</v>
      </c>
      <c r="M21" s="143">
        <f t="shared" si="5"/>
        <v>9717445.9515600298</v>
      </c>
      <c r="N21" s="143">
        <f t="shared" si="5"/>
        <v>9956569.2017811742</v>
      </c>
      <c r="O21" s="143">
        <f t="shared" si="5"/>
        <v>10203137.054783307</v>
      </c>
      <c r="Q21" s="147">
        <v>13</v>
      </c>
      <c r="R21" s="148" t="s">
        <v>117</v>
      </c>
      <c r="S21" s="148">
        <v>8190000</v>
      </c>
      <c r="T21" s="148">
        <v>27437770</v>
      </c>
      <c r="U21" s="148" t="s">
        <v>115</v>
      </c>
      <c r="V21" s="148">
        <v>3.350155</v>
      </c>
    </row>
    <row r="22" spans="2:22" ht="16" thickBot="1" x14ac:dyDescent="0.25">
      <c r="B22" s="63">
        <v>14</v>
      </c>
      <c r="C22" s="75" t="str">
        <f t="shared" si="1"/>
        <v>Q. Gruber</v>
      </c>
      <c r="D22" s="75" t="str">
        <f t="shared" si="2"/>
        <v>MF</v>
      </c>
      <c r="E22" s="142">
        <f t="shared" si="3"/>
        <v>8310000</v>
      </c>
      <c r="F22" s="143">
        <f t="shared" si="5"/>
        <v>8505609.7992816959</v>
      </c>
      <c r="G22" s="143">
        <f t="shared" si="5"/>
        <v>8671912.1572131496</v>
      </c>
      <c r="H22" s="143">
        <f t="shared" si="5"/>
        <v>8840121.4885804504</v>
      </c>
      <c r="I22" s="143">
        <f t="shared" si="5"/>
        <v>9011856.066245025</v>
      </c>
      <c r="J22" s="143">
        <f t="shared" si="5"/>
        <v>9177951.7019376773</v>
      </c>
      <c r="K22" s="143">
        <f t="shared" si="5"/>
        <v>9412904.7648264822</v>
      </c>
      <c r="L22" s="143">
        <f t="shared" si="5"/>
        <v>9620532.8655431122</v>
      </c>
      <c r="M22" s="143">
        <f t="shared" si="5"/>
        <v>9859826.1120224465</v>
      </c>
      <c r="N22" s="143">
        <f t="shared" si="5"/>
        <v>10102452.999609469</v>
      </c>
      <c r="O22" s="143">
        <f t="shared" si="5"/>
        <v>10352633.568406506</v>
      </c>
      <c r="Q22" s="147">
        <v>14</v>
      </c>
      <c r="R22" s="148" t="s">
        <v>118</v>
      </c>
      <c r="S22" s="148">
        <v>8310000</v>
      </c>
      <c r="T22" s="148">
        <v>27269424</v>
      </c>
      <c r="U22" s="148" t="s">
        <v>115</v>
      </c>
      <c r="V22" s="148">
        <v>3.2815189999999999</v>
      </c>
    </row>
    <row r="23" spans="2:22" ht="16" thickBot="1" x14ac:dyDescent="0.25">
      <c r="B23" s="141">
        <v>15</v>
      </c>
      <c r="C23" s="75" t="str">
        <f t="shared" si="1"/>
        <v>L. Leibowitz</v>
      </c>
      <c r="D23" s="75" t="str">
        <f t="shared" si="2"/>
        <v>MF</v>
      </c>
      <c r="E23" s="142">
        <f t="shared" si="3"/>
        <v>8600000</v>
      </c>
      <c r="F23" s="143">
        <f t="shared" si="5"/>
        <v>8802436.1340340041</v>
      </c>
      <c r="G23" s="143">
        <f t="shared" si="5"/>
        <v>8974542.0640232358</v>
      </c>
      <c r="H23" s="143">
        <f t="shared" si="5"/>
        <v>9148621.5164611172</v>
      </c>
      <c r="I23" s="143">
        <f t="shared" si="5"/>
        <v>9326349.238231916</v>
      </c>
      <c r="J23" s="143">
        <f t="shared" si="5"/>
        <v>9498241.2318488602</v>
      </c>
      <c r="K23" s="143">
        <f t="shared" si="5"/>
        <v>9741393.6194353495</v>
      </c>
      <c r="L23" s="143">
        <f t="shared" si="5"/>
        <v>9956267.4661456998</v>
      </c>
      <c r="M23" s="143">
        <f t="shared" si="5"/>
        <v>10203911.499806624</v>
      </c>
      <c r="N23" s="143">
        <f t="shared" si="5"/>
        <v>10455005.51102785</v>
      </c>
      <c r="O23" s="143">
        <f t="shared" si="5"/>
        <v>10713916.809662569</v>
      </c>
      <c r="Q23" s="147">
        <v>15</v>
      </c>
      <c r="R23" s="148" t="s">
        <v>119</v>
      </c>
      <c r="S23" s="148">
        <v>8600000</v>
      </c>
      <c r="T23" s="148">
        <v>28152979</v>
      </c>
      <c r="U23" s="148" t="s">
        <v>115</v>
      </c>
      <c r="V23" s="148">
        <v>3.2736019999999999</v>
      </c>
    </row>
    <row r="24" spans="2:22" ht="16" thickBot="1" x14ac:dyDescent="0.25">
      <c r="B24" s="63">
        <v>16</v>
      </c>
      <c r="C24" s="75" t="str">
        <f t="shared" si="1"/>
        <v>S. Barman</v>
      </c>
      <c r="D24" s="75" t="str">
        <f t="shared" si="2"/>
        <v>MF</v>
      </c>
      <c r="E24" s="142">
        <f t="shared" si="3"/>
        <v>8680000</v>
      </c>
      <c r="F24" s="143">
        <f t="shared" si="5"/>
        <v>8884319.2608622275</v>
      </c>
      <c r="G24" s="143">
        <f t="shared" si="5"/>
        <v>9058026.1762467064</v>
      </c>
      <c r="H24" s="143">
        <f t="shared" si="5"/>
        <v>9233724.972428197</v>
      </c>
      <c r="I24" s="143">
        <f t="shared" si="5"/>
        <v>9413105.9753317479</v>
      </c>
      <c r="J24" s="143">
        <f t="shared" si="5"/>
        <v>9586596.9642381519</v>
      </c>
      <c r="K24" s="143">
        <f t="shared" si="5"/>
        <v>9832011.2344998643</v>
      </c>
      <c r="L24" s="143">
        <f t="shared" si="5"/>
        <v>10048883.90769124</v>
      </c>
      <c r="M24" s="143">
        <f t="shared" si="5"/>
        <v>10298831.606781568</v>
      </c>
      <c r="N24" s="143">
        <f t="shared" si="5"/>
        <v>10552261.376246713</v>
      </c>
      <c r="O24" s="143">
        <f t="shared" si="5"/>
        <v>10813581.152078034</v>
      </c>
      <c r="Q24" s="147">
        <v>16</v>
      </c>
      <c r="R24" s="148" t="s">
        <v>120</v>
      </c>
      <c r="S24" s="148">
        <v>8680000</v>
      </c>
      <c r="T24" s="148">
        <v>27486384</v>
      </c>
      <c r="U24" s="148" t="s">
        <v>115</v>
      </c>
      <c r="V24" s="148">
        <v>3.1666340000000002</v>
      </c>
    </row>
    <row r="25" spans="2:22" ht="16" thickBot="1" x14ac:dyDescent="0.25">
      <c r="B25" s="141">
        <v>17</v>
      </c>
      <c r="C25" s="75" t="str">
        <f t="shared" si="1"/>
        <v>S. Nabasa</v>
      </c>
      <c r="D25" s="75" t="str">
        <f t="shared" si="2"/>
        <v>MF</v>
      </c>
      <c r="E25" s="142">
        <f t="shared" si="3"/>
        <v>10010000</v>
      </c>
      <c r="F25" s="143">
        <f t="shared" si="5"/>
        <v>10245626.244381441</v>
      </c>
      <c r="G25" s="143">
        <f t="shared" si="5"/>
        <v>10445949.541961929</v>
      </c>
      <c r="H25" s="143">
        <f t="shared" si="5"/>
        <v>10648569.927880904</v>
      </c>
      <c r="I25" s="143">
        <f t="shared" si="5"/>
        <v>10855436.729616452</v>
      </c>
      <c r="J25" s="143">
        <f t="shared" si="5"/>
        <v>11055511.015210126</v>
      </c>
      <c r="K25" s="143">
        <f t="shared" si="5"/>
        <v>11338529.084947424</v>
      </c>
      <c r="L25" s="143">
        <f t="shared" si="5"/>
        <v>11588632.248385867</v>
      </c>
      <c r="M25" s="143">
        <f t="shared" si="5"/>
        <v>11876878.385240035</v>
      </c>
      <c r="N25" s="143">
        <f t="shared" si="5"/>
        <v>12169140.135510324</v>
      </c>
      <c r="O25" s="143">
        <f t="shared" si="5"/>
        <v>12470500.844735153</v>
      </c>
      <c r="Q25" s="147">
        <v>17</v>
      </c>
      <c r="R25" s="148" t="s">
        <v>121</v>
      </c>
      <c r="S25" s="148">
        <v>10010000</v>
      </c>
      <c r="T25" s="148">
        <v>30786571</v>
      </c>
      <c r="U25" s="148" t="s">
        <v>115</v>
      </c>
      <c r="V25" s="148">
        <v>3.0755810000000001</v>
      </c>
    </row>
    <row r="26" spans="2:22" ht="16" thickBot="1" x14ac:dyDescent="0.25">
      <c r="B26" s="63">
        <v>18</v>
      </c>
      <c r="C26" s="75" t="str">
        <f t="shared" si="1"/>
        <v>A. Kyarikunda</v>
      </c>
      <c r="D26" s="75" t="str">
        <f t="shared" si="2"/>
        <v>FW</v>
      </c>
      <c r="E26" s="142">
        <f t="shared" si="3"/>
        <v>8870000</v>
      </c>
      <c r="F26" s="143">
        <f t="shared" si="5"/>
        <v>9078791.6870792583</v>
      </c>
      <c r="G26" s="143">
        <f t="shared" si="5"/>
        <v>9256300.942777453</v>
      </c>
      <c r="H26" s="143">
        <f t="shared" si="5"/>
        <v>9435845.6803500131</v>
      </c>
      <c r="I26" s="143">
        <f t="shared" si="5"/>
        <v>9619153.2259438485</v>
      </c>
      <c r="J26" s="143">
        <f t="shared" si="5"/>
        <v>9796441.8286627196</v>
      </c>
      <c r="K26" s="143">
        <f t="shared" si="5"/>
        <v>10047228.070278088</v>
      </c>
      <c r="L26" s="143">
        <f t="shared" si="5"/>
        <v>10268847.956361901</v>
      </c>
      <c r="M26" s="143">
        <f t="shared" si="5"/>
        <v>10524266.860847063</v>
      </c>
      <c r="N26" s="143">
        <f t="shared" si="5"/>
        <v>10783244.056141514</v>
      </c>
      <c r="O26" s="143">
        <f t="shared" si="5"/>
        <v>11050283.965314766</v>
      </c>
      <c r="Q26" s="147">
        <v>18</v>
      </c>
      <c r="R26" s="148" t="s">
        <v>122</v>
      </c>
      <c r="S26" s="148">
        <v>8870000</v>
      </c>
      <c r="T26" s="148">
        <v>31045796</v>
      </c>
      <c r="U26" s="148" t="s">
        <v>123</v>
      </c>
      <c r="V26" s="148">
        <v>3.5000900000000001</v>
      </c>
    </row>
    <row r="27" spans="2:22" ht="16" thickBot="1" x14ac:dyDescent="0.25">
      <c r="B27" s="141">
        <v>19</v>
      </c>
      <c r="C27" s="75" t="str">
        <f t="shared" si="1"/>
        <v>B. Elbaz</v>
      </c>
      <c r="D27" s="75" t="str">
        <f t="shared" si="2"/>
        <v>FW</v>
      </c>
      <c r="E27" s="142">
        <f t="shared" si="3"/>
        <v>8530000</v>
      </c>
      <c r="F27" s="143">
        <f t="shared" si="5"/>
        <v>8730788.3980593085</v>
      </c>
      <c r="G27" s="143">
        <f t="shared" si="5"/>
        <v>8901493.4658276979</v>
      </c>
      <c r="H27" s="143">
        <f t="shared" si="5"/>
        <v>9074155.9924899209</v>
      </c>
      <c r="I27" s="143">
        <f t="shared" si="5"/>
        <v>9250437.0932695642</v>
      </c>
      <c r="J27" s="143">
        <f t="shared" si="5"/>
        <v>9420929.9660082292</v>
      </c>
      <c r="K27" s="143">
        <f t="shared" si="5"/>
        <v>9662103.2062538993</v>
      </c>
      <c r="L27" s="143">
        <f t="shared" si="5"/>
        <v>9875228.0797933508</v>
      </c>
      <c r="M27" s="143">
        <f t="shared" si="5"/>
        <v>10120856.406203547</v>
      </c>
      <c r="N27" s="143">
        <f t="shared" si="5"/>
        <v>10369906.628961345</v>
      </c>
      <c r="O27" s="143">
        <f t="shared" si="5"/>
        <v>10626710.510049038</v>
      </c>
      <c r="Q27" s="147">
        <v>19</v>
      </c>
      <c r="R27" s="148" t="s">
        <v>124</v>
      </c>
      <c r="S27" s="148">
        <v>8530000</v>
      </c>
      <c r="T27" s="148">
        <v>28690056</v>
      </c>
      <c r="U27" s="148" t="s">
        <v>123</v>
      </c>
      <c r="V27" s="148">
        <v>3.3634300000000001</v>
      </c>
    </row>
    <row r="28" spans="2:22" ht="16" thickBot="1" x14ac:dyDescent="0.25">
      <c r="B28" s="63">
        <v>20</v>
      </c>
      <c r="C28" s="75" t="str">
        <f t="shared" si="1"/>
        <v>Z. Zziwa</v>
      </c>
      <c r="D28" s="75" t="str">
        <f t="shared" si="2"/>
        <v>FW</v>
      </c>
      <c r="E28" s="142">
        <f t="shared" si="3"/>
        <v>9120000</v>
      </c>
      <c r="F28" s="143">
        <f t="shared" si="5"/>
        <v>9334676.4584174566</v>
      </c>
      <c r="G28" s="143">
        <f t="shared" si="5"/>
        <v>9517188.793475803</v>
      </c>
      <c r="H28" s="143">
        <f t="shared" si="5"/>
        <v>9701793.9802471381</v>
      </c>
      <c r="I28" s="143">
        <f t="shared" si="5"/>
        <v>9890268.0293808226</v>
      </c>
      <c r="J28" s="143">
        <f t="shared" si="5"/>
        <v>10072553.492379256</v>
      </c>
      <c r="K28" s="143">
        <f t="shared" si="5"/>
        <v>10330408.117354697</v>
      </c>
      <c r="L28" s="143">
        <f t="shared" si="5"/>
        <v>10558274.336191718</v>
      </c>
      <c r="M28" s="143">
        <f t="shared" si="5"/>
        <v>10820892.195143769</v>
      </c>
      <c r="N28" s="143">
        <f t="shared" si="5"/>
        <v>11087168.634950465</v>
      </c>
      <c r="O28" s="143">
        <f t="shared" si="5"/>
        <v>11361735.035363097</v>
      </c>
      <c r="Q28" s="147">
        <v>20</v>
      </c>
      <c r="R28" s="148" t="s">
        <v>125</v>
      </c>
      <c r="S28" s="148">
        <v>9120000</v>
      </c>
      <c r="T28" s="148">
        <v>30429865</v>
      </c>
      <c r="U28" s="148" t="s">
        <v>123</v>
      </c>
      <c r="V28" s="148">
        <v>3.336608</v>
      </c>
    </row>
    <row r="29" spans="2:22" ht="16" thickBot="1" x14ac:dyDescent="0.25">
      <c r="B29" s="141">
        <v>21</v>
      </c>
      <c r="C29" s="75" t="str">
        <f t="shared" si="1"/>
        <v>K. Kazlo?</v>
      </c>
      <c r="D29" s="75" t="str">
        <f t="shared" si="2"/>
        <v>FW</v>
      </c>
      <c r="E29" s="142">
        <f t="shared" si="3"/>
        <v>9470000</v>
      </c>
      <c r="F29" s="143">
        <f t="shared" si="5"/>
        <v>9692915.1382909324</v>
      </c>
      <c r="G29" s="143">
        <f t="shared" si="5"/>
        <v>9882431.7844534926</v>
      </c>
      <c r="H29" s="143">
        <f t="shared" si="5"/>
        <v>10074121.600103114</v>
      </c>
      <c r="I29" s="143">
        <f t="shared" si="5"/>
        <v>10269828.754192587</v>
      </c>
      <c r="J29" s="143">
        <f t="shared" si="5"/>
        <v>10459109.821582407</v>
      </c>
      <c r="K29" s="143">
        <f t="shared" si="5"/>
        <v>10726860.183261948</v>
      </c>
      <c r="L29" s="143">
        <f t="shared" si="5"/>
        <v>10963471.267953461</v>
      </c>
      <c r="M29" s="143">
        <f t="shared" si="5"/>
        <v>11236167.663159154</v>
      </c>
      <c r="N29" s="143">
        <f t="shared" si="5"/>
        <v>11512663.045282993</v>
      </c>
      <c r="O29" s="143">
        <f t="shared" si="5"/>
        <v>11797766.533430759</v>
      </c>
      <c r="Q29" s="147">
        <v>21</v>
      </c>
      <c r="R29" s="148" t="s">
        <v>126</v>
      </c>
      <c r="S29" s="148">
        <v>9470000</v>
      </c>
      <c r="T29" s="148">
        <v>30281819</v>
      </c>
      <c r="U29" s="148" t="s">
        <v>123</v>
      </c>
      <c r="V29" s="148">
        <v>3.1976580000000001</v>
      </c>
    </row>
    <row r="30" spans="2:22" ht="16" thickBot="1" x14ac:dyDescent="0.25">
      <c r="B30" s="63">
        <v>22</v>
      </c>
      <c r="C30" s="75" t="str">
        <f t="shared" si="1"/>
        <v>E. Mudzingwa</v>
      </c>
      <c r="D30" s="75" t="str">
        <f t="shared" si="2"/>
        <v>FW</v>
      </c>
      <c r="E30" s="142">
        <f t="shared" si="3"/>
        <v>16240000</v>
      </c>
      <c r="F30" s="143">
        <f t="shared" si="5"/>
        <v>16622274.74612933</v>
      </c>
      <c r="G30" s="143">
        <f t="shared" si="5"/>
        <v>16947274.781364806</v>
      </c>
      <c r="H30" s="143">
        <f t="shared" si="5"/>
        <v>17276001.561317272</v>
      </c>
      <c r="I30" s="143">
        <f t="shared" si="5"/>
        <v>17611617.631265853</v>
      </c>
      <c r="J30" s="143">
        <f t="shared" si="5"/>
        <v>17936213.675026219</v>
      </c>
      <c r="K30" s="143">
        <f t="shared" si="5"/>
        <v>18395375.858096521</v>
      </c>
      <c r="L30" s="143">
        <f t="shared" si="5"/>
        <v>18801137.633744903</v>
      </c>
      <c r="M30" s="143">
        <f t="shared" si="5"/>
        <v>19268781.715913903</v>
      </c>
      <c r="N30" s="143">
        <f t="shared" si="5"/>
        <v>19742940.639429335</v>
      </c>
      <c r="O30" s="143">
        <f t="shared" si="5"/>
        <v>20231861.510339551</v>
      </c>
      <c r="Q30" s="147">
        <v>22</v>
      </c>
      <c r="R30" s="148" t="s">
        <v>127</v>
      </c>
      <c r="S30" s="148">
        <v>16240000</v>
      </c>
      <c r="T30" s="148">
        <v>29276219</v>
      </c>
      <c r="U30" s="148" t="s">
        <v>123</v>
      </c>
      <c r="V30" s="148">
        <v>1.8027230000000001</v>
      </c>
    </row>
    <row r="31" spans="2:22" x14ac:dyDescent="0.2">
      <c r="D31" t="s">
        <v>56</v>
      </c>
      <c r="E31" s="80">
        <f t="shared" ref="E31:O31" si="6">SUM(E9:E30)</f>
        <v>191150000</v>
      </c>
      <c r="F31" s="80">
        <f t="shared" si="6"/>
        <v>195649496.16518605</v>
      </c>
      <c r="G31" s="80">
        <f t="shared" si="6"/>
        <v>199474850.6439583</v>
      </c>
      <c r="H31" s="80">
        <f t="shared" si="6"/>
        <v>203344070.10134217</v>
      </c>
      <c r="I31" s="80">
        <f t="shared" si="6"/>
        <v>207294378.70791057</v>
      </c>
      <c r="J31" s="80">
        <f t="shared" si="6"/>
        <v>211114978.07766387</v>
      </c>
      <c r="K31" s="80">
        <f t="shared" si="6"/>
        <v>216519463.99477524</v>
      </c>
      <c r="L31" s="80">
        <f t="shared" si="6"/>
        <v>221295410.01787797</v>
      </c>
      <c r="M31" s="80">
        <f t="shared" si="6"/>
        <v>226799730.60326001</v>
      </c>
      <c r="N31" s="80">
        <f t="shared" si="6"/>
        <v>232380732.95732251</v>
      </c>
      <c r="O31" s="80">
        <f t="shared" si="6"/>
        <v>238135488.15895352</v>
      </c>
    </row>
    <row r="32" spans="2:22" x14ac:dyDescent="0.2">
      <c r="D32" s="32" t="s">
        <v>128</v>
      </c>
      <c r="E32" s="144">
        <f>E31*$C$3</f>
        <v>47787500</v>
      </c>
      <c r="F32" s="144">
        <f t="shared" ref="F32:O32" si="7">F31*$C$3</f>
        <v>48912374.041296512</v>
      </c>
      <c r="G32" s="144">
        <f t="shared" si="7"/>
        <v>49868712.660989575</v>
      </c>
      <c r="H32" s="144">
        <f t="shared" si="7"/>
        <v>50836017.525335543</v>
      </c>
      <c r="I32" s="144">
        <f t="shared" si="7"/>
        <v>51823594.676977642</v>
      </c>
      <c r="J32" s="144">
        <f t="shared" si="7"/>
        <v>52778744.519415967</v>
      </c>
      <c r="K32" s="144">
        <f t="shared" si="7"/>
        <v>54129865.998693809</v>
      </c>
      <c r="L32" s="144">
        <f t="shared" si="7"/>
        <v>55323852.504469492</v>
      </c>
      <c r="M32" s="144">
        <f t="shared" si="7"/>
        <v>56699932.650815003</v>
      </c>
      <c r="N32" s="144">
        <f t="shared" si="7"/>
        <v>58095183.239330627</v>
      </c>
      <c r="O32" s="144">
        <f t="shared" si="7"/>
        <v>59533872.039738379</v>
      </c>
    </row>
    <row r="33" spans="5:7" x14ac:dyDescent="0.2">
      <c r="E33" s="80"/>
    </row>
    <row r="39" spans="5:7" ht="16" thickBot="1" x14ac:dyDescent="0.25">
      <c r="E39" s="237" t="s">
        <v>97</v>
      </c>
      <c r="G39" s="236" t="s">
        <v>98</v>
      </c>
    </row>
    <row r="40" spans="5:7" ht="16" thickBot="1" x14ac:dyDescent="0.25">
      <c r="E40" s="235" t="s">
        <v>102</v>
      </c>
      <c r="F40" s="75">
        <f t="shared" ref="F40:F61" si="8">W40</f>
        <v>0</v>
      </c>
      <c r="G40" s="235">
        <v>5600000</v>
      </c>
    </row>
    <row r="41" spans="5:7" ht="16" thickBot="1" x14ac:dyDescent="0.25">
      <c r="E41" s="235" t="s">
        <v>104</v>
      </c>
      <c r="F41" s="75">
        <f t="shared" si="8"/>
        <v>0</v>
      </c>
      <c r="G41" s="235">
        <v>5730000</v>
      </c>
    </row>
    <row r="42" spans="5:7" ht="16" thickBot="1" x14ac:dyDescent="0.25">
      <c r="E42" s="235" t="s">
        <v>105</v>
      </c>
      <c r="F42" s="75">
        <f t="shared" si="8"/>
        <v>0</v>
      </c>
      <c r="G42" s="235">
        <v>5780000</v>
      </c>
    </row>
    <row r="43" spans="5:7" ht="16" thickBot="1" x14ac:dyDescent="0.25">
      <c r="E43" s="235" t="s">
        <v>106</v>
      </c>
      <c r="F43" s="75">
        <f t="shared" si="8"/>
        <v>0</v>
      </c>
      <c r="G43" s="235">
        <v>7080000</v>
      </c>
    </row>
    <row r="44" spans="5:7" ht="16" thickBot="1" x14ac:dyDescent="0.25">
      <c r="E44" s="235" t="s">
        <v>108</v>
      </c>
      <c r="F44" s="75">
        <f t="shared" si="8"/>
        <v>0</v>
      </c>
      <c r="G44" s="235">
        <v>8050000</v>
      </c>
    </row>
    <row r="45" spans="5:7" ht="16" thickBot="1" x14ac:dyDescent="0.25">
      <c r="E45" s="235" t="s">
        <v>109</v>
      </c>
      <c r="F45" s="75">
        <f t="shared" si="8"/>
        <v>0</v>
      </c>
      <c r="G45" s="235">
        <v>7760000</v>
      </c>
    </row>
    <row r="46" spans="5:7" ht="16" thickBot="1" x14ac:dyDescent="0.25">
      <c r="E46" s="235" t="s">
        <v>110</v>
      </c>
      <c r="F46" s="75">
        <f t="shared" si="8"/>
        <v>0</v>
      </c>
      <c r="G46" s="235">
        <v>7200000</v>
      </c>
    </row>
    <row r="47" spans="5:7" ht="16" thickBot="1" x14ac:dyDescent="0.25">
      <c r="E47" s="235" t="s">
        <v>111</v>
      </c>
      <c r="F47" s="75">
        <f t="shared" si="8"/>
        <v>0</v>
      </c>
      <c r="G47" s="235">
        <v>8240000</v>
      </c>
    </row>
    <row r="48" spans="5:7" ht="16" thickBot="1" x14ac:dyDescent="0.25">
      <c r="E48" s="235" t="s">
        <v>112</v>
      </c>
      <c r="F48" s="75">
        <f t="shared" si="8"/>
        <v>0</v>
      </c>
      <c r="G48" s="235">
        <v>9730000</v>
      </c>
    </row>
    <row r="49" spans="5:7" ht="16" thickBot="1" x14ac:dyDescent="0.25">
      <c r="E49" s="235" t="s">
        <v>113</v>
      </c>
      <c r="F49" s="75">
        <f t="shared" si="8"/>
        <v>0</v>
      </c>
      <c r="G49" s="235">
        <v>12610000</v>
      </c>
    </row>
    <row r="50" spans="5:7" ht="16" thickBot="1" x14ac:dyDescent="0.25">
      <c r="E50" s="235" t="s">
        <v>114</v>
      </c>
      <c r="F50" s="75">
        <f t="shared" si="8"/>
        <v>0</v>
      </c>
      <c r="G50" s="235">
        <v>8330000</v>
      </c>
    </row>
    <row r="51" spans="5:7" ht="16" thickBot="1" x14ac:dyDescent="0.25">
      <c r="E51" s="235" t="s">
        <v>116</v>
      </c>
      <c r="F51" s="75">
        <f t="shared" si="8"/>
        <v>0</v>
      </c>
      <c r="G51" s="235">
        <v>9020000</v>
      </c>
    </row>
    <row r="52" spans="5:7" ht="16" thickBot="1" x14ac:dyDescent="0.25">
      <c r="E52" s="235" t="s">
        <v>117</v>
      </c>
      <c r="F52" s="75">
        <f t="shared" si="8"/>
        <v>0</v>
      </c>
      <c r="G52" s="235">
        <v>8190000</v>
      </c>
    </row>
    <row r="53" spans="5:7" ht="16" thickBot="1" x14ac:dyDescent="0.25">
      <c r="E53" s="235" t="s">
        <v>118</v>
      </c>
      <c r="F53" s="75">
        <f t="shared" si="8"/>
        <v>0</v>
      </c>
      <c r="G53" s="235">
        <v>8310000</v>
      </c>
    </row>
    <row r="54" spans="5:7" ht="16" thickBot="1" x14ac:dyDescent="0.25">
      <c r="E54" s="235" t="s">
        <v>119</v>
      </c>
      <c r="F54" s="75">
        <f t="shared" si="8"/>
        <v>0</v>
      </c>
      <c r="G54" s="235">
        <v>8600000</v>
      </c>
    </row>
    <row r="55" spans="5:7" ht="16" thickBot="1" x14ac:dyDescent="0.25">
      <c r="E55" s="235" t="s">
        <v>120</v>
      </c>
      <c r="F55" s="75">
        <f t="shared" si="8"/>
        <v>0</v>
      </c>
      <c r="G55" s="235">
        <v>8680000</v>
      </c>
    </row>
    <row r="56" spans="5:7" ht="16" thickBot="1" x14ac:dyDescent="0.25">
      <c r="E56" s="235" t="s">
        <v>121</v>
      </c>
      <c r="F56" s="75">
        <f t="shared" si="8"/>
        <v>0</v>
      </c>
      <c r="G56" s="235">
        <v>10010000</v>
      </c>
    </row>
    <row r="57" spans="5:7" ht="16" thickBot="1" x14ac:dyDescent="0.25">
      <c r="E57" s="235" t="s">
        <v>122</v>
      </c>
      <c r="F57" s="75">
        <f t="shared" si="8"/>
        <v>0</v>
      </c>
      <c r="G57" s="235">
        <v>8870000</v>
      </c>
    </row>
    <row r="58" spans="5:7" ht="16" thickBot="1" x14ac:dyDescent="0.25">
      <c r="E58" s="235" t="s">
        <v>124</v>
      </c>
      <c r="F58" s="75">
        <f t="shared" si="8"/>
        <v>0</v>
      </c>
      <c r="G58" s="235">
        <v>8530000</v>
      </c>
    </row>
    <row r="59" spans="5:7" ht="16" thickBot="1" x14ac:dyDescent="0.25">
      <c r="E59" s="235" t="s">
        <v>125</v>
      </c>
      <c r="F59" s="75">
        <f t="shared" si="8"/>
        <v>0</v>
      </c>
      <c r="G59" s="235">
        <v>9120000</v>
      </c>
    </row>
    <row r="60" spans="5:7" ht="16" thickBot="1" x14ac:dyDescent="0.25">
      <c r="E60" s="235" t="s">
        <v>126</v>
      </c>
      <c r="F60" s="75">
        <f t="shared" si="8"/>
        <v>0</v>
      </c>
      <c r="G60" s="235">
        <v>9470000</v>
      </c>
    </row>
    <row r="61" spans="5:7" ht="16" thickBot="1" x14ac:dyDescent="0.25">
      <c r="E61" s="235" t="s">
        <v>127</v>
      </c>
      <c r="F61" s="75">
        <f t="shared" si="8"/>
        <v>0</v>
      </c>
      <c r="G61" s="235">
        <v>16240000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7127E-C232-4F5B-88BD-CE1562BBABBB}">
  <sheetPr>
    <tabColor theme="9" tint="0.79998168889431442"/>
  </sheetPr>
  <dimension ref="B2:E21"/>
  <sheetViews>
    <sheetView showGridLines="0" workbookViewId="0">
      <selection activeCell="J15" sqref="J15"/>
    </sheetView>
  </sheetViews>
  <sheetFormatPr baseColWidth="10" defaultColWidth="8.83203125" defaultRowHeight="15" x14ac:dyDescent="0.2"/>
  <cols>
    <col min="2" max="2" width="26.5" bestFit="1" customWidth="1"/>
    <col min="3" max="3" width="30.5" bestFit="1" customWidth="1"/>
    <col min="4" max="4" width="41.83203125" bestFit="1" customWidth="1"/>
    <col min="5" max="5" width="14.83203125" bestFit="1" customWidth="1"/>
  </cols>
  <sheetData>
    <row r="2" spans="2:5" ht="20" customHeight="1" x14ac:dyDescent="0.25">
      <c r="B2" s="271" t="s">
        <v>129</v>
      </c>
    </row>
    <row r="3" spans="2:5" x14ac:dyDescent="0.2">
      <c r="B3" s="272" t="s">
        <v>130</v>
      </c>
      <c r="C3" s="273" t="s">
        <v>131</v>
      </c>
      <c r="D3" s="273" t="s">
        <v>132</v>
      </c>
      <c r="E3" s="274" t="s">
        <v>133</v>
      </c>
    </row>
    <row r="4" spans="2:5" x14ac:dyDescent="0.2">
      <c r="B4" s="275" t="s">
        <v>134</v>
      </c>
      <c r="C4" s="238">
        <v>830.53</v>
      </c>
      <c r="D4" s="280">
        <f t="shared" ref="D4:D9" si="0">C4/SUM($C$4:$C$9)</f>
        <v>0.3220856278600791</v>
      </c>
      <c r="E4" s="278">
        <v>0.9</v>
      </c>
    </row>
    <row r="5" spans="2:5" x14ac:dyDescent="0.2">
      <c r="B5" s="275" t="s">
        <v>135</v>
      </c>
      <c r="C5" s="238">
        <v>112.99</v>
      </c>
      <c r="D5" s="280">
        <f t="shared" si="0"/>
        <v>4.3818351043201739E-2</v>
      </c>
      <c r="E5" s="279">
        <v>0.51</v>
      </c>
    </row>
    <row r="6" spans="2:5" x14ac:dyDescent="0.2">
      <c r="B6" s="275" t="s">
        <v>136</v>
      </c>
      <c r="C6" s="238">
        <v>902.79</v>
      </c>
      <c r="D6" s="280">
        <f t="shared" si="0"/>
        <v>0.35010858605444817</v>
      </c>
      <c r="E6" s="279">
        <v>0.42</v>
      </c>
    </row>
    <row r="7" spans="2:5" x14ac:dyDescent="0.2">
      <c r="B7" s="275" t="s">
        <v>137</v>
      </c>
      <c r="C7" s="280">
        <v>459</v>
      </c>
      <c r="D7" s="280">
        <f t="shared" si="0"/>
        <v>0.17800356782750329</v>
      </c>
      <c r="E7" s="279">
        <v>0.39</v>
      </c>
    </row>
    <row r="8" spans="2:5" x14ac:dyDescent="0.2">
      <c r="B8" s="275" t="s">
        <v>138</v>
      </c>
      <c r="C8" s="280">
        <v>100.25</v>
      </c>
      <c r="D8" s="280">
        <f t="shared" si="0"/>
        <v>3.8877685565810907E-2</v>
      </c>
      <c r="E8" s="279">
        <v>0.84</v>
      </c>
    </row>
    <row r="9" spans="2:5" x14ac:dyDescent="0.2">
      <c r="B9" s="276" t="s">
        <v>139</v>
      </c>
      <c r="C9" s="281">
        <v>173.04</v>
      </c>
      <c r="D9" s="281">
        <f t="shared" si="0"/>
        <v>6.7106181648956792E-2</v>
      </c>
      <c r="E9" s="282">
        <v>0.79</v>
      </c>
    </row>
    <row r="11" spans="2:5" x14ac:dyDescent="0.2">
      <c r="B11" s="272" t="s">
        <v>140</v>
      </c>
      <c r="C11" s="273" t="s">
        <v>141</v>
      </c>
      <c r="D11" s="274" t="s">
        <v>142</v>
      </c>
    </row>
    <row r="12" spans="2:5" ht="80" x14ac:dyDescent="0.2">
      <c r="B12" s="284" t="s">
        <v>143</v>
      </c>
      <c r="C12" s="286">
        <f>SUMPRODUCT(D4:D9,E4:E9)</f>
        <v>0.61436256107965559</v>
      </c>
      <c r="D12" s="283" t="s">
        <v>144</v>
      </c>
    </row>
    <row r="13" spans="2:5" ht="64" x14ac:dyDescent="0.2">
      <c r="B13" s="288" t="s">
        <v>145</v>
      </c>
      <c r="C13" s="289">
        <v>2.3709999999999998E-2</v>
      </c>
      <c r="D13" s="290" t="s">
        <v>146</v>
      </c>
    </row>
    <row r="14" spans="2:5" ht="32" x14ac:dyDescent="0.2">
      <c r="B14" s="288" t="s">
        <v>147</v>
      </c>
      <c r="C14" s="289">
        <v>5.8619999999999998E-2</v>
      </c>
      <c r="D14" s="290" t="s">
        <v>148</v>
      </c>
    </row>
    <row r="15" spans="2:5" ht="16" x14ac:dyDescent="0.2">
      <c r="B15" s="285" t="s">
        <v>140</v>
      </c>
      <c r="C15" s="287">
        <f>C13+C12*(C14)</f>
        <v>5.9723933330489407E-2</v>
      </c>
      <c r="D15" s="277" t="s">
        <v>149</v>
      </c>
    </row>
    <row r="20" spans="3:4" x14ac:dyDescent="0.2">
      <c r="C20" t="s">
        <v>241</v>
      </c>
    </row>
    <row r="21" spans="3:4" x14ac:dyDescent="0.2">
      <c r="D21" s="23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957CF-8713-BD48-9C04-9455E502D320}">
  <sheetPr>
    <tabColor theme="9" tint="0.79998168889431442"/>
  </sheetPr>
  <dimension ref="A3:N104"/>
  <sheetViews>
    <sheetView showGridLines="0" topLeftCell="A6" zoomScale="101" zoomScaleNormal="100" workbookViewId="0">
      <selection activeCell="G38" sqref="G38:H38"/>
    </sheetView>
  </sheetViews>
  <sheetFormatPr baseColWidth="10" defaultColWidth="11.5" defaultRowHeight="15" x14ac:dyDescent="0.2"/>
  <cols>
    <col min="2" max="2" width="34.1640625" customWidth="1"/>
    <col min="3" max="3" width="17.5" style="75" bestFit="1" customWidth="1"/>
    <col min="4" max="4" width="26.6640625" style="77" bestFit="1" customWidth="1"/>
    <col min="5" max="5" width="21.5" style="77" customWidth="1"/>
    <col min="6" max="6" width="31" customWidth="1"/>
    <col min="7" max="7" width="18.5" bestFit="1" customWidth="1"/>
    <col min="8" max="8" width="26.1640625" bestFit="1" customWidth="1"/>
    <col min="9" max="9" width="33.5" bestFit="1" customWidth="1"/>
    <col min="10" max="10" width="22.5" style="75" bestFit="1" customWidth="1"/>
    <col min="11" max="11" width="18.1640625" bestFit="1" customWidth="1"/>
    <col min="12" max="12" width="16.5" bestFit="1" customWidth="1"/>
    <col min="14" max="14" width="14.5" bestFit="1" customWidth="1"/>
  </cols>
  <sheetData>
    <row r="3" spans="1:12" x14ac:dyDescent="0.2">
      <c r="B3" t="s">
        <v>150</v>
      </c>
    </row>
    <row r="4" spans="1:12" x14ac:dyDescent="0.2">
      <c r="B4" s="89" t="s">
        <v>151</v>
      </c>
      <c r="C4" s="90">
        <v>32</v>
      </c>
      <c r="E4" s="89" t="s">
        <v>152</v>
      </c>
      <c r="F4" s="95"/>
      <c r="G4" s="96"/>
      <c r="H4" s="96" t="s">
        <v>153</v>
      </c>
      <c r="I4" s="97"/>
    </row>
    <row r="5" spans="1:12" x14ac:dyDescent="0.2">
      <c r="B5" s="91" t="s">
        <v>154</v>
      </c>
      <c r="C5" s="92"/>
      <c r="E5" s="91" t="s">
        <v>155</v>
      </c>
      <c r="F5" s="98"/>
      <c r="I5" s="99"/>
    </row>
    <row r="6" spans="1:12" x14ac:dyDescent="0.2">
      <c r="B6" s="91" t="s">
        <v>86</v>
      </c>
      <c r="C6" s="92">
        <v>4800000000</v>
      </c>
      <c r="E6" s="91" t="s">
        <v>156</v>
      </c>
      <c r="F6" s="98">
        <v>833020000</v>
      </c>
      <c r="H6" s="98">
        <v>1436000000</v>
      </c>
      <c r="I6" s="99"/>
    </row>
    <row r="7" spans="1:12" x14ac:dyDescent="0.2">
      <c r="B7" s="91" t="s">
        <v>157</v>
      </c>
      <c r="C7" s="92">
        <v>2700000000</v>
      </c>
      <c r="E7" s="91" t="s">
        <v>158</v>
      </c>
      <c r="F7" s="98">
        <v>554763000</v>
      </c>
      <c r="G7" s="100">
        <f>F7/$F$6</f>
        <v>0.66596600321720967</v>
      </c>
      <c r="H7" s="98">
        <v>742000000</v>
      </c>
      <c r="I7" s="101">
        <f>H7/$H$6</f>
        <v>0.51671309192200554</v>
      </c>
    </row>
    <row r="8" spans="1:12" x14ac:dyDescent="0.2">
      <c r="B8" s="93" t="s">
        <v>159</v>
      </c>
      <c r="C8" s="94">
        <f>C6-C7</f>
        <v>2100000000</v>
      </c>
      <c r="E8" s="93" t="s">
        <v>160</v>
      </c>
      <c r="F8" s="83">
        <v>376000000</v>
      </c>
      <c r="G8" s="85">
        <f>F8/$F$6</f>
        <v>0.45136971501284484</v>
      </c>
      <c r="H8" s="83">
        <v>504000000</v>
      </c>
      <c r="I8" s="102">
        <f>H8/$H$6</f>
        <v>0.35097493036211697</v>
      </c>
    </row>
    <row r="9" spans="1:12" x14ac:dyDescent="0.2">
      <c r="K9" s="76"/>
      <c r="L9" s="75"/>
    </row>
    <row r="10" spans="1:12" x14ac:dyDescent="0.2">
      <c r="K10" s="76"/>
      <c r="L10" s="75"/>
    </row>
    <row r="11" spans="1:12" x14ac:dyDescent="0.2">
      <c r="B11" s="33" t="s">
        <v>161</v>
      </c>
      <c r="C11" s="105">
        <v>0.25</v>
      </c>
      <c r="K11" s="76"/>
      <c r="L11" s="75"/>
    </row>
    <row r="12" spans="1:12" x14ac:dyDescent="0.2">
      <c r="K12" s="76"/>
      <c r="L12" s="75"/>
    </row>
    <row r="13" spans="1:12" x14ac:dyDescent="0.2">
      <c r="A13" s="34" t="s">
        <v>162</v>
      </c>
      <c r="B13" s="34" t="s">
        <v>163</v>
      </c>
      <c r="C13" s="103" t="s">
        <v>164</v>
      </c>
      <c r="D13" s="104" t="s">
        <v>165</v>
      </c>
      <c r="E13" s="104" t="s">
        <v>166</v>
      </c>
      <c r="F13" s="34" t="s">
        <v>167</v>
      </c>
      <c r="G13" s="34"/>
      <c r="H13" s="34" t="s">
        <v>168</v>
      </c>
      <c r="I13" s="34" t="s">
        <v>169</v>
      </c>
      <c r="J13" s="103" t="s">
        <v>170</v>
      </c>
      <c r="K13" s="34" t="s">
        <v>171</v>
      </c>
    </row>
    <row r="14" spans="1:12" x14ac:dyDescent="0.2">
      <c r="A14" s="34">
        <v>791</v>
      </c>
      <c r="B14" t="s">
        <v>172</v>
      </c>
      <c r="C14" s="75">
        <v>576000000</v>
      </c>
      <c r="D14" s="77">
        <v>1</v>
      </c>
      <c r="E14" s="75">
        <f>D14*C14</f>
        <v>576000000</v>
      </c>
      <c r="F14" s="76">
        <f>E14/$E$14</f>
        <v>1</v>
      </c>
      <c r="G14" s="76"/>
      <c r="H14" s="75">
        <f t="shared" ref="H14:H20" si="0">E14*$C$11</f>
        <v>144000000</v>
      </c>
      <c r="K14" s="80">
        <f>J14*PRODUCT('Inflation projection'!$F$33:$F$36)</f>
        <v>0</v>
      </c>
    </row>
    <row r="15" spans="1:12" x14ac:dyDescent="0.2">
      <c r="A15" s="34">
        <v>38</v>
      </c>
      <c r="B15" t="s">
        <v>173</v>
      </c>
      <c r="C15" s="75">
        <v>35000000</v>
      </c>
      <c r="D15" s="77">
        <v>1</v>
      </c>
      <c r="E15" s="75">
        <f t="shared" ref="E15:E24" si="1">D15*C15</f>
        <v>35000000</v>
      </c>
      <c r="F15" s="76">
        <f>E15/$E$14</f>
        <v>6.0763888888888888E-2</v>
      </c>
      <c r="G15" s="76"/>
      <c r="H15" s="75">
        <f t="shared" si="0"/>
        <v>8750000</v>
      </c>
      <c r="J15" s="75">
        <f t="shared" ref="J15:J20" si="2">(C15-$C$21)*$C$11</f>
        <v>6750000</v>
      </c>
      <c r="K15" s="80">
        <f>J15*PRODUCT('Inflation projection'!$F$33:$F$36)</f>
        <v>7530613.7922293982</v>
      </c>
    </row>
    <row r="16" spans="1:12" x14ac:dyDescent="0.2">
      <c r="A16" s="34">
        <v>28</v>
      </c>
      <c r="B16" t="s">
        <v>174</v>
      </c>
      <c r="C16" s="75">
        <v>25000000</v>
      </c>
      <c r="D16" s="77">
        <v>1</v>
      </c>
      <c r="E16" s="75">
        <f t="shared" si="1"/>
        <v>25000000</v>
      </c>
      <c r="F16" s="76">
        <f>E16/$E$14</f>
        <v>4.3402777777777776E-2</v>
      </c>
      <c r="G16" s="76"/>
      <c r="H16" s="75">
        <f t="shared" si="0"/>
        <v>6250000</v>
      </c>
      <c r="J16" s="75">
        <f t="shared" si="2"/>
        <v>4250000</v>
      </c>
      <c r="K16" s="80">
        <f>J16*PRODUCT('Inflation projection'!$F$33:$F$36)</f>
        <v>4741497.5728851762</v>
      </c>
    </row>
    <row r="17" spans="1:12" x14ac:dyDescent="0.2">
      <c r="A17" s="34">
        <v>24</v>
      </c>
      <c r="B17" t="s">
        <v>175</v>
      </c>
      <c r="C17" s="75">
        <v>20000000</v>
      </c>
      <c r="D17" s="77">
        <v>1</v>
      </c>
      <c r="E17" s="75">
        <f t="shared" si="1"/>
        <v>20000000</v>
      </c>
      <c r="F17" s="76">
        <f>E17/$E$14</f>
        <v>3.4722222222222224E-2</v>
      </c>
      <c r="G17" s="76"/>
      <c r="H17" s="75">
        <f t="shared" si="0"/>
        <v>5000000</v>
      </c>
      <c r="J17" s="75">
        <f t="shared" si="2"/>
        <v>3000000</v>
      </c>
      <c r="K17" s="80">
        <f>J17*PRODUCT('Inflation projection'!$F$33:$F$36)</f>
        <v>3346939.4632130656</v>
      </c>
    </row>
    <row r="18" spans="1:12" x14ac:dyDescent="0.2">
      <c r="A18" s="34">
        <v>22</v>
      </c>
      <c r="B18" t="s">
        <v>176</v>
      </c>
      <c r="C18" s="75">
        <v>18000000</v>
      </c>
      <c r="D18" s="77">
        <v>1</v>
      </c>
      <c r="E18" s="75">
        <f t="shared" si="1"/>
        <v>18000000</v>
      </c>
      <c r="F18" s="76">
        <f t="shared" ref="F18:F23" si="3">E18/$E$14</f>
        <v>3.125E-2</v>
      </c>
      <c r="G18" s="76"/>
      <c r="H18" s="75">
        <f t="shared" si="0"/>
        <v>4500000</v>
      </c>
      <c r="J18" s="75">
        <f t="shared" si="2"/>
        <v>2500000</v>
      </c>
      <c r="K18" s="80">
        <f>J18*PRODUCT('Inflation projection'!$F$33:$F$36)</f>
        <v>2789116.2193442215</v>
      </c>
    </row>
    <row r="19" spans="1:12" x14ac:dyDescent="0.2">
      <c r="A19" s="34">
        <v>16</v>
      </c>
      <c r="B19" t="s">
        <v>177</v>
      </c>
      <c r="C19" s="75">
        <v>14000000</v>
      </c>
      <c r="D19" s="77">
        <v>4</v>
      </c>
      <c r="E19" s="75">
        <f t="shared" si="1"/>
        <v>56000000</v>
      </c>
      <c r="F19" s="76">
        <f t="shared" si="3"/>
        <v>9.7222222222222224E-2</v>
      </c>
      <c r="G19" s="76"/>
      <c r="H19" s="75">
        <f t="shared" si="0"/>
        <v>14000000</v>
      </c>
      <c r="J19" s="75">
        <f t="shared" si="2"/>
        <v>1500000</v>
      </c>
      <c r="K19" s="80">
        <f>J19*PRODUCT('Inflation projection'!$F$33:$F$36)</f>
        <v>1673469.7316065328</v>
      </c>
    </row>
    <row r="20" spans="1:12" x14ac:dyDescent="0.2">
      <c r="A20" s="34">
        <v>12</v>
      </c>
      <c r="B20" t="s">
        <v>178</v>
      </c>
      <c r="C20" s="75">
        <v>14000000</v>
      </c>
      <c r="D20" s="77">
        <v>8</v>
      </c>
      <c r="E20" s="75">
        <f t="shared" si="1"/>
        <v>112000000</v>
      </c>
      <c r="F20" s="76">
        <f t="shared" si="3"/>
        <v>0.19444444444444445</v>
      </c>
      <c r="G20" s="76"/>
      <c r="H20" s="75">
        <f t="shared" si="0"/>
        <v>28000000</v>
      </c>
      <c r="J20" s="75">
        <f t="shared" si="2"/>
        <v>1500000</v>
      </c>
      <c r="K20" s="80">
        <f>J20*PRODUCT('Inflation projection'!$F$33:$F$36)</f>
        <v>1673469.7316065328</v>
      </c>
    </row>
    <row r="21" spans="1:12" x14ac:dyDescent="0.2">
      <c r="A21" s="34">
        <v>8</v>
      </c>
      <c r="B21" t="s">
        <v>179</v>
      </c>
      <c r="C21" s="75">
        <v>8000000</v>
      </c>
      <c r="D21" s="77">
        <v>16</v>
      </c>
      <c r="E21" s="75">
        <f t="shared" si="1"/>
        <v>128000000</v>
      </c>
      <c r="F21" s="76">
        <f t="shared" si="3"/>
        <v>0.22222222222222221</v>
      </c>
      <c r="G21" s="76"/>
      <c r="H21" s="75">
        <f>C21*$C$11</f>
        <v>2000000</v>
      </c>
      <c r="I21" s="80">
        <f>H21</f>
        <v>2000000</v>
      </c>
    </row>
    <row r="22" spans="1:12" x14ac:dyDescent="0.2">
      <c r="A22" s="34">
        <v>1.5</v>
      </c>
      <c r="B22" t="s">
        <v>180</v>
      </c>
      <c r="C22" s="75">
        <v>1500000</v>
      </c>
      <c r="D22" s="77">
        <v>32</v>
      </c>
      <c r="E22" s="75">
        <f t="shared" si="1"/>
        <v>48000000</v>
      </c>
      <c r="F22" s="76">
        <f t="shared" si="3"/>
        <v>8.3333333333333329E-2</v>
      </c>
      <c r="G22" s="76"/>
      <c r="H22" s="75">
        <f>C22*$C$11</f>
        <v>375000</v>
      </c>
      <c r="I22" s="80">
        <f>H22</f>
        <v>375000</v>
      </c>
      <c r="L22" s="207"/>
    </row>
    <row r="23" spans="1:12" x14ac:dyDescent="0.2">
      <c r="A23" s="34"/>
      <c r="B23" t="s">
        <v>181</v>
      </c>
      <c r="C23" s="75">
        <f>2800*34*736</f>
        <v>70067200</v>
      </c>
      <c r="D23" s="77">
        <v>1</v>
      </c>
      <c r="E23" s="75">
        <f t="shared" si="1"/>
        <v>70067200</v>
      </c>
      <c r="F23" s="76">
        <f t="shared" si="3"/>
        <v>0.12164444444444444</v>
      </c>
      <c r="G23" s="76"/>
      <c r="H23" s="75">
        <f>E23*$C$11</f>
        <v>17516800</v>
      </c>
    </row>
    <row r="24" spans="1:12" x14ac:dyDescent="0.2">
      <c r="A24" s="34"/>
      <c r="B24" s="82" t="s">
        <v>182</v>
      </c>
      <c r="C24" s="83">
        <f>C14-SUMPRODUCT(C15:C23,D15:D23)</f>
        <v>63932800</v>
      </c>
      <c r="D24" s="84">
        <v>1</v>
      </c>
      <c r="E24" s="83">
        <f t="shared" si="1"/>
        <v>63932800</v>
      </c>
      <c r="F24" s="85">
        <f>E24/$E$14</f>
        <v>0.11099444444444445</v>
      </c>
      <c r="G24" s="85"/>
      <c r="H24" s="83">
        <f>E24*$C$11</f>
        <v>15983200</v>
      </c>
      <c r="I24" s="82"/>
      <c r="J24" s="83"/>
    </row>
    <row r="25" spans="1:12" x14ac:dyDescent="0.2">
      <c r="A25" s="34"/>
      <c r="F25" s="76"/>
      <c r="G25" s="76"/>
      <c r="H25">
        <v>2018</v>
      </c>
      <c r="I25" s="80">
        <f>SUM(I14:I24)</f>
        <v>2375000</v>
      </c>
      <c r="K25" s="80">
        <f>I25*PRODUCT('Inflation projection'!$F$33:$F$36)</f>
        <v>2649660.4083770104</v>
      </c>
      <c r="L25" s="34"/>
    </row>
    <row r="26" spans="1:12" x14ac:dyDescent="0.2">
      <c r="B26" s="265" t="s">
        <v>183</v>
      </c>
      <c r="C26" s="266">
        <v>1163640000</v>
      </c>
      <c r="F26" s="76"/>
      <c r="G26" s="76"/>
      <c r="H26">
        <v>2022</v>
      </c>
    </row>
    <row r="27" spans="1:12" x14ac:dyDescent="0.2">
      <c r="B27" s="267" t="s">
        <v>184</v>
      </c>
      <c r="C27" s="268">
        <f>'Expense projection'!Y37</f>
        <v>1234950624</v>
      </c>
      <c r="F27" s="76"/>
      <c r="G27" s="76"/>
      <c r="I27" s="80"/>
    </row>
    <row r="28" spans="1:12" x14ac:dyDescent="0.2">
      <c r="B28" s="269" t="s">
        <v>185</v>
      </c>
      <c r="C28" s="270">
        <f>(C27-C26)/C27</f>
        <v>5.7743704577455236E-2</v>
      </c>
      <c r="F28" s="76"/>
      <c r="G28" s="76"/>
      <c r="I28" s="80"/>
    </row>
    <row r="29" spans="1:12" x14ac:dyDescent="0.2">
      <c r="F29" s="76"/>
      <c r="G29" s="76"/>
      <c r="I29" s="80"/>
    </row>
    <row r="30" spans="1:12" x14ac:dyDescent="0.2">
      <c r="B30" t="s">
        <v>186</v>
      </c>
      <c r="F30" s="76"/>
      <c r="G30" s="76"/>
      <c r="I30" s="80"/>
    </row>
    <row r="31" spans="1:12" x14ac:dyDescent="0.2">
      <c r="B31" s="89" t="s">
        <v>1</v>
      </c>
      <c r="C31" s="95" t="s">
        <v>187</v>
      </c>
      <c r="D31" s="134" t="s">
        <v>188</v>
      </c>
      <c r="E31" s="134" t="s">
        <v>189</v>
      </c>
      <c r="F31" s="134" t="s">
        <v>190</v>
      </c>
      <c r="G31" s="135" t="s">
        <v>191</v>
      </c>
      <c r="I31" s="196"/>
    </row>
    <row r="32" spans="1:12" x14ac:dyDescent="0.2">
      <c r="B32" s="91">
        <v>2022</v>
      </c>
      <c r="C32" s="98" cm="1">
        <f t="array" ref="C32">INDEX('Revenue projection'!$Y$5:$Y$20,MATCH(Cashflows!B32,'Expense projection'!$B$9:$B$24,0),)</f>
        <v>2377861043.2163157</v>
      </c>
      <c r="D32" s="98" cm="1">
        <f t="array" ref="D32">INDEX('Expense projection'!$Y$9:$Y$24,MATCH(Cashflows!B32,'Expense projection'!$B$9:$B$24,0),)</f>
        <v>789523381.22505271</v>
      </c>
      <c r="E32" s="75" cm="1">
        <f t="array" ref="E32">INDEX('Expense projection'!$Y$33:$Y$48,MATCH(Cashflows!B32,'Expense projection'!$B$33:$B$48,0),)</f>
        <v>1431509308.5346034</v>
      </c>
      <c r="F32" s="75">
        <f t="shared" ref="F32:F41" si="4">E32*$C$28</f>
        <v>82660650.611899361</v>
      </c>
      <c r="G32" s="136">
        <f>(F32+D32)/C32</f>
        <v>0.36679352408971228</v>
      </c>
    </row>
    <row r="33" spans="2:10" x14ac:dyDescent="0.2">
      <c r="B33" s="91">
        <f t="shared" ref="B33:B41" si="5">B32+1</f>
        <v>2023</v>
      </c>
      <c r="C33" s="98" cm="1">
        <f t="array" ref="C33">INDEX('Revenue projection'!$Y$5:$Y$20,MATCH(Cashflows!B33,'Expense projection'!$B$9:$B$24,0),)</f>
        <v>2468761017.8075709</v>
      </c>
      <c r="D33" s="98" cm="1">
        <f t="array" ref="D33">INDEX('Expense projection'!$Y$9:$Y$24,MATCH(Cashflows!B33,'Expense projection'!$B$9:$B$24,0),)</f>
        <v>847828972.10596848</v>
      </c>
      <c r="E33" s="75" cm="1">
        <f t="array" ref="E33">INDEX('Expense projection'!$Y$33:$Y$48,MATCH(Cashflows!B33,'Expense projection'!$B$33:$B$48,0),)</f>
        <v>1514149782.7396734</v>
      </c>
      <c r="F33" s="75">
        <f t="shared" si="4"/>
        <v>87432617.740537733</v>
      </c>
      <c r="G33" s="136">
        <f>(F33+D33)/C33</f>
        <v>0.37883844693767998</v>
      </c>
    </row>
    <row r="34" spans="2:10" x14ac:dyDescent="0.2">
      <c r="B34" s="91">
        <f t="shared" si="5"/>
        <v>2024</v>
      </c>
      <c r="C34" s="98" cm="1">
        <f t="array" ref="C34">INDEX('Revenue projection'!$Y$5:$Y$20,MATCH(Cashflows!B34,'Expense projection'!$B$9:$B$24,0),)</f>
        <v>2560749041.986001</v>
      </c>
      <c r="D34" s="98" cm="1">
        <f t="array" ref="D34">INDEX('Expense projection'!$Y$9:$Y$24,MATCH(Cashflows!B34,'Expense projection'!$B$9:$B$24,0),)</f>
        <v>906783437.37063086</v>
      </c>
      <c r="E34" s="75" cm="1">
        <f t="array" ref="E34">INDEX('Expense projection'!$Y$33:$Y$48,MATCH(Cashflows!B34,'Expense projection'!$B$33:$B$48,0),)</f>
        <v>1597730774.0583968</v>
      </c>
      <c r="F34" s="75">
        <f t="shared" si="4"/>
        <v>92258893.811536953</v>
      </c>
      <c r="G34" s="136">
        <f t="shared" ref="G34:G41" si="6">(F34+D34)/C34</f>
        <v>0.39013675873812131</v>
      </c>
      <c r="I34" s="80"/>
    </row>
    <row r="35" spans="2:10" x14ac:dyDescent="0.2">
      <c r="B35" s="91">
        <f t="shared" si="5"/>
        <v>2025</v>
      </c>
      <c r="C35" s="98" cm="1">
        <f t="array" ref="C35">INDEX('Revenue projection'!$Y$5:$Y$20,MATCH(Cashflows!B35,'Expense projection'!$B$9:$B$24,0),)</f>
        <v>2653855835.5236554</v>
      </c>
      <c r="D35" s="98" cm="1">
        <f t="array" ref="D35">INDEX('Expense projection'!$Y$9:$Y$24,MATCH(Cashflows!B35,'Expense projection'!$B$9:$B$24,0),)</f>
        <v>966406975.58641624</v>
      </c>
      <c r="E35" s="75" cm="1">
        <f t="array" ref="E35">INDEX('Expense projection'!$Y$33:$Y$48,MATCH(Cashflows!B35,'Expense projection'!$B$33:$B$48,0),)</f>
        <v>1682280701.4339116</v>
      </c>
      <c r="F35" s="75">
        <f t="shared" si="4"/>
        <v>97141119.839953959</v>
      </c>
      <c r="G35" s="136">
        <f t="shared" si="6"/>
        <v>0.40075579132447947</v>
      </c>
      <c r="I35" s="80"/>
    </row>
    <row r="36" spans="2:10" x14ac:dyDescent="0.2">
      <c r="B36" s="91">
        <f t="shared" si="5"/>
        <v>2026</v>
      </c>
      <c r="C36" s="98" cm="1">
        <f t="array" ref="C36">INDEX('Revenue projection'!$Y$5:$Y$20,MATCH(Cashflows!B36,'Expense projection'!$B$9:$B$24,0),)</f>
        <v>2748112711.4041243</v>
      </c>
      <c r="D36" s="98" cm="1">
        <f t="array" ref="D36">INDEX('Expense projection'!$Y$9:$Y$24,MATCH(Cashflows!B36,'Expense projection'!$B$9:$B$24,0),)</f>
        <v>1026720117.0298625</v>
      </c>
      <c r="E36" s="75" cm="1">
        <f t="array" ref="E36">INDEX('Expense projection'!$Y$33:$Y$48,MATCH(Cashflows!B36,'Expense projection'!$B$33:$B$48,0),)</f>
        <v>1767828474.6861098</v>
      </c>
      <c r="F36" s="75">
        <f t="shared" si="4"/>
        <v>102080965.18588802</v>
      </c>
      <c r="G36" s="136">
        <f t="shared" si="6"/>
        <v>0.41075501653605734</v>
      </c>
      <c r="I36" s="80"/>
    </row>
    <row r="37" spans="2:10" x14ac:dyDescent="0.2">
      <c r="B37" s="91">
        <f t="shared" si="5"/>
        <v>2027</v>
      </c>
      <c r="C37" s="98" cm="1">
        <f t="array" ref="C37">INDEX('Revenue projection'!$Y$5:$Y$20,MATCH(Cashflows!B37,'Expense projection'!$B$9:$B$24,0),)</f>
        <v>2843551615.4165993</v>
      </c>
      <c r="D37" s="98" cm="1">
        <f t="array" ref="D37">INDEX('Expense projection'!$Y$9:$Y$24,MATCH(Cashflows!B37,'Expense projection'!$B$9:$B$24,0),)</f>
        <v>1087743749.6850257</v>
      </c>
      <c r="E37" s="75" cm="1">
        <f t="array" ref="E37">INDEX('Expense projection'!$Y$33:$Y$48,MATCH(Cashflows!B37,'Expense projection'!$B$33:$B$48,0),)</f>
        <v>1854403531.1052506</v>
      </c>
      <c r="F37" s="75">
        <f t="shared" si="4"/>
        <v>107080129.66753142</v>
      </c>
      <c r="G37" s="136">
        <f t="shared" si="6"/>
        <v>0.42018716061797512</v>
      </c>
      <c r="I37" s="80"/>
      <c r="J37" s="234"/>
    </row>
    <row r="38" spans="2:10" x14ac:dyDescent="0.2">
      <c r="B38" s="91">
        <f t="shared" si="5"/>
        <v>2028</v>
      </c>
      <c r="C38" s="98" cm="1">
        <f t="array" ref="C38">INDEX('Revenue projection'!$Y$5:$Y$20,MATCH(Cashflows!B38,'Expense projection'!$B$9:$B$24,0),)</f>
        <v>2940205166.809505</v>
      </c>
      <c r="D38" s="98" cm="1">
        <f t="array" ref="D38">INDEX('Expense projection'!$Y$9:$Y$24,MATCH(Cashflows!B38,'Expense projection'!$B$9:$B$24,0),)</f>
        <v>1149499145.8627751</v>
      </c>
      <c r="E38" s="75" cm="1">
        <f t="array" ref="E38">INDEX('Expense projection'!$Y$33:$Y$48,MATCH(Cashflows!B38,'Expense projection'!$B$33:$B$48,0),)</f>
        <v>1942035872.9508855</v>
      </c>
      <c r="F38" s="75">
        <f t="shared" si="4"/>
        <v>112140345.72649632</v>
      </c>
      <c r="G38" s="136">
        <f t="shared" si="6"/>
        <v>0.4290991342479375</v>
      </c>
      <c r="I38" s="80"/>
    </row>
    <row r="39" spans="2:10" x14ac:dyDescent="0.2">
      <c r="B39" s="91">
        <f t="shared" si="5"/>
        <v>2029</v>
      </c>
      <c r="C39" s="98" cm="1">
        <f t="array" ref="C39">INDEX('Revenue projection'!$Y$5:$Y$20,MATCH(Cashflows!B39,'Expense projection'!$B$9:$B$24,0),)</f>
        <v>3038106700.0803862</v>
      </c>
      <c r="D39" s="98" cm="1">
        <f t="array" ref="D39">INDEX('Expense projection'!$Y$9:$Y$24,MATCH(Cashflows!B39,'Expense projection'!$B$9:$B$24,0),)</f>
        <v>1212007989.4924738</v>
      </c>
      <c r="E39" s="75" cm="1">
        <f t="array" ref="E39">INDEX('Expense projection'!$Y$33:$Y$48,MATCH(Cashflows!B39,'Expense projection'!$B$33:$B$48,0),)</f>
        <v>2030756105.9273458</v>
      </c>
      <c r="F39" s="75">
        <f t="shared" si="4"/>
        <v>117263380.64953205</v>
      </c>
      <c r="G39" s="136">
        <f t="shared" si="6"/>
        <v>0.43753281282281309</v>
      </c>
      <c r="I39" s="80"/>
    </row>
    <row r="40" spans="2:10" x14ac:dyDescent="0.2">
      <c r="B40" s="91">
        <f t="shared" si="5"/>
        <v>2030</v>
      </c>
      <c r="C40" s="98" cm="1">
        <f t="array" ref="C40">INDEX('Revenue projection'!$Y$5:$Y$20,MATCH(Cashflows!B40,'Expense projection'!$B$9:$B$24,0),)</f>
        <v>3137290307.9833717</v>
      </c>
      <c r="D40" s="98" cm="1">
        <f t="array" ref="D40">INDEX('Expense projection'!$Y$9:$Y$24,MATCH(Cashflows!B40,'Expense projection'!$B$9:$B$24,0),)</f>
        <v>1275292404.1384933</v>
      </c>
      <c r="E40" s="75" cm="1">
        <f t="array" ref="E40">INDEX('Expense projection'!$Y$33:$Y$48,MATCH(Cashflows!B40,'Expense projection'!$B$33:$B$48,0),)</f>
        <v>2120595478.7108252</v>
      </c>
      <c r="F40" s="75">
        <f t="shared" si="4"/>
        <v>122451038.85096516</v>
      </c>
      <c r="G40" s="136">
        <f t="shared" si="6"/>
        <v>0.44552569439706019</v>
      </c>
      <c r="I40" s="80"/>
    </row>
    <row r="41" spans="2:10" x14ac:dyDescent="0.2">
      <c r="B41" s="93">
        <f t="shared" si="5"/>
        <v>2031</v>
      </c>
      <c r="C41" s="83" cm="1">
        <f t="array" ref="C41">INDEX('Revenue projection'!$Y$5:$Y$20,MATCH(Cashflows!B41,'Expense projection'!$B$9:$B$24,0),)</f>
        <v>3219557861.2575793</v>
      </c>
      <c r="D41" s="83" cm="1">
        <f t="array" ref="D41">INDEX('Expense projection'!$Y$9:$Y$24,MATCH(Cashflows!B41,'Expense projection'!$B$9:$B$24,0),)</f>
        <v>1331832537.6347265</v>
      </c>
      <c r="E41" s="83" cm="1">
        <f t="array" ref="E41">INDEX('Expense projection'!$Y$33:$Y$48,MATCH(Cashflows!B41,'Expense projection'!$B$33:$B$48,0),)</f>
        <v>2199131783.7522306</v>
      </c>
      <c r="F41" s="83">
        <f t="shared" si="4"/>
        <v>126986016.04788098</v>
      </c>
      <c r="G41" s="137">
        <f t="shared" si="6"/>
        <v>0.45311145708460221</v>
      </c>
      <c r="I41" s="80"/>
    </row>
    <row r="42" spans="2:10" x14ac:dyDescent="0.2">
      <c r="F42" s="76"/>
      <c r="G42" s="76"/>
      <c r="I42" s="80"/>
    </row>
    <row r="43" spans="2:10" x14ac:dyDescent="0.2">
      <c r="F43" s="76"/>
      <c r="G43" s="76"/>
      <c r="I43" s="80"/>
    </row>
    <row r="44" spans="2:10" x14ac:dyDescent="0.2">
      <c r="F44" s="76"/>
      <c r="G44" s="76"/>
      <c r="I44" s="80"/>
    </row>
    <row r="45" spans="2:10" x14ac:dyDescent="0.2">
      <c r="F45" s="76"/>
      <c r="G45" s="76"/>
      <c r="I45" s="80"/>
    </row>
    <row r="46" spans="2:10" x14ac:dyDescent="0.2">
      <c r="F46" s="76"/>
      <c r="G46" s="76"/>
      <c r="I46" s="80"/>
    </row>
    <row r="47" spans="2:10" x14ac:dyDescent="0.2">
      <c r="B47" s="33" t="s">
        <v>192</v>
      </c>
      <c r="C47" s="105">
        <f>2%</f>
        <v>0.02</v>
      </c>
      <c r="F47" s="76"/>
      <c r="G47" s="76"/>
      <c r="I47" s="80"/>
    </row>
    <row r="48" spans="2:10" x14ac:dyDescent="0.2">
      <c r="B48" s="33" t="s">
        <v>193</v>
      </c>
      <c r="C48" s="106">
        <v>2022</v>
      </c>
      <c r="F48" s="76"/>
      <c r="G48" s="76"/>
      <c r="I48" s="80"/>
    </row>
    <row r="49" spans="2:12" x14ac:dyDescent="0.2">
      <c r="F49" s="76"/>
      <c r="G49" s="76"/>
    </row>
    <row r="50" spans="2:12" x14ac:dyDescent="0.2">
      <c r="F50" s="76"/>
      <c r="G50" s="76"/>
    </row>
    <row r="51" spans="2:12" ht="16" customHeight="1" x14ac:dyDescent="0.2">
      <c r="C51" s="75" t="s">
        <v>194</v>
      </c>
      <c r="H51" t="s">
        <v>195</v>
      </c>
    </row>
    <row r="52" spans="2:12" x14ac:dyDescent="0.2">
      <c r="B52" t="s">
        <v>1</v>
      </c>
      <c r="C52" s="88" t="s">
        <v>196</v>
      </c>
      <c r="D52" s="86" t="s">
        <v>197</v>
      </c>
      <c r="E52" s="87" t="s">
        <v>198</v>
      </c>
      <c r="F52" t="s">
        <v>199</v>
      </c>
      <c r="H52" t="s">
        <v>200</v>
      </c>
      <c r="I52" s="130" t="s">
        <v>201</v>
      </c>
      <c r="J52" s="75" t="s">
        <v>202</v>
      </c>
      <c r="L52" t="s">
        <v>203</v>
      </c>
    </row>
    <row r="53" spans="2:12" x14ac:dyDescent="0.2">
      <c r="B53">
        <v>2022</v>
      </c>
      <c r="C53" s="203">
        <v>995000000</v>
      </c>
      <c r="D53" s="226">
        <f t="shared" ref="D53:D62" si="7">$K$25*(1+$C$47*(B53-$C$48))</f>
        <v>2649660.4083770104</v>
      </c>
      <c r="E53" s="203" cm="1">
        <f t="array" ref="E53">D53*INDEX('Inflation projection'!$G$37:$G$46,MATCH(Cashflows!B53,'Inflation projection'!$B$37:$B$46,0),)*INDEX('Exchange Rate Projection'!$G$6:$G$21,MATCH(Cashflows!B53,'Exchange Rate Projection'!$B$6:$B$21,0),)</f>
        <v>2618188.96131599</v>
      </c>
      <c r="F53" s="201">
        <f>'Sponsorship Projection'!F53</f>
        <v>27283038.954801373</v>
      </c>
      <c r="G53" s="75"/>
      <c r="H53" s="201" cm="1">
        <f t="array" ref="H53">INDEX('Expense projection'!$AB$9:$AB$24,MATCH(Cashflows!$B53,'Expense projection'!$B$9:$B$24,0),)</f>
        <v>808108039.48373353</v>
      </c>
      <c r="I53" s="204">
        <f t="shared" ref="I53:I62" si="8">E53*G32</f>
        <v>960334.75585387531</v>
      </c>
      <c r="J53" s="201">
        <f t="array" ref="J53:J62">TRANSPOSE('Player salary'!F32:O32)</f>
        <v>48912374.041296512</v>
      </c>
      <c r="K53" s="201"/>
      <c r="L53" s="201">
        <f t="shared" ref="L53:L62" si="9">C53+E53+F53-I53-J53</f>
        <v>975028519.11896694</v>
      </c>
    </row>
    <row r="54" spans="2:12" x14ac:dyDescent="0.2">
      <c r="B54">
        <f t="shared" ref="B54:B62" si="10">B53+1</f>
        <v>2023</v>
      </c>
      <c r="C54" s="203">
        <v>0</v>
      </c>
      <c r="D54" s="226">
        <f t="shared" si="7"/>
        <v>2702653.6165445508</v>
      </c>
      <c r="E54" s="203" cm="1">
        <f t="array" ref="E54">D54*INDEX('Inflation projection'!$G$37:$G$46,MATCH(Cashflows!B54,'Inflation projection'!$B$37:$B$46,0),)*INDEX('Exchange Rate Projection'!$G$6:$G$21,MATCH(Cashflows!B54,'Exchange Rate Projection'!$B$6:$B$21,0),)</f>
        <v>2687166.5832087565</v>
      </c>
      <c r="F54" s="201">
        <f>'Sponsorship Projection'!F54</f>
        <v>36916699.009116046</v>
      </c>
      <c r="G54" s="75"/>
      <c r="H54" s="201" cm="1">
        <f t="array" ref="H54">INDEX('Expense projection'!$AB$9:$AB$24,MATCH(Cashflows!$B54,'Expense projection'!$B$9:$B$24,0),)</f>
        <v>884753113.17006934</v>
      </c>
      <c r="I54" s="204">
        <f t="shared" si="8"/>
        <v>1018002.0150456374</v>
      </c>
      <c r="J54" s="201">
        <v>49868712.660989575</v>
      </c>
      <c r="K54" s="201"/>
      <c r="L54" s="201">
        <f t="shared" si="9"/>
        <v>-11282849.08371041</v>
      </c>
    </row>
    <row r="55" spans="2:12" x14ac:dyDescent="0.2">
      <c r="B55">
        <f t="shared" si="10"/>
        <v>2024</v>
      </c>
      <c r="C55" s="203">
        <v>0</v>
      </c>
      <c r="D55" s="226">
        <f t="shared" si="7"/>
        <v>2755646.8247120907</v>
      </c>
      <c r="E55" s="203" cm="1">
        <f t="array" ref="E55">D55*INDEX('Inflation projection'!$G$37:$G$46,MATCH(Cashflows!B55,'Inflation projection'!$B$37:$B$46,0),)*INDEX('Exchange Rate Projection'!$G$6:$G$21,MATCH(Cashflows!B55,'Exchange Rate Projection'!$B$6:$B$21,0),)</f>
        <v>2754027.0038421112</v>
      </c>
      <c r="F55" s="201">
        <f>'Sponsorship Projection'!F55</f>
        <v>45311282.928812183</v>
      </c>
      <c r="G55" s="75"/>
      <c r="H55" s="201" cm="1">
        <f t="array" ref="H55">INDEX('Expense projection'!$AB$9:$AB$24,MATCH(Cashflows!$B55,'Expense projection'!$B$9:$B$24,0),)</f>
        <v>964630054.17436337</v>
      </c>
      <c r="I55" s="204">
        <f>E55*G34</f>
        <v>1074447.168756221</v>
      </c>
      <c r="J55" s="201">
        <v>50836017.525335543</v>
      </c>
      <c r="K55" s="201"/>
      <c r="L55" s="201">
        <f t="shared" si="9"/>
        <v>-3845154.7614374757</v>
      </c>
    </row>
    <row r="56" spans="2:12" x14ac:dyDescent="0.2">
      <c r="B56">
        <f t="shared" si="10"/>
        <v>2025</v>
      </c>
      <c r="C56" s="203">
        <v>0</v>
      </c>
      <c r="D56" s="226">
        <f t="shared" si="7"/>
        <v>2808640.032879631</v>
      </c>
      <c r="E56" s="203" cm="1">
        <f t="array" ref="E56">D56*INDEX('Inflation projection'!$G$37:$G$46,MATCH(Cashflows!B56,'Inflation projection'!$B$37:$B$46,0),)*INDEX('Exchange Rate Projection'!$G$6:$G$21,MATCH(Cashflows!B56,'Exchange Rate Projection'!$B$6:$B$21,0),)</f>
        <v>2810106.4150288301</v>
      </c>
      <c r="F56" s="201">
        <f>'Sponsorship Projection'!F56</f>
        <v>53050837.577793695</v>
      </c>
      <c r="G56" s="75"/>
      <c r="H56" s="201" cm="1">
        <f t="array" ref="H56">INDEX('Expense projection'!$AB$9:$AB$24,MATCH(Cashflows!$B56,'Expense projection'!$B$9:$B$24,0),)</f>
        <v>1048028948.9049282</v>
      </c>
      <c r="I56" s="204">
        <f>E56*G35</f>
        <v>1126166.4200608749</v>
      </c>
      <c r="J56" s="201">
        <v>51823594.676977642</v>
      </c>
      <c r="K56" s="201"/>
      <c r="L56" s="201">
        <f t="shared" si="9"/>
        <v>2911182.895784013</v>
      </c>
    </row>
    <row r="57" spans="2:12" x14ac:dyDescent="0.2">
      <c r="B57">
        <f t="shared" si="10"/>
        <v>2026</v>
      </c>
      <c r="C57" s="203">
        <v>0</v>
      </c>
      <c r="D57" s="226">
        <f t="shared" si="7"/>
        <v>2861633.2410471714</v>
      </c>
      <c r="E57" s="203" cm="1">
        <f t="array" ref="E57">D57*INDEX('Inflation projection'!$G$37:$G$46,MATCH(Cashflows!B57,'Inflation projection'!$B$37:$B$46,0),)*INDEX('Exchange Rate Projection'!$G$6:$G$21,MATCH(Cashflows!B57,'Exchange Rate Projection'!$B$6:$B$21,0),)</f>
        <v>2896149.4764231755</v>
      </c>
      <c r="F57" s="201">
        <f>'Sponsorship Projection'!F57</f>
        <v>58973816.019025974</v>
      </c>
      <c r="G57" s="75"/>
      <c r="H57" s="201" cm="1">
        <f t="array" ref="H57">INDEX('Expense projection'!$AB$9:$AB$24,MATCH(Cashflows!$B57,'Expense projection'!$B$9:$B$24,0),)</f>
        <v>1133957598.7374101</v>
      </c>
      <c r="I57" s="204">
        <f t="shared" si="8"/>
        <v>1189607.9260790953</v>
      </c>
      <c r="J57" s="201">
        <v>52778744.519415967</v>
      </c>
      <c r="K57" s="201"/>
      <c r="L57" s="201">
        <f t="shared" si="9"/>
        <v>7901613.0499540865</v>
      </c>
    </row>
    <row r="58" spans="2:12" x14ac:dyDescent="0.2">
      <c r="B58">
        <f t="shared" si="10"/>
        <v>2027</v>
      </c>
      <c r="C58" s="203">
        <v>0</v>
      </c>
      <c r="D58" s="226">
        <f t="shared" si="7"/>
        <v>2914626.4492147118</v>
      </c>
      <c r="E58" s="203" cm="1">
        <f t="array" ref="E58">D58*INDEX('Inflation projection'!$G$37:$G$46,MATCH(Cashflows!B58,'Inflation projection'!$B$37:$B$46,0),)*INDEX('Exchange Rate Projection'!$G$6:$G$21,MATCH(Cashflows!B58,'Exchange Rate Projection'!$B$6:$B$21,0),)</f>
        <v>2962454.2988470378</v>
      </c>
      <c r="F58" s="201">
        <f>'Sponsorship Projection'!F58</f>
        <v>61746803.199922003</v>
      </c>
      <c r="G58" s="75"/>
      <c r="H58" s="201" cm="1">
        <f t="array" ref="H58">INDEX('Expense projection'!$AB$9:$AB$24,MATCH(Cashflows!$B58,'Expense projection'!$B$9:$B$24,0),)</f>
        <v>1232109304.9723711</v>
      </c>
      <c r="I58" s="204">
        <f t="shared" si="8"/>
        <v>1244785.2602930511</v>
      </c>
      <c r="J58" s="201">
        <v>54129865.998693809</v>
      </c>
      <c r="K58" s="201"/>
      <c r="L58" s="201">
        <f t="shared" si="9"/>
        <v>9334606.2397821769</v>
      </c>
    </row>
    <row r="59" spans="2:12" x14ac:dyDescent="0.2">
      <c r="B59">
        <f t="shared" si="10"/>
        <v>2028</v>
      </c>
      <c r="C59" s="203">
        <v>0</v>
      </c>
      <c r="D59" s="226">
        <f t="shared" si="7"/>
        <v>2967619.6573822517</v>
      </c>
      <c r="E59" s="203" cm="1">
        <f t="array" ref="E59">D59*INDEX('Inflation projection'!$G$37:$G$46,MATCH(Cashflows!B59,'Inflation projection'!$B$37:$B$46,0),)*INDEX('Exchange Rate Projection'!$G$6:$G$21,MATCH(Cashflows!B59,'Exchange Rate Projection'!$B$6:$B$21,0),)</f>
        <v>3053640.3726006704</v>
      </c>
      <c r="F59" s="201">
        <f>'Sponsorship Projection'!F59</f>
        <v>61681918.513945505</v>
      </c>
      <c r="G59" s="75"/>
      <c r="H59" s="201" cm="1">
        <f t="array" ref="H59">INDEX('Expense projection'!$AB$9:$AB$24,MATCH(Cashflows!$B59,'Expense projection'!$B$9:$B$24,0),)</f>
        <v>1330781505.6181183</v>
      </c>
      <c r="I59" s="204">
        <f t="shared" si="8"/>
        <v>1310314.4401874971</v>
      </c>
      <c r="J59" s="201">
        <v>55323852.504469492</v>
      </c>
      <c r="K59" s="201"/>
      <c r="L59" s="201">
        <f t="shared" si="9"/>
        <v>8101391.9418891817</v>
      </c>
    </row>
    <row r="60" spans="2:12" x14ac:dyDescent="0.2">
      <c r="B60">
        <f t="shared" si="10"/>
        <v>2029</v>
      </c>
      <c r="C60" s="203">
        <v>0</v>
      </c>
      <c r="D60" s="226">
        <f t="shared" si="7"/>
        <v>3020612.8655497921</v>
      </c>
      <c r="E60" s="203" cm="1">
        <f t="array" ref="E60">D60*INDEX('Inflation projection'!$G$37:$G$46,MATCH(Cashflows!B60,'Inflation projection'!$B$37:$B$46,0),)*INDEX('Exchange Rate Projection'!$G$6:$G$21,MATCH(Cashflows!B60,'Exchange Rate Projection'!$B$6:$B$21,0),)</f>
        <v>3124995.7342273504</v>
      </c>
      <c r="F60" s="201">
        <f>'Sponsorship Projection'!F60</f>
        <v>64536491.581198819</v>
      </c>
      <c r="G60" s="75"/>
      <c r="H60" s="201" cm="1">
        <f t="array" ref="H60">INDEX('Expense projection'!$AB$9:$AB$24,MATCH(Cashflows!$B60,'Expense projection'!$B$9:$B$24,0),)</f>
        <v>1438049100.2139256</v>
      </c>
      <c r="I60" s="204">
        <f>E60*G39</f>
        <v>1367288.1736557847</v>
      </c>
      <c r="J60" s="201">
        <v>56699932.650815003</v>
      </c>
      <c r="K60" s="201"/>
      <c r="L60" s="201">
        <f t="shared" si="9"/>
        <v>9594266.4909553826</v>
      </c>
    </row>
    <row r="61" spans="2:12" x14ac:dyDescent="0.2">
      <c r="B61">
        <f t="shared" si="10"/>
        <v>2030</v>
      </c>
      <c r="C61" s="203">
        <v>0</v>
      </c>
      <c r="D61" s="226">
        <f t="shared" si="7"/>
        <v>3073606.073717332</v>
      </c>
      <c r="E61" s="203" cm="1">
        <f t="array" ref="E61">D61*INDEX('Inflation projection'!$G$37:$G$46,MATCH(Cashflows!B61,'Inflation projection'!$B$37:$B$46,0),)*INDEX('Exchange Rate Projection'!$G$6:$G$21,MATCH(Cashflows!B61,'Exchange Rate Projection'!$B$6:$B$21,0),)</f>
        <v>3224711.603625468</v>
      </c>
      <c r="F61" s="201">
        <f>'Sponsorship Projection'!F61</f>
        <v>64445811.148284808</v>
      </c>
      <c r="G61" s="75"/>
      <c r="H61" s="201" cm="1">
        <f t="array" ref="H61">INDEX('Expense projection'!$AB$9:$AB$24,MATCH(Cashflows!$B61,'Expense projection'!$B$9:$B$24,0),)</f>
        <v>1550370827.1441748</v>
      </c>
      <c r="I61" s="204">
        <f t="shared" si="8"/>
        <v>1436691.8764354941</v>
      </c>
      <c r="J61" s="201">
        <v>58095183.239330627</v>
      </c>
      <c r="K61" s="201"/>
      <c r="L61" s="201">
        <f t="shared" si="9"/>
        <v>8138647.6361441463</v>
      </c>
    </row>
    <row r="62" spans="2:12" x14ac:dyDescent="0.2">
      <c r="B62">
        <f t="shared" si="10"/>
        <v>2031</v>
      </c>
      <c r="C62" s="203">
        <v>0</v>
      </c>
      <c r="D62" s="226">
        <f t="shared" si="7"/>
        <v>3126599.2818848719</v>
      </c>
      <c r="E62" s="203" cm="1">
        <f t="array" ref="E62">D62*INDEX('Inflation projection'!$G$37:$G$46,MATCH(Cashflows!B62,'Inflation projection'!$B$37:$B$46,0),)*INDEX('Exchange Rate Projection'!$G$6:$G$21,MATCH(Cashflows!B62,'Exchange Rate Projection'!$B$6:$B$21,0),)</f>
        <v>3293199.2629832341</v>
      </c>
      <c r="F62" s="201">
        <f>'Sponsorship Projection'!F62</f>
        <v>65801904.84296874</v>
      </c>
      <c r="G62" s="75"/>
      <c r="H62" s="201" cm="1">
        <f t="array" ref="H62">INDEX('Expense projection'!$AB$9:$AB$24,MATCH(Cashflows!$B62,'Expense projection'!$B$9:$B$24,0),)</f>
        <v>1659202675.886076</v>
      </c>
      <c r="I62" s="204">
        <f t="shared" si="8"/>
        <v>1492186.3165202714</v>
      </c>
      <c r="J62" s="201">
        <v>59533872.039738379</v>
      </c>
      <c r="K62" s="201"/>
      <c r="L62" s="201">
        <f t="shared" si="9"/>
        <v>8069045.7496933267</v>
      </c>
    </row>
    <row r="64" spans="2:12" x14ac:dyDescent="0.2">
      <c r="B64" s="34" t="s">
        <v>204</v>
      </c>
      <c r="C64" s="75" t="s">
        <v>205</v>
      </c>
      <c r="D64" s="77" t="s">
        <v>206</v>
      </c>
      <c r="E64" s="77" t="s">
        <v>207</v>
      </c>
      <c r="F64" t="s">
        <v>199</v>
      </c>
      <c r="G64" t="s">
        <v>208</v>
      </c>
      <c r="H64" t="s">
        <v>209</v>
      </c>
      <c r="I64" t="s">
        <v>210</v>
      </c>
      <c r="J64" s="75" t="s">
        <v>238</v>
      </c>
      <c r="K64" t="s">
        <v>239</v>
      </c>
    </row>
    <row r="65" spans="2:14" x14ac:dyDescent="0.2">
      <c r="B65">
        <v>2022</v>
      </c>
      <c r="C65" s="231">
        <f t="shared" ref="C65:C74" si="11">-J53*(1+$C$80)</f>
        <v>-58694848.849555813</v>
      </c>
      <c r="D65" s="231">
        <f t="shared" ref="D65:D74" si="12">-I53</f>
        <v>-960334.75585387531</v>
      </c>
      <c r="E65" s="231">
        <f t="shared" ref="E65:E74" si="13">E53</f>
        <v>2618188.96131599</v>
      </c>
      <c r="F65" s="231">
        <f t="shared" ref="F65:F74" si="14">F53*(1-$C$79)</f>
        <v>21826431.163841099</v>
      </c>
      <c r="G65" s="231">
        <f t="shared" ref="G65:G73" si="15">C65+D65+E65+F65</f>
        <v>-35210563.480252601</v>
      </c>
      <c r="H65" s="205">
        <f>1/(1+C78)</f>
        <v>0.94364198877457683</v>
      </c>
      <c r="I65" s="231">
        <f t="shared" ref="I65:I73" si="16">G65*H65</f>
        <v>-33226166.14837905</v>
      </c>
      <c r="J65" s="231">
        <f>-SUM(I65:$I$74)</f>
        <v>151659250.52250493</v>
      </c>
      <c r="K65" s="231">
        <v>-18845927.937351443</v>
      </c>
      <c r="N65" s="233"/>
    </row>
    <row r="66" spans="2:14" x14ac:dyDescent="0.2">
      <c r="B66">
        <f t="shared" ref="B66:B74" si="17">B65+1</f>
        <v>2023</v>
      </c>
      <c r="C66" s="231">
        <f t="shared" si="11"/>
        <v>-59842455.19318749</v>
      </c>
      <c r="D66" s="231">
        <f t="shared" si="12"/>
        <v>-1018002.0150456374</v>
      </c>
      <c r="E66" s="231">
        <f t="shared" si="13"/>
        <v>2687166.5832087565</v>
      </c>
      <c r="F66" s="231">
        <f t="shared" si="14"/>
        <v>29533359.20729284</v>
      </c>
      <c r="G66" s="231">
        <f t="shared" si="15"/>
        <v>-28639931.417731531</v>
      </c>
      <c r="H66" s="205">
        <f>H65/(1+$C$78)</f>
        <v>0.89046020297843864</v>
      </c>
      <c r="I66" s="231">
        <f>G66*H66</f>
        <v>-25502719.143521782</v>
      </c>
      <c r="J66" s="231">
        <f>-SUM(I66:$I$74)*(1+$C$78)</f>
        <v>125506374.00941038</v>
      </c>
      <c r="K66" s="231">
        <v>-10046928.085255861</v>
      </c>
      <c r="N66" s="233"/>
    </row>
    <row r="67" spans="2:14" x14ac:dyDescent="0.2">
      <c r="B67">
        <f t="shared" si="17"/>
        <v>2024</v>
      </c>
      <c r="C67" s="231">
        <f t="shared" si="11"/>
        <v>-61003221.030402645</v>
      </c>
      <c r="D67" s="231">
        <f>-I55</f>
        <v>-1074447.168756221</v>
      </c>
      <c r="E67" s="231">
        <f t="shared" si="13"/>
        <v>2754027.0038421112</v>
      </c>
      <c r="F67" s="231">
        <f t="shared" si="14"/>
        <v>36249026.34304975</v>
      </c>
      <c r="G67" s="231">
        <f t="shared" si="15"/>
        <v>-23074614.852267012</v>
      </c>
      <c r="H67" s="205">
        <f t="shared" ref="H67:H74" si="18">H66/(1+$C$78)</f>
        <v>0.84027563686318718</v>
      </c>
      <c r="I67" s="231">
        <f t="shared" si="16"/>
        <v>-19389036.690361422</v>
      </c>
      <c r="J67" s="231">
        <f>-SUM(I67:$I$74)*(1+$C$78)^2</f>
        <v>104362176.90556832</v>
      </c>
      <c r="K67" s="231">
        <v>-3230989.8660043916</v>
      </c>
    </row>
    <row r="68" spans="2:14" x14ac:dyDescent="0.2">
      <c r="B68">
        <f t="shared" si="17"/>
        <v>2025</v>
      </c>
      <c r="C68" s="231">
        <f t="shared" si="11"/>
        <v>-62188313.612373166</v>
      </c>
      <c r="D68" s="231">
        <f t="shared" si="12"/>
        <v>-1126166.4200608749</v>
      </c>
      <c r="E68" s="231">
        <f t="shared" si="13"/>
        <v>2810106.4150288301</v>
      </c>
      <c r="F68" s="231">
        <f t="shared" si="14"/>
        <v>42440670.06223496</v>
      </c>
      <c r="G68" s="231">
        <f t="shared" si="15"/>
        <v>-18063703.555170245</v>
      </c>
      <c r="H68" s="205">
        <f t="shared" si="18"/>
        <v>0.7929193730884021</v>
      </c>
      <c r="I68" s="231">
        <f t="shared" si="16"/>
        <v>-14323060.498620331</v>
      </c>
      <c r="J68" s="231">
        <f>-SUM(I68:$I$74)*(1+$C$78)^3</f>
        <v>87520481.749034181</v>
      </c>
      <c r="K68" s="231">
        <v>2308333.3166707386</v>
      </c>
    </row>
    <row r="69" spans="2:14" x14ac:dyDescent="0.2">
      <c r="B69">
        <f t="shared" si="17"/>
        <v>2026</v>
      </c>
      <c r="C69" s="231">
        <f t="shared" si="11"/>
        <v>-63334493.423299156</v>
      </c>
      <c r="D69" s="231">
        <f>-I57</f>
        <v>-1189607.9260790953</v>
      </c>
      <c r="E69" s="231">
        <f t="shared" si="13"/>
        <v>2896149.4764231755</v>
      </c>
      <c r="F69" s="231">
        <f t="shared" si="14"/>
        <v>47179052.815220781</v>
      </c>
      <c r="G69" s="231">
        <f t="shared" si="15"/>
        <v>-14448899.057734296</v>
      </c>
      <c r="H69" s="205">
        <f t="shared" si="18"/>
        <v>0.7482320141590304</v>
      </c>
      <c r="I69" s="231">
        <f t="shared" si="16"/>
        <v>-10811128.844349049</v>
      </c>
      <c r="J69" s="231">
        <f>-SUM(I69:$I$74)*(1+$C$78)^4</f>
        <v>74683845.610895574</v>
      </c>
      <c r="K69" s="231">
        <v>5912239.8474724256</v>
      </c>
    </row>
    <row r="70" spans="2:14" x14ac:dyDescent="0.2">
      <c r="B70">
        <f t="shared" si="17"/>
        <v>2027</v>
      </c>
      <c r="C70" s="231">
        <f t="shared" si="11"/>
        <v>-64955839.198432565</v>
      </c>
      <c r="D70" s="231">
        <f t="shared" si="12"/>
        <v>-1244785.2602930511</v>
      </c>
      <c r="E70" s="231">
        <f t="shared" si="13"/>
        <v>2962454.2988470378</v>
      </c>
      <c r="F70" s="231">
        <f t="shared" si="14"/>
        <v>49397442.559937604</v>
      </c>
      <c r="G70" s="231">
        <f t="shared" si="15"/>
        <v>-13840727.599940978</v>
      </c>
      <c r="H70" s="205">
        <f t="shared" si="18"/>
        <v>0.70606314590583474</v>
      </c>
      <c r="I70" s="231">
        <f t="shared" si="16"/>
        <v>-9772427.6708400398</v>
      </c>
      <c r="J70" s="231">
        <f>-SUM(I70:$I$74)*(1+$C$78)^5</f>
        <v>64695359.569290966</v>
      </c>
      <c r="K70" s="231">
        <v>6590821.4474528385</v>
      </c>
    </row>
    <row r="71" spans="2:14" x14ac:dyDescent="0.2">
      <c r="B71">
        <f t="shared" si="17"/>
        <v>2028</v>
      </c>
      <c r="C71" s="231">
        <f t="shared" si="11"/>
        <v>-66388623.00536339</v>
      </c>
      <c r="D71" s="231">
        <f t="shared" si="12"/>
        <v>-1310314.4401874971</v>
      </c>
      <c r="E71" s="231">
        <f t="shared" si="13"/>
        <v>3053640.3726006704</v>
      </c>
      <c r="F71" s="231">
        <f t="shared" si="14"/>
        <v>49345534.811156407</v>
      </c>
      <c r="G71" s="231">
        <f>C71+D71+E71+F71</f>
        <v>-15299762.261793815</v>
      </c>
      <c r="H71" s="205">
        <f t="shared" si="18"/>
        <v>0.66627083120301611</v>
      </c>
      <c r="I71" s="231">
        <f t="shared" si="16"/>
        <v>-10193785.319373902</v>
      </c>
      <c r="J71" s="231">
        <f>-SUM(I71:$I$74)*(1+$C$78)^6</f>
        <v>54718493.31105835</v>
      </c>
      <c r="K71" s="231">
        <v>5397721.1430239221</v>
      </c>
    </row>
    <row r="72" spans="2:14" x14ac:dyDescent="0.2">
      <c r="B72">
        <f t="shared" si="17"/>
        <v>2029</v>
      </c>
      <c r="C72" s="231">
        <f t="shared" si="11"/>
        <v>-68039919.180978</v>
      </c>
      <c r="D72" s="231">
        <f t="shared" si="12"/>
        <v>-1367288.1736557847</v>
      </c>
      <c r="E72" s="231">
        <f t="shared" si="13"/>
        <v>3124995.7342273504</v>
      </c>
      <c r="F72" s="231">
        <f t="shared" si="14"/>
        <v>51629193.26495906</v>
      </c>
      <c r="G72" s="231">
        <f t="shared" si="15"/>
        <v>-14653018.355447367</v>
      </c>
      <c r="H72" s="205">
        <f t="shared" si="18"/>
        <v>0.62872113221890447</v>
      </c>
      <c r="I72" s="231">
        <f t="shared" si="16"/>
        <v>-9212662.2908612583</v>
      </c>
      <c r="J72" s="231">
        <f>-SUM(I72:$I$74)*(1+$C$78)^7</f>
        <v>42686734.695719004</v>
      </c>
      <c r="K72" s="231">
        <v>6032118.091003364</v>
      </c>
    </row>
    <row r="73" spans="2:14" x14ac:dyDescent="0.2">
      <c r="B73">
        <f t="shared" si="17"/>
        <v>2030</v>
      </c>
      <c r="C73" s="231">
        <f t="shared" si="11"/>
        <v>-69714219.887196749</v>
      </c>
      <c r="D73" s="231">
        <f t="shared" si="12"/>
        <v>-1436691.8764354941</v>
      </c>
      <c r="E73" s="231">
        <f t="shared" si="13"/>
        <v>3224711.603625468</v>
      </c>
      <c r="F73" s="231">
        <f t="shared" si="14"/>
        <v>51556648.918627851</v>
      </c>
      <c r="G73" s="231">
        <f t="shared" si="15"/>
        <v>-16369551.241378926</v>
      </c>
      <c r="H73" s="205">
        <f t="shared" si="18"/>
        <v>0.59328765959165064</v>
      </c>
      <c r="I73" s="231">
        <f t="shared" si="16"/>
        <v>-9711852.744563302</v>
      </c>
      <c r="J73" s="231">
        <f>-SUM(I73:$I$74)*(1+$C$78)^8</f>
        <v>30583136.037335049</v>
      </c>
      <c r="K73" s="231">
        <v>4828559.208289085</v>
      </c>
    </row>
    <row r="74" spans="2:14" x14ac:dyDescent="0.2">
      <c r="B74">
        <f t="shared" si="17"/>
        <v>2031</v>
      </c>
      <c r="C74" s="231">
        <f t="shared" si="11"/>
        <v>-71440646.447686046</v>
      </c>
      <c r="D74" s="231">
        <f t="shared" si="12"/>
        <v>-1492186.3165202714</v>
      </c>
      <c r="E74" s="231">
        <f t="shared" si="13"/>
        <v>3293199.2629832341</v>
      </c>
      <c r="F74" s="231">
        <f t="shared" si="14"/>
        <v>52641523.874374993</v>
      </c>
      <c r="G74" s="231">
        <f>C74+D74+E74+F74</f>
        <v>-16998109.626848094</v>
      </c>
      <c r="H74" s="205">
        <f t="shared" si="18"/>
        <v>0.5598511470124794</v>
      </c>
      <c r="I74" s="231">
        <f>G74*H74</f>
        <v>-9516411.1716347728</v>
      </c>
      <c r="J74" s="231">
        <f>-SUM(I74:$I$74)*(1+$C$78)^9</f>
        <v>16040129.973687213</v>
      </c>
      <c r="K74" s="231">
        <v>4517464.5182619765</v>
      </c>
    </row>
    <row r="75" spans="2:14" x14ac:dyDescent="0.2">
      <c r="C75" s="194"/>
      <c r="D75" s="194"/>
      <c r="E75" s="194"/>
      <c r="F75" s="194"/>
    </row>
    <row r="76" spans="2:14" x14ac:dyDescent="0.2">
      <c r="C76" s="194"/>
      <c r="D76" s="195"/>
      <c r="E76" s="195"/>
    </row>
    <row r="77" spans="2:14" x14ac:dyDescent="0.2">
      <c r="D77" s="195" t="s">
        <v>211</v>
      </c>
      <c r="E77" s="77" t="s">
        <v>212</v>
      </c>
    </row>
    <row r="78" spans="2:14" x14ac:dyDescent="0.2">
      <c r="B78" s="34" t="s">
        <v>140</v>
      </c>
      <c r="C78" s="197">
        <f>'Cost of Capital'!C15</f>
        <v>5.9723933330489407E-2</v>
      </c>
    </row>
    <row r="79" spans="2:14" x14ac:dyDescent="0.2">
      <c r="B79" t="s">
        <v>213</v>
      </c>
      <c r="C79" s="197">
        <v>0.2</v>
      </c>
      <c r="D79" s="207">
        <v>0.79876478929251615</v>
      </c>
      <c r="E79" s="76"/>
    </row>
    <row r="80" spans="2:14" x14ac:dyDescent="0.2">
      <c r="B80" t="s">
        <v>214</v>
      </c>
      <c r="C80" s="197">
        <v>0.2</v>
      </c>
      <c r="D80" s="207">
        <v>2.2587958155120162</v>
      </c>
    </row>
    <row r="82" spans="2:8" x14ac:dyDescent="0.2">
      <c r="B82" s="34" t="s">
        <v>215</v>
      </c>
      <c r="C82" s="200" t="e">
        <f>IRR(G65:G74)</f>
        <v>#NUM!</v>
      </c>
    </row>
    <row r="83" spans="2:8" x14ac:dyDescent="0.2">
      <c r="B83" t="s">
        <v>216</v>
      </c>
      <c r="C83" s="201">
        <f>SUM(I65:I74)</f>
        <v>-151659250.52250493</v>
      </c>
      <c r="D83" s="75"/>
    </row>
    <row r="84" spans="2:8" x14ac:dyDescent="0.2">
      <c r="B84" t="s">
        <v>217</v>
      </c>
      <c r="C84" s="75">
        <v>950000000</v>
      </c>
    </row>
    <row r="85" spans="2:8" x14ac:dyDescent="0.2">
      <c r="B85" t="s">
        <v>218</v>
      </c>
      <c r="C85" s="75">
        <f>C84+C83</f>
        <v>798340749.47749507</v>
      </c>
    </row>
    <row r="88" spans="2:8" x14ac:dyDescent="0.2">
      <c r="F88" s="104" t="s">
        <v>219</v>
      </c>
    </row>
    <row r="89" spans="2:8" x14ac:dyDescent="0.2">
      <c r="B89" s="77"/>
      <c r="C89" s="206">
        <f>C83</f>
        <v>-151659250.52250493</v>
      </c>
      <c r="D89" s="186">
        <v>0</v>
      </c>
      <c r="E89" s="186">
        <v>0.01</v>
      </c>
      <c r="F89" s="186">
        <v>0.02</v>
      </c>
      <c r="G89" s="186">
        <v>0.03</v>
      </c>
      <c r="H89" s="186">
        <v>0.04</v>
      </c>
    </row>
    <row r="90" spans="2:8" x14ac:dyDescent="0.2">
      <c r="B90" s="77"/>
      <c r="C90" s="199">
        <f>C91-1%</f>
        <v>3.9723933330489403E-2</v>
      </c>
      <c r="D90" s="202">
        <f t="dataTable" ref="D90:H94" dt2D="1" dtr="1" r1="C47" r2="C78" ca="1"/>
        <v>-165670359.26684627</v>
      </c>
      <c r="E90" s="202">
        <v>-165141856.75608709</v>
      </c>
      <c r="F90" s="202">
        <v>-164613354.24532792</v>
      </c>
      <c r="G90" s="202">
        <v>-164084851.73456872</v>
      </c>
      <c r="H90" s="202">
        <v>-163556349.22380954</v>
      </c>
    </row>
    <row r="91" spans="2:8" x14ac:dyDescent="0.2">
      <c r="B91" s="77"/>
      <c r="C91" s="199">
        <f>C92-1%</f>
        <v>4.9723933330489405E-2</v>
      </c>
      <c r="D91" s="202">
        <v>-158898719.4299607</v>
      </c>
      <c r="E91" s="202">
        <v>-158404825.41744837</v>
      </c>
      <c r="F91" s="202">
        <v>-157910931.40493596</v>
      </c>
      <c r="G91" s="202">
        <v>-157417037.39242357</v>
      </c>
      <c r="H91" s="202">
        <v>-156923143.37991121</v>
      </c>
    </row>
    <row r="92" spans="2:8" x14ac:dyDescent="0.2">
      <c r="B92" s="104" t="s">
        <v>140</v>
      </c>
      <c r="C92" s="199">
        <v>5.9723933330489407E-2</v>
      </c>
      <c r="D92" s="202">
        <v>-152583382.9527615</v>
      </c>
      <c r="E92" s="202">
        <v>-152121316.73763317</v>
      </c>
      <c r="F92" s="202">
        <v>-151659250.52250493</v>
      </c>
      <c r="G92" s="202">
        <v>-151197184.30737659</v>
      </c>
      <c r="H92" s="202">
        <v>-150735118.09224832</v>
      </c>
    </row>
    <row r="93" spans="2:8" x14ac:dyDescent="0.2">
      <c r="C93" s="199">
        <f>C92+1%</f>
        <v>6.9723933330489402E-2</v>
      </c>
      <c r="D93" s="202">
        <v>-146685548.49571133</v>
      </c>
      <c r="E93" s="202">
        <v>-146252786.35145155</v>
      </c>
      <c r="F93" s="202">
        <v>-145820024.20719171</v>
      </c>
      <c r="G93" s="202">
        <v>-145387262.0629319</v>
      </c>
      <c r="H93" s="202">
        <v>-144954499.91867211</v>
      </c>
    </row>
    <row r="94" spans="2:8" x14ac:dyDescent="0.2">
      <c r="C94" s="199">
        <f>C93+1%</f>
        <v>7.9723933330489397E-2</v>
      </c>
      <c r="D94" s="202">
        <v>-141170232.34525707</v>
      </c>
      <c r="E94" s="202">
        <v>-140764481.05187047</v>
      </c>
      <c r="F94" s="202">
        <v>-140358729.7584838</v>
      </c>
      <c r="G94" s="202">
        <v>-139952978.46509713</v>
      </c>
      <c r="H94" s="202">
        <v>-139547227.17171049</v>
      </c>
    </row>
    <row r="98" spans="2:9" x14ac:dyDescent="0.2">
      <c r="F98" s="104" t="s">
        <v>214</v>
      </c>
    </row>
    <row r="99" spans="2:9" x14ac:dyDescent="0.2">
      <c r="B99" t="s">
        <v>216</v>
      </c>
      <c r="C99" s="206">
        <f>$C$83</f>
        <v>-151659250.52250493</v>
      </c>
      <c r="D99" s="71">
        <v>-0.2</v>
      </c>
      <c r="E99" s="71">
        <v>-0.1</v>
      </c>
      <c r="F99" s="71">
        <v>0</v>
      </c>
      <c r="G99" s="71">
        <v>0.1</v>
      </c>
      <c r="H99" s="71">
        <v>0.2</v>
      </c>
      <c r="I99" s="71"/>
    </row>
    <row r="100" spans="2:9" x14ac:dyDescent="0.2">
      <c r="C100" s="76">
        <v>-0.2</v>
      </c>
      <c r="D100" s="202">
        <f t="dataTable" ref="D100:H104" dt2D="1" dtr="1" r1="C80" r2="C79"/>
        <v>158586073.88963023</v>
      </c>
      <c r="E100" s="202">
        <v>119347443.90951023</v>
      </c>
      <c r="F100" s="202">
        <v>80108813.929390222</v>
      </c>
      <c r="G100" s="202">
        <v>40870183.949270189</v>
      </c>
      <c r="H100" s="202">
        <v>1631553.9691502554</v>
      </c>
    </row>
    <row r="101" spans="2:9" x14ac:dyDescent="0.2">
      <c r="C101" s="76">
        <v>-0.1</v>
      </c>
      <c r="D101" s="202">
        <v>120263372.76671648</v>
      </c>
      <c r="E101" s="202">
        <v>81024742.786596477</v>
      </c>
      <c r="F101" s="202">
        <v>41786112.806476489</v>
      </c>
      <c r="G101" s="202">
        <v>2547482.8263564529</v>
      </c>
      <c r="H101" s="202">
        <v>-36691147.153763488</v>
      </c>
    </row>
    <row r="102" spans="2:9" x14ac:dyDescent="0.2">
      <c r="B102" s="34" t="s">
        <v>220</v>
      </c>
      <c r="C102" s="76">
        <v>0</v>
      </c>
      <c r="D102" s="202">
        <v>81940671.643802643</v>
      </c>
      <c r="E102" s="202">
        <v>42702041.663682647</v>
      </c>
      <c r="F102" s="202">
        <v>3463411.683562655</v>
      </c>
      <c r="G102" s="202">
        <v>-35775218.296557389</v>
      </c>
      <c r="H102" s="202">
        <v>-75013848.27667731</v>
      </c>
    </row>
    <row r="103" spans="2:9" x14ac:dyDescent="0.2">
      <c r="C103" s="76">
        <v>0.1</v>
      </c>
      <c r="D103" s="202">
        <v>43617970.520888843</v>
      </c>
      <c r="E103" s="202">
        <v>4379340.5407688469</v>
      </c>
      <c r="F103" s="202">
        <v>-34859289.439351149</v>
      </c>
      <c r="G103" s="202">
        <v>-74097919.419471174</v>
      </c>
      <c r="H103" s="202">
        <v>-113336549.39959112</v>
      </c>
    </row>
    <row r="104" spans="2:9" x14ac:dyDescent="0.2">
      <c r="C104" s="76">
        <v>0.2</v>
      </c>
      <c r="D104" s="202">
        <v>5295269.3979750555</v>
      </c>
      <c r="E104" s="202">
        <v>-33943360.582144938</v>
      </c>
      <c r="F104" s="202">
        <v>-73181990.562264919</v>
      </c>
      <c r="G104" s="202">
        <v>-112420620.54238497</v>
      </c>
      <c r="H104" s="202">
        <v>-151659250.52250493</v>
      </c>
    </row>
  </sheetData>
  <conditionalFormatting sqref="D100:H104">
    <cfRule type="colorScale" priority="2">
      <colorScale>
        <cfvo type="min"/>
        <cfvo type="percentile" val="50"/>
        <cfvo type="max"/>
        <color rgb="FFF8696B"/>
        <color rgb="FFFCFCFF"/>
        <color rgb="FF5A8AC6"/>
      </colorScale>
    </cfRule>
  </conditionalFormatting>
  <conditionalFormatting sqref="D90:H94">
    <cfRule type="colorScale" priority="1">
      <colorScale>
        <cfvo type="min"/>
        <cfvo type="percentile" val="50"/>
        <cfvo type="max"/>
        <color rgb="FFF8696B"/>
        <color rgb="FFFCFCFF"/>
        <color rgb="FF5A8AC6"/>
      </colorScale>
    </cfRule>
  </conditionalFormatting>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3E7D1-5073-314B-9C9F-132FFF3759DA}">
  <dimension ref="B6:M80"/>
  <sheetViews>
    <sheetView showGridLines="0" topLeftCell="A57" zoomScale="138" workbookViewId="0">
      <selection activeCell="D97" sqref="D97"/>
    </sheetView>
  </sheetViews>
  <sheetFormatPr baseColWidth="10" defaultColWidth="10.83203125" defaultRowHeight="15" x14ac:dyDescent="0.2"/>
  <cols>
    <col min="1" max="1" width="12" customWidth="1"/>
    <col min="2" max="2" width="11.83203125" customWidth="1"/>
    <col min="3" max="3" width="12.1640625" customWidth="1"/>
    <col min="4" max="4" width="15.5" customWidth="1"/>
    <col min="5" max="5" width="20.5" customWidth="1"/>
    <col min="6" max="6" width="19.1640625" customWidth="1"/>
    <col min="7" max="7" width="19" bestFit="1" customWidth="1"/>
    <col min="8" max="8" width="19.6640625" customWidth="1"/>
    <col min="9" max="9" width="17.5" customWidth="1"/>
    <col min="10" max="10" width="17.83203125" bestFit="1" customWidth="1"/>
    <col min="11" max="11" width="19.6640625" bestFit="1" customWidth="1"/>
  </cols>
  <sheetData>
    <row r="6" spans="2:11" ht="17" customHeight="1" x14ac:dyDescent="0.2">
      <c r="B6" s="34"/>
      <c r="C6" s="243" t="s">
        <v>163</v>
      </c>
      <c r="D6" s="244" t="s">
        <v>221</v>
      </c>
      <c r="E6" s="243" t="s">
        <v>222</v>
      </c>
      <c r="F6" s="34"/>
      <c r="H6" t="s">
        <v>223</v>
      </c>
      <c r="I6" t="s">
        <v>224</v>
      </c>
      <c r="J6" t="s">
        <v>225</v>
      </c>
    </row>
    <row r="7" spans="2:11" ht="17" customHeight="1" x14ac:dyDescent="0.2">
      <c r="B7" s="34"/>
      <c r="C7" s="238" t="s">
        <v>226</v>
      </c>
      <c r="D7" s="98">
        <v>791000000</v>
      </c>
      <c r="E7" s="239">
        <f>J7</f>
        <v>217998680.88431033</v>
      </c>
      <c r="F7" s="227"/>
      <c r="G7" s="77">
        <v>1</v>
      </c>
      <c r="H7" s="228">
        <f>0.25*$D7</f>
        <v>197750000</v>
      </c>
      <c r="I7" s="227">
        <f>H7*PRODUCT('Inflation projection'!$F$33:$F$36)</f>
        <v>220619092.95012793</v>
      </c>
      <c r="J7" s="227">
        <f>I7*'Exchange Rate Projection'!$G$12*'Inflation projection'!$F$37</f>
        <v>217998680.88431033</v>
      </c>
    </row>
    <row r="8" spans="2:11" ht="17" customHeight="1" x14ac:dyDescent="0.2">
      <c r="B8" s="34"/>
      <c r="C8" s="241" t="s">
        <v>173</v>
      </c>
      <c r="D8" s="245">
        <v>38000000</v>
      </c>
      <c r="E8" s="240">
        <f t="shared" ref="E8:E16" si="0">J8</f>
        <v>10472755.845263962</v>
      </c>
      <c r="F8" s="227"/>
      <c r="G8" s="77">
        <v>1</v>
      </c>
      <c r="H8" s="229">
        <f t="shared" ref="H8:H16" si="1">0.25*$D8</f>
        <v>9500000</v>
      </c>
      <c r="I8" s="227">
        <f>H8*PRODUCT('Inflation projection'!$F$33:$F$36)</f>
        <v>10598641.633508042</v>
      </c>
      <c r="J8" s="227">
        <f>I8*'Exchange Rate Projection'!$G$12*'Inflation projection'!$F$37</f>
        <v>10472755.845263962</v>
      </c>
    </row>
    <row r="9" spans="2:11" ht="17" customHeight="1" x14ac:dyDescent="0.2">
      <c r="B9" s="34"/>
      <c r="C9" s="241" t="s">
        <v>227</v>
      </c>
      <c r="D9" s="245">
        <v>28000000</v>
      </c>
      <c r="E9" s="240">
        <f t="shared" si="0"/>
        <v>7716767.46493134</v>
      </c>
      <c r="F9" s="227"/>
      <c r="G9" s="77">
        <v>1</v>
      </c>
      <c r="H9" s="229">
        <f t="shared" si="1"/>
        <v>7000000</v>
      </c>
      <c r="I9" s="227">
        <f>H9*PRODUCT('Inflation projection'!$F$33:$F$36)</f>
        <v>7809525.4141638204</v>
      </c>
      <c r="J9" s="227">
        <f>I9*'Exchange Rate Projection'!$G$12*'Inflation projection'!$F$37</f>
        <v>7716767.46493134</v>
      </c>
    </row>
    <row r="10" spans="2:11" ht="17" customHeight="1" x14ac:dyDescent="0.2">
      <c r="B10" s="34"/>
      <c r="C10" s="241" t="s">
        <v>175</v>
      </c>
      <c r="D10" s="245">
        <v>24000000</v>
      </c>
      <c r="E10" s="240">
        <f t="shared" si="0"/>
        <v>6614372.1127982903</v>
      </c>
      <c r="F10" s="227"/>
      <c r="G10" s="77">
        <v>1</v>
      </c>
      <c r="H10" s="229">
        <f t="shared" si="1"/>
        <v>6000000</v>
      </c>
      <c r="I10" s="227">
        <f>H10*PRODUCT('Inflation projection'!$F$33:$F$36)</f>
        <v>6693878.9264261313</v>
      </c>
      <c r="J10" s="227">
        <f>I10*'Exchange Rate Projection'!$G$12*'Inflation projection'!$F$37</f>
        <v>6614372.1127982903</v>
      </c>
    </row>
    <row r="11" spans="2:11" ht="17" customHeight="1" x14ac:dyDescent="0.2">
      <c r="B11" s="34"/>
      <c r="C11" s="241" t="s">
        <v>176</v>
      </c>
      <c r="D11" s="245">
        <v>22000000</v>
      </c>
      <c r="E11" s="240">
        <f t="shared" si="0"/>
        <v>6063174.4367317669</v>
      </c>
      <c r="F11" s="227"/>
      <c r="G11" s="77">
        <v>1</v>
      </c>
      <c r="H11" s="229">
        <f t="shared" si="1"/>
        <v>5500000</v>
      </c>
      <c r="I11" s="227">
        <f>H11*PRODUCT('Inflation projection'!$F$33:$F$36)</f>
        <v>6136055.6825572876</v>
      </c>
      <c r="J11" s="227">
        <f>I11*'Exchange Rate Projection'!$G$12*'Inflation projection'!$F$37</f>
        <v>6063174.4367317669</v>
      </c>
    </row>
    <row r="12" spans="2:11" ht="17" customHeight="1" x14ac:dyDescent="0.2">
      <c r="B12" s="34"/>
      <c r="C12" s="241" t="s">
        <v>177</v>
      </c>
      <c r="D12" s="245">
        <v>16000000</v>
      </c>
      <c r="E12" s="240">
        <f t="shared" si="0"/>
        <v>4409581.4085321939</v>
      </c>
      <c r="F12" s="227"/>
      <c r="G12" s="77">
        <v>4</v>
      </c>
      <c r="H12" s="229">
        <f t="shared" si="1"/>
        <v>4000000</v>
      </c>
      <c r="I12" s="227">
        <f>H12*PRODUCT('Inflation projection'!$F$33:$F$36)</f>
        <v>4462585.9509507548</v>
      </c>
      <c r="J12" s="227">
        <f>I12*'Exchange Rate Projection'!$G$12*'Inflation projection'!$F$37</f>
        <v>4409581.4085321939</v>
      </c>
    </row>
    <row r="13" spans="2:11" ht="17" customHeight="1" x14ac:dyDescent="0.2">
      <c r="B13" s="34"/>
      <c r="C13" s="241" t="s">
        <v>178</v>
      </c>
      <c r="D13" s="245">
        <v>12000000</v>
      </c>
      <c r="E13" s="240">
        <f t="shared" si="0"/>
        <v>3307186.0563991452</v>
      </c>
      <c r="F13" s="227"/>
      <c r="G13" s="77">
        <v>8</v>
      </c>
      <c r="H13" s="229">
        <f t="shared" si="1"/>
        <v>3000000</v>
      </c>
      <c r="I13" s="227">
        <f>H13*PRODUCT('Inflation projection'!$F$33:$F$36)</f>
        <v>3346939.4632130656</v>
      </c>
      <c r="J13" s="227">
        <f>I13*'Exchange Rate Projection'!$G$12*'Inflation projection'!$F$37</f>
        <v>3307186.0563991452</v>
      </c>
    </row>
    <row r="14" spans="2:11" ht="17" customHeight="1" x14ac:dyDescent="0.2">
      <c r="B14" s="34"/>
      <c r="C14" s="241" t="s">
        <v>228</v>
      </c>
      <c r="D14" s="245">
        <v>8000000</v>
      </c>
      <c r="E14" s="240">
        <f t="shared" si="0"/>
        <v>2204790.7042660969</v>
      </c>
      <c r="F14" s="227"/>
      <c r="G14" s="77">
        <v>16</v>
      </c>
      <c r="H14" s="229">
        <f t="shared" si="1"/>
        <v>2000000</v>
      </c>
      <c r="I14" s="227">
        <f>H14*PRODUCT('Inflation projection'!$F$33:$F$36)</f>
        <v>2231292.9754753774</v>
      </c>
      <c r="J14" s="227">
        <f>I14*'Exchange Rate Projection'!$G$12*'Inflation projection'!$F$37</f>
        <v>2204790.7042660969</v>
      </c>
      <c r="K14" s="227">
        <f>SUM(J14:J15)</f>
        <v>2618188.96131599</v>
      </c>
    </row>
    <row r="15" spans="2:11" ht="17" customHeight="1" x14ac:dyDescent="0.2">
      <c r="B15" s="34"/>
      <c r="C15" s="241" t="s">
        <v>229</v>
      </c>
      <c r="D15" s="245">
        <v>1500000</v>
      </c>
      <c r="E15" s="240">
        <f t="shared" si="0"/>
        <v>413398.25704989315</v>
      </c>
      <c r="F15" s="227"/>
      <c r="G15" s="77">
        <v>32</v>
      </c>
      <c r="H15" s="229">
        <f t="shared" si="1"/>
        <v>375000</v>
      </c>
      <c r="I15" s="227">
        <f>H15*PRODUCT('Inflation projection'!$F$33:$F$36)</f>
        <v>418367.4329016332</v>
      </c>
      <c r="J15" s="227">
        <f>I15*'Exchange Rate Projection'!$G$12*'Inflation projection'!$F$37</f>
        <v>413398.25704989315</v>
      </c>
    </row>
    <row r="16" spans="2:11" ht="17" customHeight="1" x14ac:dyDescent="0.2">
      <c r="B16" s="34"/>
      <c r="C16" s="241" t="s">
        <v>182</v>
      </c>
      <c r="D16" s="245">
        <f>D7-SUMPRODUCT(D8:D15,$G$8:$G$15)</f>
        <v>343000000</v>
      </c>
      <c r="E16" s="240">
        <f t="shared" si="0"/>
        <v>94530401.445408911</v>
      </c>
      <c r="F16" s="75"/>
      <c r="G16" s="77"/>
      <c r="H16" s="94">
        <f t="shared" si="1"/>
        <v>85750000</v>
      </c>
      <c r="I16" s="227">
        <f>H16*PRODUCT('Inflation projection'!$F$33:$F$36)</f>
        <v>95666686.323506802</v>
      </c>
      <c r="J16" s="227">
        <f>I16*'Exchange Rate Projection'!$G$12*'Inflation projection'!$F$37</f>
        <v>94530401.445408911</v>
      </c>
    </row>
    <row r="17" spans="2:13" x14ac:dyDescent="0.2">
      <c r="B17" s="34"/>
      <c r="C17" s="238"/>
      <c r="D17" s="98"/>
      <c r="E17" s="242"/>
      <c r="F17" s="227"/>
      <c r="G17" s="84"/>
    </row>
    <row r="20" spans="2:13" x14ac:dyDescent="0.2">
      <c r="I20" s="227">
        <f>SUM(I14:I15)</f>
        <v>2649660.4083770104</v>
      </c>
    </row>
    <row r="23" spans="2:13" x14ac:dyDescent="0.2">
      <c r="D23" s="230">
        <f t="shared" ref="D23" si="2">I23</f>
        <v>0</v>
      </c>
    </row>
    <row r="31" spans="2:13" ht="23" customHeight="1" x14ac:dyDescent="0.2">
      <c r="C31" s="246" t="s">
        <v>233</v>
      </c>
      <c r="D31" s="247" t="s">
        <v>217</v>
      </c>
      <c r="E31" s="293" t="s">
        <v>194</v>
      </c>
      <c r="F31" s="293"/>
      <c r="G31" s="293" t="s">
        <v>195</v>
      </c>
      <c r="H31" s="293"/>
      <c r="I31" s="293" t="s">
        <v>231</v>
      </c>
      <c r="J31" s="293"/>
      <c r="K31" s="293"/>
      <c r="M31" s="238"/>
    </row>
    <row r="32" spans="2:13" ht="23" customHeight="1" x14ac:dyDescent="0.2">
      <c r="C32" s="248" t="s">
        <v>1</v>
      </c>
      <c r="D32" s="248" t="s">
        <v>196</v>
      </c>
      <c r="E32" s="248" t="s">
        <v>163</v>
      </c>
      <c r="F32" s="248" t="s">
        <v>199</v>
      </c>
      <c r="G32" s="248" t="s">
        <v>230</v>
      </c>
      <c r="H32" s="248" t="s">
        <v>232</v>
      </c>
      <c r="I32" s="248" t="s">
        <v>234</v>
      </c>
      <c r="J32" s="248" t="s">
        <v>235</v>
      </c>
      <c r="K32" s="248" t="s">
        <v>236</v>
      </c>
      <c r="M32" s="238"/>
    </row>
    <row r="33" spans="2:13" ht="23" customHeight="1" x14ac:dyDescent="0.2">
      <c r="B33" s="238"/>
      <c r="C33" s="249">
        <v>2022</v>
      </c>
      <c r="D33" s="250">
        <v>995000000</v>
      </c>
      <c r="E33" s="250">
        <v>2618188.96131599</v>
      </c>
      <c r="F33" s="250">
        <v>27283038.954801373</v>
      </c>
      <c r="G33" s="250">
        <v>960334.75585387531</v>
      </c>
      <c r="H33" s="250">
        <v>48912374.041296512</v>
      </c>
      <c r="I33" s="250">
        <v>975028519.11896694</v>
      </c>
      <c r="J33" s="252">
        <v>0.94364198877457683</v>
      </c>
      <c r="K33" s="250">
        <f>J48</f>
        <v>-18845927.937351443</v>
      </c>
      <c r="M33" s="238"/>
    </row>
    <row r="34" spans="2:13" ht="23" customHeight="1" x14ac:dyDescent="0.2">
      <c r="B34" s="238"/>
      <c r="C34" s="249">
        <v>2023</v>
      </c>
      <c r="D34" s="250">
        <v>0</v>
      </c>
      <c r="E34" s="250">
        <v>2687166.5832087565</v>
      </c>
      <c r="F34" s="250">
        <v>36916699.009116046</v>
      </c>
      <c r="G34" s="250">
        <v>1018002.0150456374</v>
      </c>
      <c r="H34" s="250">
        <v>49868712.660989575</v>
      </c>
      <c r="I34" s="250">
        <v>-11282849.08371041</v>
      </c>
      <c r="J34" s="252">
        <v>0.89046020297843864</v>
      </c>
      <c r="K34" s="250">
        <f t="shared" ref="K34:K42" si="3">J49</f>
        <v>-10046928.085255861</v>
      </c>
      <c r="M34" s="238"/>
    </row>
    <row r="35" spans="2:13" ht="23" customHeight="1" x14ac:dyDescent="0.2">
      <c r="B35" s="238"/>
      <c r="C35" s="249">
        <v>2024</v>
      </c>
      <c r="D35" s="250">
        <v>0</v>
      </c>
      <c r="E35" s="250">
        <v>2754027.0038421112</v>
      </c>
      <c r="F35" s="250">
        <v>45311282.928812183</v>
      </c>
      <c r="G35" s="250">
        <v>1074447.168756221</v>
      </c>
      <c r="H35" s="250">
        <v>50836017.525335543</v>
      </c>
      <c r="I35" s="250">
        <v>-3845154.7614374757</v>
      </c>
      <c r="J35" s="252">
        <v>0.84027563686318718</v>
      </c>
      <c r="K35" s="250">
        <f t="shared" si="3"/>
        <v>-3230989.8660043916</v>
      </c>
      <c r="M35" s="238"/>
    </row>
    <row r="36" spans="2:13" ht="23" customHeight="1" x14ac:dyDescent="0.2">
      <c r="B36" s="238"/>
      <c r="C36" s="249">
        <v>2025</v>
      </c>
      <c r="D36" s="250">
        <v>0</v>
      </c>
      <c r="E36" s="250">
        <v>2810106.4150288301</v>
      </c>
      <c r="F36" s="250">
        <v>53050837.577793695</v>
      </c>
      <c r="G36" s="250">
        <v>1126166.4200608749</v>
      </c>
      <c r="H36" s="250">
        <v>51823594.676977642</v>
      </c>
      <c r="I36" s="250">
        <v>2911182.895784013</v>
      </c>
      <c r="J36" s="252">
        <v>0.7929193730884021</v>
      </c>
      <c r="K36" s="250">
        <f t="shared" si="3"/>
        <v>2308333.3166707386</v>
      </c>
      <c r="M36" s="238"/>
    </row>
    <row r="37" spans="2:13" ht="23" customHeight="1" x14ac:dyDescent="0.2">
      <c r="B37" s="238"/>
      <c r="C37" s="249">
        <v>2026</v>
      </c>
      <c r="D37" s="250">
        <v>0</v>
      </c>
      <c r="E37" s="250">
        <v>2896149.4764231755</v>
      </c>
      <c r="F37" s="250">
        <v>58973816.019025974</v>
      </c>
      <c r="G37" s="250">
        <v>1189607.9260790953</v>
      </c>
      <c r="H37" s="250">
        <v>52778744.519415967</v>
      </c>
      <c r="I37" s="250">
        <v>7901613.0499540865</v>
      </c>
      <c r="J37" s="252">
        <v>0.7482320141590304</v>
      </c>
      <c r="K37" s="250">
        <f t="shared" si="3"/>
        <v>5912239.8474724256</v>
      </c>
      <c r="M37" s="238"/>
    </row>
    <row r="38" spans="2:13" ht="23" customHeight="1" x14ac:dyDescent="0.2">
      <c r="B38" s="238"/>
      <c r="C38" s="249">
        <v>2027</v>
      </c>
      <c r="D38" s="250">
        <v>0</v>
      </c>
      <c r="E38" s="250">
        <v>2962454.2988470378</v>
      </c>
      <c r="F38" s="250">
        <v>61746803.199922003</v>
      </c>
      <c r="G38" s="250">
        <v>1244785.2602930511</v>
      </c>
      <c r="H38" s="250">
        <v>54129865.998693809</v>
      </c>
      <c r="I38" s="250">
        <v>9334606.2397821769</v>
      </c>
      <c r="J38" s="252">
        <v>0.70606314590583474</v>
      </c>
      <c r="K38" s="250">
        <f t="shared" si="3"/>
        <v>6590821.4474528385</v>
      </c>
      <c r="M38" s="238"/>
    </row>
    <row r="39" spans="2:13" ht="23" customHeight="1" x14ac:dyDescent="0.2">
      <c r="B39" s="238"/>
      <c r="C39" s="249">
        <v>2028</v>
      </c>
      <c r="D39" s="250">
        <v>0</v>
      </c>
      <c r="E39" s="250">
        <v>3053640.3726006704</v>
      </c>
      <c r="F39" s="250">
        <v>61681918.513945505</v>
      </c>
      <c r="G39" s="250">
        <v>1310314.4401874971</v>
      </c>
      <c r="H39" s="250">
        <v>55323852.504469492</v>
      </c>
      <c r="I39" s="250">
        <v>8101391.9418891817</v>
      </c>
      <c r="J39" s="252">
        <v>0.66627083120301611</v>
      </c>
      <c r="K39" s="250">
        <f t="shared" si="3"/>
        <v>5397721.1430239221</v>
      </c>
      <c r="M39" s="238"/>
    </row>
    <row r="40" spans="2:13" ht="23" customHeight="1" x14ac:dyDescent="0.2">
      <c r="B40" s="238"/>
      <c r="C40" s="249">
        <v>2029</v>
      </c>
      <c r="D40" s="250">
        <v>0</v>
      </c>
      <c r="E40" s="250">
        <v>3124995.7342273504</v>
      </c>
      <c r="F40" s="250">
        <v>64536491.581198819</v>
      </c>
      <c r="G40" s="250">
        <v>1367288.1736557847</v>
      </c>
      <c r="H40" s="250">
        <v>56699932.650815003</v>
      </c>
      <c r="I40" s="250">
        <v>9594266.4909553826</v>
      </c>
      <c r="J40" s="252">
        <v>0.62872113221890447</v>
      </c>
      <c r="K40" s="250">
        <f t="shared" si="3"/>
        <v>6032118.091003364</v>
      </c>
      <c r="M40" s="238"/>
    </row>
    <row r="41" spans="2:13" ht="23" customHeight="1" x14ac:dyDescent="0.2">
      <c r="B41" s="238"/>
      <c r="C41" s="249">
        <v>2030</v>
      </c>
      <c r="D41" s="250">
        <v>0</v>
      </c>
      <c r="E41" s="250">
        <v>3224711.603625468</v>
      </c>
      <c r="F41" s="250">
        <v>64445811.148284808</v>
      </c>
      <c r="G41" s="250">
        <v>1436691.8764354941</v>
      </c>
      <c r="H41" s="250">
        <v>58095183.239330627</v>
      </c>
      <c r="I41" s="250">
        <v>8138647.6361441463</v>
      </c>
      <c r="J41" s="252">
        <v>0.59328765959165064</v>
      </c>
      <c r="K41" s="250">
        <f t="shared" si="3"/>
        <v>4828559.208289085</v>
      </c>
      <c r="M41" s="238"/>
    </row>
    <row r="42" spans="2:13" ht="23" customHeight="1" x14ac:dyDescent="0.2">
      <c r="B42" s="238"/>
      <c r="C42" s="249">
        <v>2031</v>
      </c>
      <c r="D42" s="250">
        <v>0</v>
      </c>
      <c r="E42" s="250">
        <v>3293199.2629832341</v>
      </c>
      <c r="F42" s="250">
        <v>65801904.84296874</v>
      </c>
      <c r="G42" s="250">
        <v>1492186.3165202714</v>
      </c>
      <c r="H42" s="250">
        <v>59533872.039738379</v>
      </c>
      <c r="I42" s="250">
        <v>8069045.7496933267</v>
      </c>
      <c r="J42" s="252">
        <v>0.5598511470124794</v>
      </c>
      <c r="K42" s="250">
        <f t="shared" si="3"/>
        <v>4517464.5182619765</v>
      </c>
      <c r="M42" s="238"/>
    </row>
    <row r="43" spans="2:13" ht="28" customHeight="1" x14ac:dyDescent="0.2">
      <c r="C43" s="251"/>
      <c r="D43" s="251"/>
      <c r="E43" s="251"/>
      <c r="F43" s="251"/>
      <c r="G43" s="251"/>
      <c r="H43" s="251"/>
      <c r="I43" s="251"/>
      <c r="J43" s="251"/>
      <c r="K43" s="251"/>
      <c r="L43" s="238"/>
      <c r="M43" s="238"/>
    </row>
    <row r="44" spans="2:13" x14ac:dyDescent="0.2">
      <c r="D44" s="238"/>
      <c r="E44" s="238"/>
      <c r="J44" s="238"/>
    </row>
    <row r="45" spans="2:13" x14ac:dyDescent="0.2">
      <c r="D45" s="238"/>
      <c r="E45" s="238"/>
      <c r="J45" s="238"/>
    </row>
    <row r="46" spans="2:13" x14ac:dyDescent="0.2">
      <c r="D46" s="238"/>
      <c r="E46" s="238"/>
    </row>
    <row r="47" spans="2:13" x14ac:dyDescent="0.2">
      <c r="C47" t="s">
        <v>204</v>
      </c>
      <c r="D47" s="238" t="s">
        <v>205</v>
      </c>
      <c r="E47" s="238" t="s">
        <v>206</v>
      </c>
      <c r="F47" t="s">
        <v>207</v>
      </c>
      <c r="G47" t="s">
        <v>199</v>
      </c>
      <c r="H47" t="s">
        <v>208</v>
      </c>
      <c r="I47" t="s">
        <v>209</v>
      </c>
      <c r="J47" t="s">
        <v>210</v>
      </c>
    </row>
    <row r="48" spans="2:13" x14ac:dyDescent="0.2">
      <c r="C48">
        <v>2022</v>
      </c>
      <c r="D48" s="238">
        <v>-48912374.041296512</v>
      </c>
      <c r="E48" s="238">
        <v>-960334.75585387531</v>
      </c>
      <c r="F48">
        <v>2618188.96131599</v>
      </c>
      <c r="G48">
        <v>27283038.954801373</v>
      </c>
      <c r="H48">
        <v>-19971480.881033026</v>
      </c>
      <c r="I48">
        <v>0.94364198877457683</v>
      </c>
      <c r="J48">
        <v>-18845927.937351443</v>
      </c>
      <c r="K48">
        <v>-32123845.888611697</v>
      </c>
    </row>
    <row r="49" spans="2:10" x14ac:dyDescent="0.2">
      <c r="C49">
        <v>2023</v>
      </c>
      <c r="D49" s="238">
        <v>-49868712.660989575</v>
      </c>
      <c r="E49" s="238">
        <v>-1018002.0150456374</v>
      </c>
      <c r="F49">
        <v>2687166.5832087565</v>
      </c>
      <c r="G49">
        <v>36916699.009116046</v>
      </c>
      <c r="H49">
        <v>-11282849.08371041</v>
      </c>
      <c r="I49">
        <v>0.89046020297843864</v>
      </c>
      <c r="J49">
        <v>-10046928.085255861</v>
      </c>
    </row>
    <row r="50" spans="2:10" x14ac:dyDescent="0.2">
      <c r="C50">
        <v>2024</v>
      </c>
      <c r="D50" s="238">
        <v>-50836017.525335543</v>
      </c>
      <c r="E50" s="238">
        <v>-1074447.168756221</v>
      </c>
      <c r="F50">
        <v>2754027.0038421112</v>
      </c>
      <c r="G50">
        <v>45311282.928812183</v>
      </c>
      <c r="H50">
        <v>-3845154.7614374757</v>
      </c>
      <c r="I50">
        <v>0.84027563686318718</v>
      </c>
      <c r="J50">
        <v>-3230989.8660043916</v>
      </c>
    </row>
    <row r="51" spans="2:10" x14ac:dyDescent="0.2">
      <c r="C51">
        <v>2025</v>
      </c>
      <c r="D51" s="238">
        <v>-51823594.676977642</v>
      </c>
      <c r="E51" s="238">
        <v>-1126166.4200608749</v>
      </c>
      <c r="F51">
        <v>2810106.4150288301</v>
      </c>
      <c r="G51">
        <v>53050837.577793695</v>
      </c>
      <c r="H51">
        <v>2911182.895784013</v>
      </c>
      <c r="I51">
        <v>0.7929193730884021</v>
      </c>
      <c r="J51">
        <v>2308333.3166707386</v>
      </c>
    </row>
    <row r="52" spans="2:10" x14ac:dyDescent="0.2">
      <c r="C52">
        <v>2026</v>
      </c>
      <c r="D52" s="238">
        <v>-52778744.519415967</v>
      </c>
      <c r="E52" s="238">
        <v>-1189607.9260790953</v>
      </c>
      <c r="F52">
        <v>2896149.4764231755</v>
      </c>
      <c r="G52">
        <v>58973816.019025974</v>
      </c>
      <c r="H52">
        <v>7901613.0499540865</v>
      </c>
      <c r="I52">
        <v>0.7482320141590304</v>
      </c>
      <c r="J52">
        <v>5912239.8474724256</v>
      </c>
    </row>
    <row r="53" spans="2:10" x14ac:dyDescent="0.2">
      <c r="C53">
        <v>2027</v>
      </c>
      <c r="D53" s="238">
        <v>-54129865.998693809</v>
      </c>
      <c r="E53" s="238">
        <v>-1244785.2602930511</v>
      </c>
      <c r="F53">
        <v>2962454.2988470378</v>
      </c>
      <c r="G53">
        <v>61746803.199922003</v>
      </c>
      <c r="H53">
        <v>9334606.2397821769</v>
      </c>
      <c r="I53">
        <v>0.70606314590583474</v>
      </c>
      <c r="J53">
        <v>6590821.4474528385</v>
      </c>
    </row>
    <row r="54" spans="2:10" x14ac:dyDescent="0.2">
      <c r="C54">
        <v>2028</v>
      </c>
      <c r="D54" s="238">
        <v>-55323852.504469492</v>
      </c>
      <c r="E54" s="238">
        <v>-1310314.4401874971</v>
      </c>
      <c r="F54">
        <v>3053640.3726006704</v>
      </c>
      <c r="G54">
        <v>61681918.513945505</v>
      </c>
      <c r="H54">
        <v>8101391.9418891817</v>
      </c>
      <c r="I54">
        <v>0.66627083120301611</v>
      </c>
      <c r="J54">
        <v>5397721.1430239221</v>
      </c>
    </row>
    <row r="55" spans="2:10" x14ac:dyDescent="0.2">
      <c r="C55">
        <v>2029</v>
      </c>
      <c r="D55" s="238">
        <v>-56699932.650815003</v>
      </c>
      <c r="E55" s="238">
        <v>-1367288.1736557847</v>
      </c>
      <c r="F55">
        <v>3124995.7342273504</v>
      </c>
      <c r="G55">
        <v>64536491.581198819</v>
      </c>
      <c r="H55">
        <v>9594266.4909553826</v>
      </c>
      <c r="I55">
        <v>0.62872113221890447</v>
      </c>
      <c r="J55">
        <v>6032118.091003364</v>
      </c>
    </row>
    <row r="56" spans="2:10" x14ac:dyDescent="0.2">
      <c r="C56">
        <v>2030</v>
      </c>
      <c r="D56" s="238">
        <v>-58095183.239330627</v>
      </c>
      <c r="E56" s="238">
        <v>-1436691.8764354941</v>
      </c>
      <c r="F56">
        <v>3224711.603625468</v>
      </c>
      <c r="G56">
        <v>64445811.148284808</v>
      </c>
      <c r="H56">
        <v>8138647.6361441538</v>
      </c>
      <c r="I56">
        <v>0.59328765959165064</v>
      </c>
      <c r="J56">
        <v>4828559.208289085</v>
      </c>
    </row>
    <row r="57" spans="2:10" x14ac:dyDescent="0.2">
      <c r="C57">
        <v>2031</v>
      </c>
      <c r="D57" s="238">
        <v>-59533872.039738379</v>
      </c>
      <c r="E57" s="238">
        <v>-1492186.3165202714</v>
      </c>
      <c r="F57">
        <v>3293199.2629832341</v>
      </c>
      <c r="G57">
        <v>65801904.84296874</v>
      </c>
      <c r="H57">
        <v>8069045.7496933192</v>
      </c>
      <c r="I57">
        <v>0.5598511470124794</v>
      </c>
      <c r="J57">
        <v>4517464.5182619765</v>
      </c>
    </row>
    <row r="62" spans="2:10" x14ac:dyDescent="0.2">
      <c r="B62" s="238"/>
      <c r="C62" s="238"/>
      <c r="D62" s="238"/>
      <c r="E62" s="238"/>
      <c r="F62" s="238"/>
      <c r="G62" s="238"/>
      <c r="H62" s="238"/>
    </row>
    <row r="63" spans="2:10" x14ac:dyDescent="0.2">
      <c r="B63" s="238"/>
      <c r="C63" s="238"/>
      <c r="D63" s="238"/>
      <c r="E63" s="238"/>
      <c r="F63" s="238"/>
      <c r="G63" s="238"/>
      <c r="H63" s="238"/>
    </row>
    <row r="64" spans="2:10" x14ac:dyDescent="0.2">
      <c r="B64" s="257"/>
      <c r="C64" s="258"/>
      <c r="D64" s="291" t="s">
        <v>205</v>
      </c>
      <c r="E64" s="291"/>
      <c r="F64" s="291"/>
      <c r="G64" s="291"/>
      <c r="H64" s="291"/>
    </row>
    <row r="65" spans="2:9" x14ac:dyDescent="0.2">
      <c r="B65" s="238"/>
      <c r="C65" s="261" t="s">
        <v>237</v>
      </c>
      <c r="D65" s="262">
        <v>-0.2</v>
      </c>
      <c r="E65" s="262">
        <v>-0.1</v>
      </c>
      <c r="F65" s="262">
        <v>0</v>
      </c>
      <c r="G65" s="262">
        <v>0.1</v>
      </c>
      <c r="H65" s="263">
        <v>0.2</v>
      </c>
      <c r="I65" s="71"/>
    </row>
    <row r="66" spans="2:9" ht="15" customHeight="1" x14ac:dyDescent="0.2">
      <c r="B66" s="292" t="s">
        <v>199</v>
      </c>
      <c r="C66" s="259">
        <v>0.2</v>
      </c>
      <c r="D66" s="253">
        <v>158586073.88963023</v>
      </c>
      <c r="E66" s="253">
        <v>119347443.90951023</v>
      </c>
      <c r="F66" s="253">
        <v>80108813.929390222</v>
      </c>
      <c r="G66" s="253">
        <v>40870183.949270189</v>
      </c>
      <c r="H66" s="254">
        <v>1631553.9691502554</v>
      </c>
    </row>
    <row r="67" spans="2:9" x14ac:dyDescent="0.2">
      <c r="B67" s="292"/>
      <c r="C67" s="259">
        <v>0.1</v>
      </c>
      <c r="D67" s="253">
        <v>120263372.76671648</v>
      </c>
      <c r="E67" s="253">
        <v>81024742.786596477</v>
      </c>
      <c r="F67" s="253">
        <v>41786112.806476489</v>
      </c>
      <c r="G67" s="253">
        <v>2547482.8263564529</v>
      </c>
      <c r="H67" s="254">
        <v>-36691147.153763488</v>
      </c>
    </row>
    <row r="68" spans="2:9" x14ac:dyDescent="0.2">
      <c r="B68" s="292"/>
      <c r="C68" s="259">
        <v>0</v>
      </c>
      <c r="D68" s="253">
        <v>81940671.643802643</v>
      </c>
      <c r="E68" s="253">
        <v>42702041.663682647</v>
      </c>
      <c r="F68" s="253">
        <v>3463411.683562655</v>
      </c>
      <c r="G68" s="253">
        <v>-35775218.296557389</v>
      </c>
      <c r="H68" s="254">
        <v>-75013848.27667731</v>
      </c>
    </row>
    <row r="69" spans="2:9" x14ac:dyDescent="0.2">
      <c r="B69" s="292"/>
      <c r="C69" s="259">
        <v>-0.1</v>
      </c>
      <c r="D69" s="253">
        <v>43617970.520888843</v>
      </c>
      <c r="E69" s="253">
        <v>4379340.5407688469</v>
      </c>
      <c r="F69" s="253">
        <v>-34859289.439351149</v>
      </c>
      <c r="G69" s="253">
        <v>-74097919.419471174</v>
      </c>
      <c r="H69" s="254">
        <v>-113336549.39959112</v>
      </c>
    </row>
    <row r="70" spans="2:9" x14ac:dyDescent="0.2">
      <c r="B70" s="292"/>
      <c r="C70" s="260">
        <v>-0.2</v>
      </c>
      <c r="D70" s="255">
        <v>5295269.3979750555</v>
      </c>
      <c r="E70" s="255">
        <v>-33943360.582144938</v>
      </c>
      <c r="F70" s="255">
        <v>-73181990.562264919</v>
      </c>
      <c r="G70" s="255">
        <v>-112420620.54238497</v>
      </c>
      <c r="H70" s="256">
        <v>-151659250.52250493</v>
      </c>
    </row>
    <row r="74" spans="2:9" x14ac:dyDescent="0.2">
      <c r="B74" s="257"/>
      <c r="C74" s="258"/>
      <c r="D74" s="291" t="s">
        <v>219</v>
      </c>
      <c r="E74" s="291"/>
      <c r="F74" s="291" t="s">
        <v>219</v>
      </c>
      <c r="G74" s="291"/>
      <c r="H74" s="291"/>
    </row>
    <row r="75" spans="2:9" x14ac:dyDescent="0.2">
      <c r="B75" s="238"/>
      <c r="C75" s="261"/>
      <c r="D75" s="262">
        <v>0</v>
      </c>
      <c r="E75" s="262">
        <v>0.01</v>
      </c>
      <c r="F75" s="262">
        <v>0.02</v>
      </c>
      <c r="G75" s="262">
        <v>0.03</v>
      </c>
      <c r="H75" s="263">
        <v>0.04</v>
      </c>
    </row>
    <row r="76" spans="2:9" x14ac:dyDescent="0.2">
      <c r="B76" s="292" t="s">
        <v>140</v>
      </c>
      <c r="C76" s="259">
        <f>C77-1%</f>
        <v>3.9723933330489403E-2</v>
      </c>
      <c r="D76" s="253">
        <v>6650295.4082618682</v>
      </c>
      <c r="E76" s="253">
        <v>7178797.9190210653</v>
      </c>
      <c r="F76" s="253">
        <v>7707300.4297802467</v>
      </c>
      <c r="G76" s="253">
        <v>8235802.940539456</v>
      </c>
      <c r="H76" s="254">
        <v>8764305.4512986466</v>
      </c>
    </row>
    <row r="77" spans="2:9" x14ac:dyDescent="0.2">
      <c r="B77" s="292"/>
      <c r="C77" s="259">
        <f>C78-1%</f>
        <v>4.9723933330489405E-2</v>
      </c>
      <c r="D77" s="253">
        <v>4497710.4188979482</v>
      </c>
      <c r="E77" s="253">
        <v>4991604.4314103369</v>
      </c>
      <c r="F77" s="253">
        <v>5485498.4439227264</v>
      </c>
      <c r="G77" s="253">
        <v>5979392.4564351263</v>
      </c>
      <c r="H77" s="254">
        <v>6473286.4689475168</v>
      </c>
    </row>
    <row r="78" spans="2:9" x14ac:dyDescent="0.2">
      <c r="B78" s="292" t="s">
        <v>140</v>
      </c>
      <c r="C78" s="259">
        <v>5.9723933330489407E-2</v>
      </c>
      <c r="D78" s="253">
        <v>2539279.253306075</v>
      </c>
      <c r="E78" s="253">
        <v>3001345.4684343636</v>
      </c>
      <c r="F78" s="253">
        <v>3463411.683562655</v>
      </c>
      <c r="G78" s="253">
        <v>3925477.8986909576</v>
      </c>
      <c r="H78" s="254">
        <v>4387544.1138192527</v>
      </c>
    </row>
    <row r="79" spans="2:9" x14ac:dyDescent="0.2">
      <c r="B79" s="292"/>
      <c r="C79" s="259">
        <f>C78+1%</f>
        <v>6.9723933330489402E-2</v>
      </c>
      <c r="D79" s="253">
        <v>756871.49681200925</v>
      </c>
      <c r="E79" s="253">
        <v>1189633.6410718164</v>
      </c>
      <c r="F79" s="253">
        <v>1622395.7853316111</v>
      </c>
      <c r="G79" s="253">
        <v>2055157.9295914182</v>
      </c>
      <c r="H79" s="254">
        <v>2487920.0738512194</v>
      </c>
    </row>
    <row r="80" spans="2:9" x14ac:dyDescent="0.2">
      <c r="B80" s="292"/>
      <c r="C80" s="260">
        <f>C79+1%</f>
        <v>7.9723933330489397E-2</v>
      </c>
      <c r="D80" s="255">
        <v>-865797.5528289685</v>
      </c>
      <c r="E80" s="255">
        <v>-460046.25944231823</v>
      </c>
      <c r="F80" s="255">
        <v>-54294.966055665165</v>
      </c>
      <c r="G80" s="255">
        <v>351456.32733099116</v>
      </c>
      <c r="H80" s="256">
        <v>757207.62071764702</v>
      </c>
    </row>
  </sheetData>
  <mergeCells count="7">
    <mergeCell ref="D74:H74"/>
    <mergeCell ref="B76:B80"/>
    <mergeCell ref="E31:F31"/>
    <mergeCell ref="G31:H31"/>
    <mergeCell ref="I31:K31"/>
    <mergeCell ref="D64:H64"/>
    <mergeCell ref="B66:B70"/>
  </mergeCells>
  <conditionalFormatting sqref="D66:H70">
    <cfRule type="colorScale" priority="3">
      <colorScale>
        <cfvo type="min"/>
        <cfvo type="percentile" val="50"/>
        <cfvo type="max"/>
        <color rgb="FFF8696B"/>
        <color rgb="FFFCFCFF"/>
        <color rgb="FF5A8AC6"/>
      </colorScale>
    </cfRule>
  </conditionalFormatting>
  <conditionalFormatting sqref="D76:H80">
    <cfRule type="colorScale" priority="1">
      <colorScale>
        <cfvo type="min"/>
        <cfvo type="percentile" val="50"/>
        <cfvo type="max"/>
        <color rgb="FFF8696B"/>
        <color rgb="FFFCFCFF"/>
        <color rgb="FF5A8AC6"/>
      </colorScale>
    </cfRule>
  </conditionalFormatting>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9BCEEBCAE3FA843A3355084A2B80F9C" ma:contentTypeVersion="4" ma:contentTypeDescription="Create a new document." ma:contentTypeScope="" ma:versionID="26a300c87251e93f2ff685da43aacc50">
  <xsd:schema xmlns:xsd="http://www.w3.org/2001/XMLSchema" xmlns:xs="http://www.w3.org/2001/XMLSchema" xmlns:p="http://schemas.microsoft.com/office/2006/metadata/properties" xmlns:ns2="9efed202-089b-43aa-a520-4ef8d2a38bfd" targetNamespace="http://schemas.microsoft.com/office/2006/metadata/properties" ma:root="true" ma:fieldsID="dba1f0fed08fa007761a98e41dcd2493" ns2:_="">
    <xsd:import namespace="9efed202-089b-43aa-a520-4ef8d2a38b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fed202-089b-43aa-a520-4ef8d2a38b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F8537D4-CAEB-4306-AFFC-1E6DED00E262}">
  <ds:schemaRefs>
    <ds:schemaRef ds:uri="http://schemas.microsoft.com/sharepoint/v3/contenttype/forms"/>
  </ds:schemaRefs>
</ds:datastoreItem>
</file>

<file path=customXml/itemProps2.xml><?xml version="1.0" encoding="utf-8"?>
<ds:datastoreItem xmlns:ds="http://schemas.openxmlformats.org/officeDocument/2006/customXml" ds:itemID="{A24B2D35-F151-4317-B784-525CFF49EB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fed202-089b-43aa-a520-4ef8d2a38b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899DA0-3BB5-4B02-AF62-246C1D03242C}">
  <ds:schemaRefs>
    <ds:schemaRef ds:uri="http://schemas.microsoft.com/office/2006/documentManagement/types"/>
    <ds:schemaRef ds:uri="http://purl.org/dc/elements/1.1/"/>
    <ds:schemaRef ds:uri="http://schemas.openxmlformats.org/package/2006/metadata/core-properties"/>
    <ds:schemaRef ds:uri="http://purl.org/dc/terms/"/>
    <ds:schemaRef ds:uri="http://www.w3.org/XML/1998/namespace"/>
    <ds:schemaRef ds:uri="http://schemas.microsoft.com/office/2006/metadata/properties"/>
    <ds:schemaRef ds:uri="http://schemas.microsoft.com/office/infopath/2007/PartnerControls"/>
    <ds:schemaRef ds:uri="9efed202-089b-43aa-a520-4ef8d2a38bfd"/>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Inputs &gt;&gt;</vt:lpstr>
      <vt:lpstr>Population</vt:lpstr>
      <vt:lpstr>Exchange rates</vt:lpstr>
      <vt:lpstr>Inflation</vt:lpstr>
      <vt:lpstr>Revenue</vt:lpstr>
      <vt:lpstr>Expense</vt:lpstr>
      <vt:lpstr>GDP Rarita</vt:lpstr>
      <vt:lpstr>GDP others</vt:lpstr>
      <vt:lpstr>Spot rates</vt:lpstr>
      <vt:lpstr>Outputs &gt;&gt;</vt:lpstr>
      <vt:lpstr>Population projection</vt:lpstr>
      <vt:lpstr>Inflation projection</vt:lpstr>
      <vt:lpstr>Exchange Rate Projection</vt:lpstr>
      <vt:lpstr>Spot rates projection</vt:lpstr>
      <vt:lpstr>Sponsorship Projection</vt:lpstr>
      <vt:lpstr>Revenue projection</vt:lpstr>
      <vt:lpstr>Expense projection</vt:lpstr>
      <vt:lpstr>Player salary</vt:lpstr>
      <vt:lpstr>Cost of Capital</vt:lpstr>
      <vt:lpstr>Cashflows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Annie Zhu</cp:lastModifiedBy>
  <cp:revision/>
  <dcterms:created xsi:type="dcterms:W3CDTF">2022-03-13T00:28:02Z</dcterms:created>
  <dcterms:modified xsi:type="dcterms:W3CDTF">2022-03-27T10:00:08Z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0x010100F9BCEEBCAE3FA843A3355084A2B80F9C</vt:lpwstr>
  </property>
</Properties>
</file>