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trol cycle\SOA challenge\Github\"/>
    </mc:Choice>
  </mc:AlternateContent>
  <xr:revisionPtr revIDLastSave="0" documentId="8_{E5718A84-BF65-46ED-8F6B-123C6EACDC65}" xr6:coauthVersionLast="47" xr6:coauthVersionMax="47" xr10:uidLastSave="{00000000-0000-0000-0000-000000000000}"/>
  <bookViews>
    <workbookView xWindow="-110" yWindow="-110" windowWidth="25820" windowHeight="15620" xr2:uid="{6736912D-7171-4849-964D-33B64D98BFEB}"/>
  </bookViews>
  <sheets>
    <sheet name="Output" sheetId="2" r:id="rId1"/>
    <sheet name="Assumptions" sheetId="3" r:id="rId2"/>
  </sheets>
  <externalReferences>
    <externalReference r:id="rId3"/>
  </externalReferences>
  <definedNames>
    <definedName name="E_start">[1]Expense!$B$13</definedName>
    <definedName name="R_start">[1]Revenue!$C$13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8" i="3" l="1"/>
  <c r="I155" i="3"/>
  <c r="H155" i="3"/>
  <c r="G155" i="3"/>
  <c r="F155" i="3"/>
  <c r="E155" i="3"/>
  <c r="D155" i="3"/>
  <c r="C155" i="3"/>
  <c r="E152" i="3"/>
  <c r="F151" i="3"/>
  <c r="E26" i="3"/>
  <c r="F26" i="3" s="1"/>
  <c r="G26" i="3" s="1"/>
  <c r="H26" i="3" s="1"/>
  <c r="I26" i="3" s="1"/>
  <c r="J26" i="3" s="1"/>
  <c r="K26" i="3" s="1"/>
  <c r="L26" i="3" s="1"/>
  <c r="M26" i="3" s="1"/>
  <c r="D26" i="3"/>
  <c r="E25" i="3"/>
  <c r="F25" i="3" s="1"/>
  <c r="G25" i="3" s="1"/>
  <c r="H25" i="3" s="1"/>
  <c r="I25" i="3" s="1"/>
  <c r="J25" i="3" s="1"/>
  <c r="K25" i="3" s="1"/>
  <c r="L25" i="3" s="1"/>
  <c r="M25" i="3" s="1"/>
  <c r="E24" i="3"/>
  <c r="F24" i="3" s="1"/>
  <c r="G24" i="3" s="1"/>
  <c r="H24" i="3" s="1"/>
  <c r="I24" i="3" s="1"/>
  <c r="J24" i="3" s="1"/>
  <c r="K24" i="3" s="1"/>
  <c r="L24" i="3" s="1"/>
  <c r="M24" i="3" s="1"/>
  <c r="E23" i="3"/>
  <c r="F23" i="3" s="1"/>
  <c r="G23" i="3" s="1"/>
  <c r="H23" i="3" s="1"/>
  <c r="I23" i="3" s="1"/>
  <c r="J23" i="3" s="1"/>
  <c r="K23" i="3" s="1"/>
  <c r="L23" i="3" s="1"/>
  <c r="M23" i="3" s="1"/>
  <c r="F21" i="3"/>
  <c r="G21" i="3" s="1"/>
  <c r="H21" i="3" s="1"/>
  <c r="I21" i="3" s="1"/>
  <c r="J21" i="3" s="1"/>
  <c r="K21" i="3" s="1"/>
  <c r="L21" i="3" s="1"/>
  <c r="M21" i="3" s="1"/>
  <c r="E21" i="3"/>
  <c r="D21" i="3"/>
  <c r="E20" i="3"/>
  <c r="F20" i="3" s="1"/>
  <c r="G20" i="3" s="1"/>
  <c r="H20" i="3" s="1"/>
  <c r="I20" i="3" s="1"/>
  <c r="J20" i="3" s="1"/>
  <c r="K20" i="3" s="1"/>
  <c r="L20" i="3" s="1"/>
  <c r="M20" i="3" s="1"/>
  <c r="M18" i="3"/>
  <c r="L18" i="3"/>
  <c r="K18" i="3"/>
  <c r="J18" i="3"/>
  <c r="I18" i="3"/>
  <c r="H18" i="3"/>
  <c r="G18" i="3"/>
  <c r="F18" i="3"/>
  <c r="E18" i="3"/>
  <c r="D18" i="3"/>
  <c r="M17" i="3"/>
  <c r="L17" i="3"/>
  <c r="K17" i="3"/>
  <c r="J17" i="3"/>
  <c r="I17" i="3"/>
  <c r="H17" i="3"/>
  <c r="G17" i="3"/>
  <c r="F17" i="3"/>
  <c r="E17" i="3"/>
  <c r="D17" i="3"/>
  <c r="E14" i="3"/>
  <c r="F14" i="3" s="1"/>
  <c r="G14" i="3" s="1"/>
  <c r="H14" i="3" s="1"/>
  <c r="I14" i="3" s="1"/>
  <c r="J14" i="3" s="1"/>
  <c r="K14" i="3" s="1"/>
  <c r="L14" i="3" s="1"/>
  <c r="M14" i="3" s="1"/>
  <c r="D14" i="3"/>
  <c r="L13" i="3"/>
  <c r="M13" i="3" s="1"/>
  <c r="C13" i="3"/>
  <c r="L12" i="3"/>
  <c r="K12" i="3"/>
  <c r="J12" i="3"/>
  <c r="I12" i="3"/>
  <c r="D12" i="3"/>
  <c r="L11" i="3"/>
  <c r="M11" i="3" s="1"/>
  <c r="M12" i="3" s="1"/>
  <c r="K11" i="3"/>
  <c r="F11" i="3"/>
  <c r="F12" i="3" s="1"/>
  <c r="E11" i="3"/>
  <c r="E12" i="3" s="1"/>
  <c r="M9" i="3"/>
  <c r="L9" i="3"/>
  <c r="K9" i="3"/>
  <c r="J9" i="3"/>
  <c r="I9" i="3"/>
  <c r="H9" i="3"/>
  <c r="G9" i="3"/>
  <c r="F9" i="3"/>
  <c r="E9" i="3"/>
  <c r="D9" i="3"/>
  <c r="C9" i="3"/>
  <c r="M8" i="3"/>
  <c r="L8" i="3"/>
  <c r="M6" i="3"/>
  <c r="L6" i="3"/>
  <c r="K6" i="3"/>
  <c r="J6" i="3"/>
  <c r="I6" i="3"/>
  <c r="H6" i="3"/>
  <c r="G6" i="3"/>
  <c r="F6" i="3"/>
  <c r="E6" i="3"/>
  <c r="D6" i="3"/>
  <c r="M5" i="3"/>
  <c r="L5" i="3"/>
  <c r="K5" i="3"/>
  <c r="J5" i="3"/>
  <c r="I5" i="3"/>
  <c r="H5" i="3"/>
  <c r="G5" i="3"/>
  <c r="F5" i="3"/>
  <c r="E5" i="3"/>
  <c r="D5" i="3"/>
  <c r="I4" i="3"/>
  <c r="J4" i="3" s="1"/>
  <c r="K4" i="3" s="1"/>
  <c r="L4" i="3" s="1"/>
  <c r="M4" i="3" s="1"/>
  <c r="G4" i="3"/>
  <c r="F4" i="3"/>
  <c r="E4" i="3"/>
  <c r="D4" i="3"/>
  <c r="M2" i="3"/>
  <c r="L2" i="3"/>
  <c r="K2" i="3"/>
  <c r="J2" i="3"/>
  <c r="I2" i="3"/>
  <c r="H2" i="3"/>
  <c r="G2" i="3"/>
  <c r="F2" i="3"/>
  <c r="E2" i="3"/>
  <c r="D2" i="3"/>
  <c r="C2" i="3"/>
  <c r="D45" i="2"/>
  <c r="F38" i="2"/>
  <c r="D38" i="2"/>
  <c r="D39" i="2" s="1"/>
  <c r="D23" i="2"/>
  <c r="D22" i="2"/>
  <c r="D21" i="2"/>
  <c r="E20" i="2"/>
  <c r="E23" i="2" s="1"/>
  <c r="D20" i="2"/>
  <c r="D24" i="2" s="1"/>
  <c r="C20" i="2"/>
  <c r="C17" i="2"/>
  <c r="D17" i="2" s="1"/>
  <c r="C7" i="2"/>
  <c r="D7" i="2" s="1"/>
  <c r="D4" i="2"/>
  <c r="D5" i="2" s="1"/>
  <c r="C4" i="2"/>
  <c r="E22" i="2" l="1"/>
  <c r="E24" i="2"/>
  <c r="N6" i="3"/>
  <c r="N5" i="3"/>
  <c r="O6" i="3"/>
  <c r="O5" i="3"/>
  <c r="D11" i="2"/>
  <c r="D12" i="2" s="1"/>
  <c r="D8" i="2"/>
  <c r="D9" i="2"/>
  <c r="D10" i="2"/>
  <c r="E7" i="2"/>
  <c r="D19" i="2"/>
  <c r="D18" i="2"/>
  <c r="E17" i="2"/>
  <c r="D25" i="2"/>
  <c r="C25" i="2"/>
  <c r="E4" i="2"/>
  <c r="E21" i="2"/>
  <c r="D6" i="2"/>
  <c r="G11" i="3"/>
  <c r="C12" i="2"/>
  <c r="F20" i="2"/>
  <c r="F4" i="2" l="1"/>
  <c r="E5" i="2"/>
  <c r="E29" i="2"/>
  <c r="E6" i="2"/>
  <c r="E18" i="2"/>
  <c r="E25" i="2"/>
  <c r="E19" i="2"/>
  <c r="F17" i="2"/>
  <c r="E8" i="2"/>
  <c r="E33" i="2" s="1"/>
  <c r="E9" i="2"/>
  <c r="E34" i="2" s="1"/>
  <c r="E32" i="2"/>
  <c r="E10" i="2"/>
  <c r="E35" i="2" s="1"/>
  <c r="F7" i="2"/>
  <c r="E11" i="2"/>
  <c r="E36" i="2" s="1"/>
  <c r="F23" i="2"/>
  <c r="G20" i="2"/>
  <c r="F21" i="2"/>
  <c r="F22" i="2"/>
  <c r="F24" i="2"/>
  <c r="G12" i="3"/>
  <c r="H11" i="3"/>
  <c r="H12" i="3" s="1"/>
  <c r="E12" i="2" l="1"/>
  <c r="E37" i="2" s="1"/>
  <c r="F19" i="2"/>
  <c r="G17" i="2"/>
  <c r="F18" i="2"/>
  <c r="F32" i="2"/>
  <c r="F9" i="2"/>
  <c r="F34" i="2" s="1"/>
  <c r="F10" i="2"/>
  <c r="F35" i="2" s="1"/>
  <c r="G7" i="2"/>
  <c r="F11" i="2"/>
  <c r="F36" i="2" s="1"/>
  <c r="F8" i="2"/>
  <c r="F33" i="2" s="1"/>
  <c r="E31" i="2"/>
  <c r="F25" i="2"/>
  <c r="E30" i="2"/>
  <c r="E41" i="2" s="1"/>
  <c r="G23" i="2"/>
  <c r="H20" i="2"/>
  <c r="G24" i="2"/>
  <c r="G21" i="2"/>
  <c r="G22" i="2"/>
  <c r="F5" i="2"/>
  <c r="F30" i="2" s="1"/>
  <c r="F29" i="2"/>
  <c r="F6" i="2"/>
  <c r="G4" i="2"/>
  <c r="F31" i="2" l="1"/>
  <c r="G25" i="2"/>
  <c r="E42" i="2"/>
  <c r="E39" i="2"/>
  <c r="D40" i="2"/>
  <c r="G5" i="2"/>
  <c r="G29" i="2"/>
  <c r="G6" i="2"/>
  <c r="H4" i="2"/>
  <c r="F12" i="2"/>
  <c r="F37" i="2" s="1"/>
  <c r="G32" i="2"/>
  <c r="G9" i="2"/>
  <c r="G34" i="2" s="1"/>
  <c r="G10" i="2"/>
  <c r="G35" i="2" s="1"/>
  <c r="H7" i="2"/>
  <c r="G11" i="2"/>
  <c r="G36" i="2" s="1"/>
  <c r="G8" i="2"/>
  <c r="G33" i="2" s="1"/>
  <c r="F41" i="2"/>
  <c r="H17" i="2"/>
  <c r="G18" i="2"/>
  <c r="G19" i="2"/>
  <c r="H23" i="2"/>
  <c r="I20" i="2"/>
  <c r="H24" i="2"/>
  <c r="H21" i="2"/>
  <c r="H22" i="2"/>
  <c r="H29" i="2" l="1"/>
  <c r="I4" i="2"/>
  <c r="H6" i="2"/>
  <c r="H5" i="2"/>
  <c r="G31" i="2"/>
  <c r="I23" i="2"/>
  <c r="J20" i="2"/>
  <c r="I24" i="2"/>
  <c r="I21" i="2"/>
  <c r="I22" i="2"/>
  <c r="G30" i="2"/>
  <c r="F39" i="2"/>
  <c r="E40" i="2"/>
  <c r="I17" i="2"/>
  <c r="I25" i="2" s="1"/>
  <c r="H18" i="2"/>
  <c r="H19" i="2"/>
  <c r="F42" i="2"/>
  <c r="H11" i="2"/>
  <c r="H36" i="2" s="1"/>
  <c r="H32" i="2"/>
  <c r="H9" i="2"/>
  <c r="H34" i="2" s="1"/>
  <c r="H10" i="2"/>
  <c r="H35" i="2" s="1"/>
  <c r="I7" i="2"/>
  <c r="H8" i="2"/>
  <c r="H33" i="2" s="1"/>
  <c r="G12" i="2"/>
  <c r="G37" i="2" s="1"/>
  <c r="G45" i="2" s="1"/>
  <c r="H25" i="2"/>
  <c r="H30" i="2" l="1"/>
  <c r="G41" i="2"/>
  <c r="G42" i="2" s="1"/>
  <c r="H12" i="2"/>
  <c r="H37" i="2" s="1"/>
  <c r="H45" i="2" s="1"/>
  <c r="J24" i="2"/>
  <c r="J21" i="2"/>
  <c r="J22" i="2"/>
  <c r="J23" i="2"/>
  <c r="K20" i="2"/>
  <c r="G39" i="2"/>
  <c r="F40" i="2"/>
  <c r="H31" i="2"/>
  <c r="H41" i="2" s="1"/>
  <c r="I19" i="2"/>
  <c r="J17" i="2"/>
  <c r="J25" i="2" s="1"/>
  <c r="I18" i="2"/>
  <c r="I6" i="2"/>
  <c r="I31" i="2" s="1"/>
  <c r="J4" i="2"/>
  <c r="I5" i="2"/>
  <c r="I29" i="2"/>
  <c r="I32" i="2"/>
  <c r="I9" i="2"/>
  <c r="I34" i="2" s="1"/>
  <c r="I10" i="2"/>
  <c r="I35" i="2" s="1"/>
  <c r="J7" i="2"/>
  <c r="I11" i="2"/>
  <c r="I36" i="2" s="1"/>
  <c r="I8" i="2"/>
  <c r="I33" i="2" s="1"/>
  <c r="I12" i="2" l="1"/>
  <c r="I37" i="2" s="1"/>
  <c r="I45" i="2" s="1"/>
  <c r="J32" i="2"/>
  <c r="J9" i="2"/>
  <c r="J34" i="2" s="1"/>
  <c r="K7" i="2"/>
  <c r="J10" i="2"/>
  <c r="J35" i="2" s="1"/>
  <c r="J11" i="2"/>
  <c r="J36" i="2" s="1"/>
  <c r="J8" i="2"/>
  <c r="J33" i="2" s="1"/>
  <c r="G40" i="2"/>
  <c r="H39" i="2"/>
  <c r="J6" i="2"/>
  <c r="K4" i="2"/>
  <c r="J29" i="2"/>
  <c r="J5" i="2"/>
  <c r="H42" i="2"/>
  <c r="K22" i="2"/>
  <c r="L20" i="2"/>
  <c r="K24" i="2"/>
  <c r="K21" i="2"/>
  <c r="K23" i="2"/>
  <c r="I30" i="2"/>
  <c r="I41" i="2" s="1"/>
  <c r="K17" i="2"/>
  <c r="J18" i="2"/>
  <c r="J19" i="2"/>
  <c r="J30" i="2" l="1"/>
  <c r="I42" i="2"/>
  <c r="I39" i="2"/>
  <c r="H40" i="2"/>
  <c r="L17" i="2"/>
  <c r="K18" i="2"/>
  <c r="K19" i="2"/>
  <c r="K25" i="2"/>
  <c r="J31" i="2"/>
  <c r="J41" i="2" s="1"/>
  <c r="J42" i="2" s="1"/>
  <c r="K11" i="2"/>
  <c r="K36" i="2" s="1"/>
  <c r="K10" i="2"/>
  <c r="K35" i="2" s="1"/>
  <c r="L7" i="2"/>
  <c r="K12" i="2"/>
  <c r="K37" i="2" s="1"/>
  <c r="K45" i="2" s="1"/>
  <c r="K8" i="2"/>
  <c r="K33" i="2" s="1"/>
  <c r="K32" i="2"/>
  <c r="K9" i="2"/>
  <c r="K34" i="2" s="1"/>
  <c r="K6" i="2"/>
  <c r="L4" i="2"/>
  <c r="K5" i="2"/>
  <c r="K29" i="2"/>
  <c r="J12" i="2"/>
  <c r="J37" i="2" s="1"/>
  <c r="J45" i="2" s="1"/>
  <c r="M20" i="2"/>
  <c r="L24" i="2"/>
  <c r="L21" i="2"/>
  <c r="L23" i="2"/>
  <c r="L25" i="2"/>
  <c r="L22" i="2"/>
  <c r="L8" i="2" l="1"/>
  <c r="L33" i="2" s="1"/>
  <c r="L10" i="2"/>
  <c r="L35" i="2" s="1"/>
  <c r="M7" i="2"/>
  <c r="L32" i="2"/>
  <c r="L11" i="2"/>
  <c r="L36" i="2" s="1"/>
  <c r="L9" i="2"/>
  <c r="L34" i="2" s="1"/>
  <c r="J39" i="2"/>
  <c r="I40" i="2"/>
  <c r="L18" i="2"/>
  <c r="L19" i="2"/>
  <c r="M17" i="2"/>
  <c r="L6" i="2"/>
  <c r="L31" i="2" s="1"/>
  <c r="L29" i="2"/>
  <c r="M4" i="2"/>
  <c r="L5" i="2"/>
  <c r="M24" i="2"/>
  <c r="M21" i="2"/>
  <c r="M23" i="2"/>
  <c r="M22" i="2"/>
  <c r="N20" i="2"/>
  <c r="K30" i="2"/>
  <c r="K31" i="2"/>
  <c r="K41" i="2" l="1"/>
  <c r="K42" i="2" s="1"/>
  <c r="N4" i="2"/>
  <c r="M5" i="2"/>
  <c r="M29" i="2"/>
  <c r="M6" i="2"/>
  <c r="N24" i="2"/>
  <c r="N21" i="2"/>
  <c r="N22" i="2"/>
  <c r="N23" i="2"/>
  <c r="N17" i="2"/>
  <c r="M18" i="2"/>
  <c r="M19" i="2"/>
  <c r="L41" i="2"/>
  <c r="K39" i="2"/>
  <c r="J40" i="2"/>
  <c r="L12" i="2"/>
  <c r="L37" i="2" s="1"/>
  <c r="L45" i="2" s="1"/>
  <c r="M25" i="2"/>
  <c r="M10" i="2"/>
  <c r="M35" i="2" s="1"/>
  <c r="N7" i="2"/>
  <c r="M11" i="2"/>
  <c r="M36" i="2" s="1"/>
  <c r="M8" i="2"/>
  <c r="M33" i="2" s="1"/>
  <c r="M32" i="2"/>
  <c r="M9" i="2"/>
  <c r="M34" i="2" s="1"/>
  <c r="L30" i="2"/>
  <c r="M12" i="2" l="1"/>
  <c r="M37" i="2" s="1"/>
  <c r="M45" i="2" s="1"/>
  <c r="L42" i="2"/>
  <c r="N18" i="2"/>
  <c r="N19" i="2"/>
  <c r="M31" i="2"/>
  <c r="K40" i="2"/>
  <c r="L39" i="2"/>
  <c r="N10" i="2"/>
  <c r="N35" i="2" s="1"/>
  <c r="N11" i="2"/>
  <c r="N36" i="2" s="1"/>
  <c r="N8" i="2"/>
  <c r="N33" i="2" s="1"/>
  <c r="N32" i="2"/>
  <c r="N9" i="2"/>
  <c r="N34" i="2" s="1"/>
  <c r="N12" i="2"/>
  <c r="M30" i="2"/>
  <c r="M41" i="2" s="1"/>
  <c r="M42" i="2" s="1"/>
  <c r="N25" i="2"/>
  <c r="N6" i="2"/>
  <c r="N5" i="2"/>
  <c r="N30" i="2" s="1"/>
  <c r="N29" i="2"/>
  <c r="N31" i="2" l="1"/>
  <c r="N37" i="2"/>
  <c r="N45" i="2" s="1"/>
  <c r="N41" i="2"/>
  <c r="N42" i="2" s="1"/>
  <c r="L40" i="2"/>
  <c r="M39" i="2"/>
  <c r="M40" i="2" l="1"/>
  <c r="N39" i="2"/>
  <c r="B46" i="2"/>
  <c r="B119" i="3"/>
  <c r="B94" i="3"/>
  <c r="B58" i="3"/>
  <c r="B130" i="3"/>
  <c r="B45" i="2"/>
  <c r="B41" i="3" l="1"/>
  <c r="B110" i="3"/>
  <c r="B75" i="3"/>
</calcChain>
</file>

<file path=xl/sharedStrings.xml><?xml version="1.0" encoding="utf-8"?>
<sst xmlns="http://schemas.openxmlformats.org/spreadsheetml/2006/main" count="130" uniqueCount="67">
  <si>
    <t>With national team built</t>
  </si>
  <si>
    <t>Year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</si>
  <si>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</si>
  <si>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</si>
  <si>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</si>
  <si>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</si>
  <si>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</si>
  <si>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</si>
  <si>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</si>
  <si>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</si>
  <si>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</si>
  <si>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</si>
  <si>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</si>
  <si>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Total Expense</t>
  </si>
  <si>
    <t>Staff cost</t>
  </si>
  <si>
    <t>Other expense</t>
  </si>
  <si>
    <t>Total Revenue</t>
  </si>
  <si>
    <t>Matchday</t>
  </si>
  <si>
    <t>Broadcast</t>
  </si>
  <si>
    <t>Commercial</t>
  </si>
  <si>
    <t>Other Revenue</t>
  </si>
  <si>
    <t>Overall profit</t>
  </si>
  <si>
    <t>Without national team built</t>
  </si>
  <si>
    <t>Direct impact</t>
  </si>
  <si>
    <t>Funding</t>
  </si>
  <si>
    <t>Ending balance</t>
  </si>
  <si>
    <t>Cost coverage</t>
  </si>
  <si>
    <t>PV of Profit</t>
  </si>
  <si>
    <t>Cumulative PV</t>
  </si>
  <si>
    <t>Timeline in year</t>
  </si>
  <si>
    <t>Position</t>
  </si>
  <si>
    <t>Lending player proportion</t>
  </si>
  <si>
    <t>Total expense growth</t>
  </si>
  <si>
    <t>Total revenue growth</t>
  </si>
  <si>
    <t>Expense proportion</t>
  </si>
  <si>
    <t>Staff</t>
  </si>
  <si>
    <t>Other</t>
  </si>
  <si>
    <t>Revenue proportion</t>
  </si>
  <si>
    <t>Commericial</t>
  </si>
  <si>
    <t xml:space="preserve">Other income </t>
  </si>
  <si>
    <t>Rand</t>
  </si>
  <si>
    <t>Key assumptions</t>
  </si>
  <si>
    <t>First year total expense growth</t>
  </si>
  <si>
    <t>First year total revenue growth</t>
  </si>
  <si>
    <t>Short-term total expense growth</t>
  </si>
  <si>
    <t>Song-term total revenue growth</t>
  </si>
  <si>
    <t>Long-term total expense growth</t>
  </si>
  <si>
    <t>Long-term total revenue growth</t>
  </si>
  <si>
    <t>Total expense variance</t>
  </si>
  <si>
    <t>Total revenue variance</t>
  </si>
  <si>
    <t>expense growth</t>
  </si>
  <si>
    <t>revenue growth</t>
  </si>
  <si>
    <t>Given facts</t>
  </si>
  <si>
    <t>2020 Rarita population</t>
  </si>
  <si>
    <t>2020 lending income</t>
  </si>
  <si>
    <t>2021 Rarita player salary</t>
  </si>
  <si>
    <t>Rarita</t>
  </si>
  <si>
    <t>Total Revenue (∂)</t>
  </si>
  <si>
    <t>Matchday (∂)</t>
  </si>
  <si>
    <t>Broadcast (∂)</t>
  </si>
  <si>
    <t>Commercial (∂)</t>
  </si>
  <si>
    <t>Total Expense (∂)</t>
  </si>
  <si>
    <t>Staff Costs (∂)</t>
  </si>
  <si>
    <t>Other Expenses (∂)</t>
  </si>
  <si>
    <t>Per Capita</t>
  </si>
  <si>
    <t>Nation</t>
  </si>
  <si>
    <t>2020 player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</si>
</sst>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1"/>
      <color theme="0" tint="-0.1499984740745262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3" fillId="0" borderId="0" xfId="1"/>
    <xf numFmtId="0" fontId="4" fillId="0" borderId="0" xfId="1" applyFont="1" applyAlignment="1">
      <alignment vertical="center" wrapText="1"/>
    </xf>
    <xf numFmtId="0" fontId="4" fillId="2" borderId="0" xfId="1" applyFont="1" applyFill="1" applyAlignment="1">
      <alignment vertical="center"/>
    </xf>
    <xf numFmtId="164" fontId="4" fillId="2" borderId="0" xfId="2" applyNumberFormat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164" fontId="5" fillId="0" borderId="0" xfId="2" applyNumberFormat="1" applyFont="1" applyBorder="1" applyAlignment="1">
      <alignment vertical="center" wrapText="1"/>
    </xf>
    <xf numFmtId="0" fontId="6" fillId="0" borderId="0" xfId="1" applyFont="1" applyAlignment="1">
      <alignment vertical="center"/>
    </xf>
    <xf numFmtId="164" fontId="6" fillId="0" borderId="0" xfId="2" applyNumberFormat="1" applyFont="1" applyBorder="1" applyAlignment="1">
      <alignment vertical="center" wrapText="1"/>
    </xf>
    <xf numFmtId="164" fontId="5" fillId="0" borderId="0" xfId="2" applyNumberFormat="1" applyFont="1" applyBorder="1" applyAlignment="1">
      <alignment vertical="center"/>
    </xf>
    <xf numFmtId="164" fontId="0" fillId="0" borderId="0" xfId="2" applyNumberFormat="1" applyFont="1" applyBorder="1"/>
    <xf numFmtId="164" fontId="4" fillId="0" borderId="0" xfId="2" applyNumberFormat="1" applyFont="1" applyBorder="1" applyAlignment="1">
      <alignment vertical="center" wrapText="1"/>
    </xf>
    <xf numFmtId="164" fontId="7" fillId="0" borderId="0" xfId="2" applyNumberFormat="1" applyFont="1" applyBorder="1"/>
    <xf numFmtId="0" fontId="4" fillId="0" borderId="0" xfId="1" applyFont="1" applyAlignment="1">
      <alignment vertical="center"/>
    </xf>
    <xf numFmtId="164" fontId="8" fillId="0" borderId="0" xfId="2" applyNumberFormat="1" applyFont="1" applyBorder="1"/>
    <xf numFmtId="0" fontId="8" fillId="0" borderId="0" xfId="1" applyFont="1"/>
    <xf numFmtId="164" fontId="4" fillId="0" borderId="0" xfId="2" applyNumberFormat="1" applyFont="1" applyFill="1" applyBorder="1" applyAlignment="1">
      <alignment vertical="center"/>
    </xf>
    <xf numFmtId="164" fontId="3" fillId="0" borderId="0" xfId="1" applyNumberFormat="1"/>
    <xf numFmtId="164" fontId="3" fillId="0" borderId="0" xfId="2" applyNumberFormat="1" applyFont="1" applyBorder="1"/>
    <xf numFmtId="9" fontId="3" fillId="0" borderId="0" xfId="1" applyNumberFormat="1"/>
    <xf numFmtId="10" fontId="0" fillId="0" borderId="0" xfId="3" applyNumberFormat="1" applyFont="1" applyBorder="1" applyAlignment="1"/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9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9" fontId="2" fillId="0" borderId="0" xfId="1" applyNumberFormat="1" applyFont="1" applyAlignment="1">
      <alignment horizontal="center" vertical="center"/>
    </xf>
    <xf numFmtId="9" fontId="2" fillId="2" borderId="0" xfId="1" applyNumberFormat="1" applyFont="1" applyFill="1"/>
    <xf numFmtId="10" fontId="10" fillId="0" borderId="0" xfId="1" applyNumberFormat="1" applyFont="1" applyAlignment="1">
      <alignment horizontal="center" vertical="center"/>
    </xf>
    <xf numFmtId="165" fontId="10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0" fontId="3" fillId="0" borderId="0" xfId="1" applyNumberFormat="1"/>
    <xf numFmtId="9" fontId="10" fillId="0" borderId="0" xfId="1" applyNumberFormat="1" applyFont="1"/>
    <xf numFmtId="0" fontId="11" fillId="4" borderId="0" xfId="1" applyFont="1" applyFill="1"/>
    <xf numFmtId="0" fontId="11" fillId="2" borderId="0" xfId="1" applyFont="1" applyFill="1"/>
    <xf numFmtId="0" fontId="2" fillId="0" borderId="0" xfId="1" applyFont="1"/>
    <xf numFmtId="10" fontId="0" fillId="0" borderId="0" xfId="3" applyNumberFormat="1" applyFont="1" applyAlignment="1"/>
    <xf numFmtId="10" fontId="10" fillId="0" borderId="0" xfId="1" applyNumberFormat="1" applyFont="1"/>
    <xf numFmtId="9" fontId="2" fillId="5" borderId="0" xfId="1" applyNumberFormat="1" applyFont="1" applyFill="1"/>
    <xf numFmtId="9" fontId="2" fillId="0" borderId="0" xfId="1" applyNumberFormat="1" applyFont="1"/>
    <xf numFmtId="165" fontId="0" fillId="0" borderId="0" xfId="3" applyNumberFormat="1" applyFont="1" applyAlignment="1"/>
    <xf numFmtId="165" fontId="10" fillId="0" borderId="0" xfId="3" applyNumberFormat="1" applyFont="1" applyAlignment="1"/>
    <xf numFmtId="0" fontId="2" fillId="5" borderId="0" xfId="1" applyFont="1" applyFill="1"/>
    <xf numFmtId="9" fontId="0" fillId="0" borderId="0" xfId="3" applyFont="1" applyAlignment="1"/>
    <xf numFmtId="164" fontId="10" fillId="0" borderId="0" xfId="2" applyNumberFormat="1" applyFont="1"/>
    <xf numFmtId="164" fontId="0" fillId="0" borderId="0" xfId="2" applyNumberFormat="1" applyFont="1" applyAlignment="1"/>
    <xf numFmtId="164" fontId="0" fillId="0" borderId="0" xfId="2" applyNumberFormat="1" applyFont="1"/>
    <xf numFmtId="164" fontId="8" fillId="0" borderId="0" xfId="2" applyNumberFormat="1" applyFont="1"/>
    <xf numFmtId="43" fontId="0" fillId="0" borderId="0" xfId="2" applyFont="1"/>
    <xf numFmtId="0" fontId="3" fillId="6" borderId="0" xfId="1" applyFill="1"/>
    <xf numFmtId="37" fontId="12" fillId="0" borderId="0" xfId="1" applyNumberFormat="1" applyFont="1"/>
    <xf numFmtId="166" fontId="3" fillId="0" borderId="0" xfId="1" applyNumberFormat="1"/>
    <xf numFmtId="43" fontId="3" fillId="0" borderId="0" xfId="1" applyNumberFormat="1"/>
    <xf numFmtId="0" fontId="13" fillId="7" borderId="0" xfId="1" applyFont="1" applyFill="1" applyAlignment="1">
      <alignment horizontal="center"/>
    </xf>
    <xf numFmtId="0" fontId="13" fillId="7" borderId="2" xfId="1" applyFont="1" applyFill="1" applyBorder="1" applyAlignment="1">
      <alignment horizontal="center" wrapText="1"/>
    </xf>
    <xf numFmtId="0" fontId="13" fillId="7" borderId="0" xfId="1" applyFont="1" applyFill="1" applyAlignment="1">
      <alignment horizontal="center" wrapText="1"/>
    </xf>
    <xf numFmtId="0" fontId="13" fillId="7" borderId="3" xfId="1" applyFont="1" applyFill="1" applyBorder="1" applyAlignment="1">
      <alignment horizontal="center" wrapText="1"/>
    </xf>
    <xf numFmtId="0" fontId="14" fillId="5" borderId="0" xfId="1" applyFont="1" applyFill="1"/>
    <xf numFmtId="4" fontId="14" fillId="5" borderId="2" xfId="1" applyNumberFormat="1" applyFont="1" applyFill="1" applyBorder="1"/>
    <xf numFmtId="4" fontId="14" fillId="5" borderId="0" xfId="1" applyNumberFormat="1" applyFont="1" applyFill="1"/>
    <xf numFmtId="4" fontId="14" fillId="5" borderId="3" xfId="1" applyNumberFormat="1" applyFont="1" applyFill="1" applyBorder="1"/>
    <xf numFmtId="4" fontId="14" fillId="0" borderId="2" xfId="1" applyNumberFormat="1" applyFont="1" applyBorder="1"/>
    <xf numFmtId="4" fontId="14" fillId="0" borderId="0" xfId="1" applyNumberFormat="1" applyFont="1"/>
    <xf numFmtId="4" fontId="14" fillId="0" borderId="3" xfId="1" applyNumberFormat="1" applyFont="1" applyBorder="1"/>
    <xf numFmtId="0" fontId="14" fillId="0" borderId="0" xfId="1" applyFont="1"/>
  </cellXfs>
  <cellStyles count="4">
    <cellStyle name="Comma 2" xfId="2" xr:uid="{2AAB8F6E-6598-449B-A202-9F455E305D90}"/>
    <cellStyle name="Normal" xfId="0" builtinId="0"/>
    <cellStyle name="Normal 2" xfId="1" xr:uid="{7BF6D56D-F21E-4FC2-BEDA-AAA07235ACA5}"/>
    <cellStyle name="Percent 2" xfId="3" xr:uid="{88F6D022-C60B-450F-9B9D-6578766DAC58}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Composition</a:t>
            </a:r>
            <a:r>
              <a:rPr lang="en-US" baseline="0"/>
              <a:t> of future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0C-4F7F-BFB9-ACC2D1C51D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0C-4F7F-BFB9-ACC2D1C51D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0C-4F7F-BFB9-ACC2D1C51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Assumptions!$O$11:$O$13</c:f>
              <c:strCache>
                <c:ptCount val="3"/>
                <c:pt idx="0">
                  <c:v>Matchday</c:v>
                </c:pt>
                <c:pt idx="1">
                  <c:v>Broadcast</c:v>
                </c:pt>
                <c:pt idx="2">
                  <c:v>Commericial</c:v>
                </c:pt>
              </c:strCache>
            </c:strRef>
          </c:cat>
          <c:val>
            <c:numRef>
              <c:f>Assumptions!$P$11:$P$13</c:f>
              <c:numCache>
                <c:formatCode>0%</c:formatCode>
                <c:ptCount val="3"/>
                <c:pt idx="0">
                  <c:v>0.15</c:v>
                </c:pt>
                <c:pt idx="1">
                  <c:v>0.35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0C-4F7F-BFB9-ACC2D1C51D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12701</xdr:colOff>
      <xdr:row>2</xdr:row>
      <xdr:rowOff>8467</xdr:rowOff>
    </xdr:from>
    <xdr:to>
      <xdr:col>21</xdr:col>
      <xdr:colOff>31750</xdr:colOff>
      <xdr:row>13</xdr:row>
      <xdr:rowOff>137582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F6232-83D1-4193-B4C4-90B703483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Control%20cycle/SOA%20challenge/football-soccer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 Dictionary"/>
      <sheetName val="Rarita Spot Rates"/>
      <sheetName val="Real data"/>
      <sheetName val="Output"/>
      <sheetName val="Assumptions"/>
      <sheetName val="Other Countries GDP"/>
      <sheetName val="rank"/>
      <sheetName val="Total revenue"/>
      <sheetName val="Total Expense"/>
      <sheetName val="Profit"/>
      <sheetName val="Revene by year"/>
      <sheetName val="Expense by year"/>
      <sheetName val="correlation"/>
      <sheetName val="Sheet5"/>
      <sheetName val="Revenue% by year"/>
      <sheetName val="Expense% by year"/>
      <sheetName val="Revenue"/>
      <sheetName val="Expense"/>
      <sheetName val="Attendance"/>
      <sheetName val="Social Media"/>
    </sheetNames>
    <sheetDataSet>
      <sheetData sheetId="0"/>
      <sheetData sheetId="1"/>
      <sheetData sheetId="2">
        <row r="12">
          <cell r="P12" t="str">
            <v>1/1/2021</v>
          </cell>
        </row>
      </sheetData>
      <sheetData sheetId="3"/>
      <sheetData sheetId="4"/>
      <sheetData sheetId="5">
        <row r="11">
          <cell r="O11" t="str">
            <v>Matchday</v>
          </cell>
          <cell r="P11">
            <v>0.15</v>
          </cell>
        </row>
        <row r="12">
          <cell r="O12" t="str">
            <v>Broadcast</v>
          </cell>
          <cell r="P12">
            <v>0.35</v>
          </cell>
        </row>
        <row r="13">
          <cell r="O13" t="str">
            <v>Commericial</v>
          </cell>
          <cell r="P13">
            <v>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3">
          <cell r="C13" t="str">
            <v>Nation</v>
          </cell>
        </row>
      </sheetData>
      <sheetData sheetId="18">
        <row r="13">
          <cell r="B13" t="str">
            <v>Nation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55D3-C61F-4B03-84C1-FC16F0762BAC}">
  <sheetPr>
    <tabColor rgb="FFC00000"/>
  </sheetPr>
  <dimension ref="B1:N46"/>
  <sheetViews>
    <sheetView tabSelected="1" zoomScale="90" zoomScaleNormal="90" workbookViewId="0">
      <selection activeCell="I9" sqref="I9"/>
    </sheetView>
  </sheetViews>
  <sheetFormatPr defaultRowHeight="14.5" x14ac:dyDescent="0.35"/>
  <cols>
    <col min="1" max="1" width="8.7265625" style="1"/>
    <col min="2" max="2" width="20.08984375" style="1" bestFit="1" customWidth="1"/>
    <col min="3" max="14" width="20" style="1" bestFit="1" customWidth="1"/>
    <col min="15" max="16384" width="8.7265625" style="1"/>
  </cols>
  <sheetData>
    <row r="1" spans="2:14" x14ac:dyDescent="0.35">
      <c r="B1" s="1" t="s">
        <v>0</v>
      </c>
    </row>
    <row r="2" spans="2:14" x14ac:dyDescent="0.35"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</row>
    <row r="3" spans="2:14" x14ac:dyDescent="0.35">
      <c r="B3" s="2" t="s">
        <v>1</v>
      </c>
      <c r="C3" s="2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2:14" x14ac:dyDescent="0.35">
      <c r="B4" s="3" t="s">
        <v>13</v>
      </c>
      <c r="C4" s="4">
        <f>SUM(C5:C6)</f>
        <v>1868954791.6799998</v>
      </c>
      <c r="D4" s="4">
        <f>C4*(1+Assumptions!C5)</f>
        <v>2055850270.848</v>
      </c>
      <c r="E4" s="4">
        <f>D4*(1+Assumptions!D5)</f>
        <v>2775397865.6448002</v>
      </c>
      <c r="F4" s="4">
        <f>E4*(1+Assumptions!E5)</f>
        <v>3354783527.1381512</v>
      </c>
      <c r="G4" s="4">
        <f>F4*(1+Assumptions!F5)</f>
        <v>4056244401.620296</v>
      </c>
      <c r="H4" s="4">
        <f>G4*(1+Assumptions!G5)</f>
        <v>5040828648.6327543</v>
      </c>
      <c r="I4" s="4">
        <f>H4*(1+Assumptions!H5)</f>
        <v>6009635370.2023172</v>
      </c>
      <c r="J4" s="4">
        <f>I4*(1+Assumptions!I5)</f>
        <v>6625022993.9881315</v>
      </c>
      <c r="K4" s="4">
        <f>J4*(1+Assumptions!J5)</f>
        <v>8380884909.9787483</v>
      </c>
      <c r="L4" s="4">
        <f>K4*(1+Assumptions!K5)</f>
        <v>8917794966.8578835</v>
      </c>
      <c r="M4" s="4">
        <f>L4*(1+Assumptions!L5)</f>
        <v>9860613658.9059448</v>
      </c>
      <c r="N4" s="4">
        <f>M4*(1+Assumptions!M5)</f>
        <v>11216056892.628849</v>
      </c>
    </row>
    <row r="5" spans="2:14" x14ac:dyDescent="0.35">
      <c r="B5" s="5" t="s">
        <v>14</v>
      </c>
      <c r="C5" s="6">
        <v>1234950624</v>
      </c>
      <c r="D5" s="6">
        <f>D$4*Assumptions!C8</f>
        <v>1336302676.0512002</v>
      </c>
      <c r="E5" s="6">
        <f>E$4*Assumptions!D8</f>
        <v>1942778505.95136</v>
      </c>
      <c r="F5" s="6">
        <f>F$4*Assumptions!E8</f>
        <v>2348348468.9967055</v>
      </c>
      <c r="G5" s="6">
        <f>G$4*Assumptions!F8</f>
        <v>2839371081.1342072</v>
      </c>
      <c r="H5" s="6">
        <f>H$4*Assumptions!G8</f>
        <v>3024497189.1796527</v>
      </c>
      <c r="I5" s="6">
        <f>I$4*Assumptions!H8</f>
        <v>3605781222.1213903</v>
      </c>
      <c r="J5" s="6">
        <f>J$4*Assumptions!I8</f>
        <v>4637516095.7916918</v>
      </c>
      <c r="K5" s="6">
        <f>K$4*Assumptions!J8</f>
        <v>5866619436.9851236</v>
      </c>
      <c r="L5" s="6">
        <f>L$4*Assumptions!K8</f>
        <v>5350676980.1147299</v>
      </c>
      <c r="M5" s="6">
        <f>M$4*Assumptions!L8</f>
        <v>5916368195.3435669</v>
      </c>
      <c r="N5" s="6">
        <f>N$4*Assumptions!M8</f>
        <v>6729634135.5773096</v>
      </c>
    </row>
    <row r="6" spans="2:14" x14ac:dyDescent="0.35">
      <c r="B6" s="5" t="s">
        <v>15</v>
      </c>
      <c r="C6" s="6">
        <v>634004167.67999995</v>
      </c>
      <c r="D6" s="6">
        <f>D$4*Assumptions!C9</f>
        <v>719547594.79680002</v>
      </c>
      <c r="E6" s="6">
        <f>E$4*Assumptions!D9</f>
        <v>832619359.6934402</v>
      </c>
      <c r="F6" s="6">
        <f>F$4*Assumptions!E9</f>
        <v>1006435058.1414455</v>
      </c>
      <c r="G6" s="6">
        <f>G$4*Assumptions!F9</f>
        <v>1216873320.486089</v>
      </c>
      <c r="H6" s="6">
        <f>H$4*Assumptions!G9</f>
        <v>2016331459.4531019</v>
      </c>
      <c r="I6" s="6">
        <f>I$4*Assumptions!H9</f>
        <v>2403854148.0809269</v>
      </c>
      <c r="J6" s="6">
        <f>J$4*Assumptions!I9</f>
        <v>1987506898.1964397</v>
      </c>
      <c r="K6" s="6">
        <f>K$4*Assumptions!J9</f>
        <v>2514265472.9936247</v>
      </c>
      <c r="L6" s="6">
        <f>L$4*Assumptions!K9</f>
        <v>3567117986.7431536</v>
      </c>
      <c r="M6" s="6">
        <f>M$4*Assumptions!L9</f>
        <v>3944245463.5623779</v>
      </c>
      <c r="N6" s="6">
        <f>N$4*Assumptions!M9</f>
        <v>4486422757.0515394</v>
      </c>
    </row>
    <row r="7" spans="2:14" x14ac:dyDescent="0.35">
      <c r="B7" s="3" t="s">
        <v>16</v>
      </c>
      <c r="C7" s="4">
        <f>SUM(C8:C11)</f>
        <v>2993922536.6800003</v>
      </c>
      <c r="D7" s="4">
        <f>C7*(1+Assumptions!C6)</f>
        <v>3143618663.5140004</v>
      </c>
      <c r="E7" s="4">
        <f>D7*(1+Assumptions!D6)</f>
        <v>2829256797.1626005</v>
      </c>
      <c r="F7" s="4">
        <f>E7*(1+Assumptions!E6)</f>
        <v>3515213220.4436736</v>
      </c>
      <c r="G7" s="4">
        <f>F7*(1+Assumptions!F6)</f>
        <v>4366465345.3528852</v>
      </c>
      <c r="H7" s="4">
        <f>G7*(1+Assumptions!G6)</f>
        <v>5297244326.2463188</v>
      </c>
      <c r="I7" s="4">
        <f>H7*(1+Assumptions!H6)</f>
        <v>6657207584.6846962</v>
      </c>
      <c r="J7" s="4">
        <f>I7*(1+Assumptions!I6)</f>
        <v>8881570107.3626347</v>
      </c>
      <c r="K7" s="4">
        <f>J7*(1+Assumptions!J6)</f>
        <v>10604076916.460976</v>
      </c>
      <c r="L7" s="4">
        <f>K7*(1+Assumptions!K6)</f>
        <v>12084362698.948498</v>
      </c>
      <c r="M7" s="4">
        <f>L7*(1+Assumptions!L6)</f>
        <v>13337346804.58791</v>
      </c>
      <c r="N7" s="4">
        <f>M7*(1+Assumptions!M6)</f>
        <v>14355385488.017267</v>
      </c>
    </row>
    <row r="8" spans="2:14" x14ac:dyDescent="0.35">
      <c r="B8" s="5" t="s">
        <v>17</v>
      </c>
      <c r="C8" s="6">
        <v>309586095.36000001</v>
      </c>
      <c r="D8" s="6">
        <f>D$7*Assumptions!C11</f>
        <v>490404511.50818408</v>
      </c>
      <c r="E8" s="6">
        <f>E$7*Assumptions!D11</f>
        <v>509266223.48926806</v>
      </c>
      <c r="F8" s="6">
        <f>F$7*Assumptions!E11</f>
        <v>615162313.5776428</v>
      </c>
      <c r="G8" s="6">
        <f>G$7*Assumptions!F11</f>
        <v>742299108.70999038</v>
      </c>
      <c r="H8" s="6">
        <f>H$7*Assumptions!G11</f>
        <v>874045313.83064246</v>
      </c>
      <c r="I8" s="6">
        <f>I$7*Assumptions!H11</f>
        <v>1065153213.5495512</v>
      </c>
      <c r="J8" s="6">
        <f>J$7*Assumptions!I11</f>
        <v>1421051217.1780217</v>
      </c>
      <c r="K8" s="6">
        <f>K$7*Assumptions!J11</f>
        <v>1590611537.4691463</v>
      </c>
      <c r="L8" s="6">
        <f>L$7*Assumptions!K11</f>
        <v>1812654404.8422747</v>
      </c>
      <c r="M8" s="6">
        <f>M$7*Assumptions!L11</f>
        <v>2000602020.6881864</v>
      </c>
      <c r="N8" s="6">
        <f>N$7*Assumptions!M11</f>
        <v>2153307823.20259</v>
      </c>
    </row>
    <row r="9" spans="2:14" x14ac:dyDescent="0.35">
      <c r="B9" s="5" t="s">
        <v>18</v>
      </c>
      <c r="C9" s="6">
        <v>797407303.67999995</v>
      </c>
      <c r="D9" s="6">
        <f>D$7*Assumptions!C12</f>
        <v>1226011278.7704601</v>
      </c>
      <c r="E9" s="6">
        <f>E$7*Assumptions!D12</f>
        <v>1273165558.7231705</v>
      </c>
      <c r="F9" s="6">
        <f>F$7*Assumptions!E12</f>
        <v>1564269883.0974345</v>
      </c>
      <c r="G9" s="6">
        <f>G$7*Assumptions!F12</f>
        <v>1921244751.9552698</v>
      </c>
      <c r="H9" s="6">
        <f>H$7*Assumptions!G12</f>
        <v>2304301281.9171486</v>
      </c>
      <c r="I9" s="6">
        <f>I$7*Assumptions!H12</f>
        <v>2862599261.4144201</v>
      </c>
      <c r="J9" s="6">
        <f>J$7*Assumptions!I12</f>
        <v>3730259445.0923066</v>
      </c>
      <c r="K9" s="6">
        <f>K$7*Assumptions!J12</f>
        <v>4241630766.5843897</v>
      </c>
      <c r="L9" s="6">
        <f>L$7*Assumptions!K12</f>
        <v>4229526944.6319737</v>
      </c>
      <c r="M9" s="6">
        <f>M$7*Assumptions!L12</f>
        <v>4668071381.6057682</v>
      </c>
      <c r="N9" s="6">
        <f>N$7*Assumptions!M12</f>
        <v>5024384920.8060436</v>
      </c>
    </row>
    <row r="10" spans="2:14" x14ac:dyDescent="0.35">
      <c r="B10" s="5" t="s">
        <v>19</v>
      </c>
      <c r="C10" s="6">
        <v>943464568.32000005</v>
      </c>
      <c r="D10" s="6">
        <f>D$7*Assumptions!C13</f>
        <v>1427202873.2353561</v>
      </c>
      <c r="E10" s="6">
        <f>E$7*Assumptions!D13</f>
        <v>1046825014.9501622</v>
      </c>
      <c r="F10" s="6">
        <f>F$7*Assumptions!E13</f>
        <v>1335781023.7685959</v>
      </c>
      <c r="G10" s="6">
        <f>G$7*Assumptions!F13</f>
        <v>1702921484.6876254</v>
      </c>
      <c r="H10" s="6">
        <f>H$7*Assumptions!G13</f>
        <v>2118897730.4985275</v>
      </c>
      <c r="I10" s="6">
        <f>I$7*Assumptions!H13</f>
        <v>2729455109.7207251</v>
      </c>
      <c r="J10" s="6">
        <f>J$7*Assumptions!I13</f>
        <v>3730259445.0923066</v>
      </c>
      <c r="K10" s="6">
        <f>K$7*Assumptions!J13</f>
        <v>4771834612.4074392</v>
      </c>
      <c r="L10" s="6">
        <f>L$7*Assumptions!K13</f>
        <v>6042181349.4742489</v>
      </c>
      <c r="M10" s="6">
        <f>M$7*Assumptions!L13</f>
        <v>6668673402.2939548</v>
      </c>
      <c r="N10" s="6">
        <f>N$7*Assumptions!M13</f>
        <v>7177692744.0086336</v>
      </c>
    </row>
    <row r="11" spans="2:14" x14ac:dyDescent="0.35">
      <c r="B11" s="7" t="s">
        <v>20</v>
      </c>
      <c r="C11" s="8">
        <v>943464569.32000005</v>
      </c>
      <c r="D11" s="8">
        <f>D$7*Assumptions!C14</f>
        <v>94308559.905420005</v>
      </c>
      <c r="E11" s="8">
        <f>E$7*Assumptions!D14</f>
        <v>84877703.914878011</v>
      </c>
      <c r="F11" s="8">
        <f>F$7*Assumptions!E14</f>
        <v>123032462.71552856</v>
      </c>
      <c r="G11" s="8">
        <f>G$7*Assumptions!F14</f>
        <v>174658613.81411538</v>
      </c>
      <c r="H11" s="8">
        <f>H$7*Assumptions!G14</f>
        <v>238375994.68108431</v>
      </c>
      <c r="I11" s="8">
        <f>I$7*Assumptions!H14</f>
        <v>332860379.23423475</v>
      </c>
      <c r="J11" s="8">
        <f>J$7*Assumptions!I14</f>
        <v>444078505.36813164</v>
      </c>
      <c r="K11" s="8">
        <f>K$7*Assumptions!J14</f>
        <v>530203845.82304865</v>
      </c>
      <c r="L11" s="8">
        <f>L$7*Assumptions!K14</f>
        <v>604218134.94742477</v>
      </c>
      <c r="M11" s="8">
        <f>M$7*Assumptions!L14</f>
        <v>666867340.22939539</v>
      </c>
      <c r="N11" s="8">
        <f>N$7*Assumptions!M14</f>
        <v>717769274.40086317</v>
      </c>
    </row>
    <row r="12" spans="2:14" x14ac:dyDescent="0.35">
      <c r="B12" s="5" t="s">
        <v>21</v>
      </c>
      <c r="C12" s="9">
        <f>C7-C4</f>
        <v>1124967745.0000005</v>
      </c>
      <c r="D12" s="9">
        <f t="shared" ref="D12:N12" si="0">D7-D4+D11</f>
        <v>1182076952.5714204</v>
      </c>
      <c r="E12" s="9">
        <f t="shared" si="0"/>
        <v>138736635.43267834</v>
      </c>
      <c r="F12" s="9">
        <f t="shared" si="0"/>
        <v>283462156.02105099</v>
      </c>
      <c r="G12" s="9">
        <f t="shared" si="0"/>
        <v>484879557.54670465</v>
      </c>
      <c r="H12" s="9">
        <f t="shared" si="0"/>
        <v>494791672.29464877</v>
      </c>
      <c r="I12" s="9">
        <f t="shared" si="0"/>
        <v>980432593.71661377</v>
      </c>
      <c r="J12" s="9">
        <f t="shared" si="0"/>
        <v>2700625618.7426348</v>
      </c>
      <c r="K12" s="9">
        <f t="shared" si="0"/>
        <v>2753395852.3052759</v>
      </c>
      <c r="L12" s="9">
        <f t="shared" si="0"/>
        <v>3770785867.0380392</v>
      </c>
      <c r="M12" s="9">
        <f t="shared" si="0"/>
        <v>4143600485.9113603</v>
      </c>
      <c r="N12" s="9">
        <f t="shared" si="0"/>
        <v>3857097869.7892814</v>
      </c>
    </row>
    <row r="13" spans="2:14" x14ac:dyDescent="0.35"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 x14ac:dyDescent="0.35">
      <c r="B15" s="1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14" x14ac:dyDescent="0.35">
      <c r="B16" s="2" t="s">
        <v>1</v>
      </c>
      <c r="C16" s="11"/>
      <c r="D16" s="11" t="s">
        <v>2</v>
      </c>
      <c r="E16" s="11" t="s">
        <v>3</v>
      </c>
      <c r="F16" s="11" t="s">
        <v>4</v>
      </c>
      <c r="G16" s="11" t="s">
        <v>5</v>
      </c>
      <c r="H16" s="11" t="s">
        <v>6</v>
      </c>
      <c r="I16" s="11" t="s">
        <v>7</v>
      </c>
      <c r="J16" s="11" t="s">
        <v>8</v>
      </c>
      <c r="K16" s="11" t="s">
        <v>9</v>
      </c>
      <c r="L16" s="11" t="s">
        <v>10</v>
      </c>
      <c r="M16" s="11" t="s">
        <v>11</v>
      </c>
      <c r="N16" s="11" t="s">
        <v>12</v>
      </c>
    </row>
    <row r="17" spans="2:14" x14ac:dyDescent="0.35">
      <c r="B17" s="3" t="s">
        <v>13</v>
      </c>
      <c r="C17" s="4">
        <f>SUM(C18:C19)</f>
        <v>1868954791.6799998</v>
      </c>
      <c r="D17" s="10">
        <f>C17*(1+Assumptions!C17)</f>
        <v>2055850270.848</v>
      </c>
      <c r="E17" s="10">
        <f>D17*(1+Assumptions!D17)</f>
        <v>2199166465.7504821</v>
      </c>
      <c r="F17" s="10">
        <f>E17*(1+Assumptions!E17)</f>
        <v>2445240521.2713141</v>
      </c>
      <c r="G17" s="10">
        <f>F17*(1+Assumptions!F17)</f>
        <v>2720896999.245935</v>
      </c>
      <c r="H17" s="10">
        <f>G17*(1+Assumptions!G17)</f>
        <v>3256457747.6806912</v>
      </c>
      <c r="I17" s="10">
        <f>H17*(1+Assumptions!H17)</f>
        <v>3485972537.5477433</v>
      </c>
      <c r="J17" s="10">
        <f>I17*(1+Assumptions!I17)</f>
        <v>2949134161.6408439</v>
      </c>
      <c r="K17" s="10">
        <f>J17*(1+Assumptions!J17)</f>
        <v>3694047414.588892</v>
      </c>
      <c r="L17" s="10">
        <f>K17*(1+Assumptions!K17)</f>
        <v>3743693241.7851253</v>
      </c>
      <c r="M17" s="10">
        <f>L17*(1+Assumptions!L17)</f>
        <v>4053941197.6739802</v>
      </c>
      <c r="N17" s="10">
        <f>M17*(1+Assumptions!M17)</f>
        <v>4604333528.5424681</v>
      </c>
    </row>
    <row r="18" spans="2:14" x14ac:dyDescent="0.35">
      <c r="B18" s="5" t="s">
        <v>14</v>
      </c>
      <c r="C18" s="6">
        <v>1234950624</v>
      </c>
      <c r="D18" s="10">
        <f>D$17*Assumptions!C20</f>
        <v>1336302676.0512002</v>
      </c>
      <c r="E18" s="10">
        <f>E$17*Assumptions!D20</f>
        <v>1451449867.3953183</v>
      </c>
      <c r="F18" s="10">
        <f>F$17*Assumptions!E20</f>
        <v>1613858744.0390675</v>
      </c>
      <c r="G18" s="10">
        <f>G$17*Assumptions!F20</f>
        <v>1795792019.5023172</v>
      </c>
      <c r="H18" s="10">
        <f>H$17*Assumptions!G20</f>
        <v>2149262113.4692564</v>
      </c>
      <c r="I18" s="10">
        <f>I$17*Assumptions!H20</f>
        <v>2300741874.7815108</v>
      </c>
      <c r="J18" s="10">
        <f>J$17*Assumptions!I20</f>
        <v>1946428546.6829569</v>
      </c>
      <c r="K18" s="10">
        <f>K$17*Assumptions!J20</f>
        <v>2438071293.6286688</v>
      </c>
      <c r="L18" s="10">
        <f>L$17*Assumptions!K20</f>
        <v>2470837539.5781827</v>
      </c>
      <c r="M18" s="10">
        <f>M$17*Assumptions!L20</f>
        <v>2675601190.4648271</v>
      </c>
      <c r="N18" s="10">
        <f>N$17*Assumptions!M20</f>
        <v>3038860128.8380289</v>
      </c>
    </row>
    <row r="19" spans="2:14" x14ac:dyDescent="0.35">
      <c r="B19" s="5" t="s">
        <v>15</v>
      </c>
      <c r="C19" s="6">
        <v>634004167.67999995</v>
      </c>
      <c r="D19" s="10">
        <f>D$17*Assumptions!C21</f>
        <v>719547594.79680002</v>
      </c>
      <c r="E19" s="10">
        <f>E$17*Assumptions!D21</f>
        <v>747716598.35516381</v>
      </c>
      <c r="F19" s="10">
        <f>F$17*Assumptions!E21</f>
        <v>831381777.23224676</v>
      </c>
      <c r="G19" s="10">
        <f>G$17*Assumptions!F21</f>
        <v>925104979.74361777</v>
      </c>
      <c r="H19" s="10">
        <f>H$17*Assumptions!G21</f>
        <v>1107195634.2114348</v>
      </c>
      <c r="I19" s="10">
        <f>I$17*Assumptions!H21</f>
        <v>1185230662.7662327</v>
      </c>
      <c r="J19" s="10">
        <f>J$17*Assumptions!I21</f>
        <v>1002705614.9578868</v>
      </c>
      <c r="K19" s="10">
        <f>K$17*Assumptions!J21</f>
        <v>1255976120.9602232</v>
      </c>
      <c r="L19" s="10">
        <f>L$17*Assumptions!K21</f>
        <v>1272855702.2069426</v>
      </c>
      <c r="M19" s="10">
        <f>M$17*Assumptions!L21</f>
        <v>1378340007.2091532</v>
      </c>
      <c r="N19" s="10">
        <f>N$17*Assumptions!M21</f>
        <v>1565473399.7044389</v>
      </c>
    </row>
    <row r="20" spans="2:14" x14ac:dyDescent="0.35">
      <c r="B20" s="3" t="s">
        <v>16</v>
      </c>
      <c r="C20" s="4">
        <f>SUM(C21:C24)</f>
        <v>2993922536.6800003</v>
      </c>
      <c r="D20" s="10">
        <f>C20*(1+Assumptions!C18)</f>
        <v>3143618663.5140004</v>
      </c>
      <c r="E20" s="10">
        <f>D20*(1+Assumptions!D18)</f>
        <v>3450084497.9647779</v>
      </c>
      <c r="F20" s="10">
        <f>E20*(1+Assumptions!E18)</f>
        <v>3660980402.5452514</v>
      </c>
      <c r="G20" s="10">
        <f>F20*(1+Assumptions!F18)</f>
        <v>3882124686.3060126</v>
      </c>
      <c r="H20" s="10">
        <f>G20*(1+Assumptions!G18)</f>
        <v>3835202606.0422859</v>
      </c>
      <c r="I20" s="10">
        <f>H20*(1+Assumptions!H18)</f>
        <v>4206549216.2061715</v>
      </c>
      <c r="J20" s="10">
        <f>I20*(1+Assumptions!I18)</f>
        <v>5427799429.3063183</v>
      </c>
      <c r="K20" s="10">
        <f>J20*(1+Assumptions!J18)</f>
        <v>5101340367.5979357</v>
      </c>
      <c r="L20" s="10">
        <f>K20*(1+Assumptions!K18)</f>
        <v>5846101299.6576748</v>
      </c>
      <c r="M20" s="10">
        <f>L20*(1+Assumptions!L18)</f>
        <v>6349707883.14678</v>
      </c>
      <c r="N20" s="10">
        <f>M20*(1+Assumptions!M18)</f>
        <v>6607187745.789897</v>
      </c>
    </row>
    <row r="21" spans="2:14" x14ac:dyDescent="0.35">
      <c r="B21" s="5" t="s">
        <v>17</v>
      </c>
      <c r="C21" s="6">
        <v>309586095.36000001</v>
      </c>
      <c r="D21" s="10">
        <f>D$20*Assumptions!C23</f>
        <v>490404511.50818408</v>
      </c>
      <c r="E21" s="10">
        <f>E$20*Assumptions!D23</f>
        <v>586514364.65401232</v>
      </c>
      <c r="F21" s="10">
        <f>F$20*Assumptions!E23</f>
        <v>622366668.43269277</v>
      </c>
      <c r="G21" s="10">
        <f>G$20*Assumptions!F23</f>
        <v>659961196.67202222</v>
      </c>
      <c r="H21" s="10">
        <f>H$20*Assumptions!G23</f>
        <v>651984443.02718866</v>
      </c>
      <c r="I21" s="10">
        <f>I$20*Assumptions!H23</f>
        <v>715113366.75504923</v>
      </c>
      <c r="J21" s="10">
        <f>J$20*Assumptions!I23</f>
        <v>922725902.98207414</v>
      </c>
      <c r="K21" s="10">
        <f>K$20*Assumptions!J23</f>
        <v>867227862.49164915</v>
      </c>
      <c r="L21" s="10">
        <f>L$20*Assumptions!K23</f>
        <v>993837220.94180477</v>
      </c>
      <c r="M21" s="10">
        <f>M$20*Assumptions!L23</f>
        <v>1079450340.1349528</v>
      </c>
      <c r="N21" s="10">
        <f>N$20*Assumptions!M23</f>
        <v>1123221916.7842824</v>
      </c>
    </row>
    <row r="22" spans="2:14" x14ac:dyDescent="0.35">
      <c r="B22" s="5" t="s">
        <v>18</v>
      </c>
      <c r="C22" s="6">
        <v>797407303.67999995</v>
      </c>
      <c r="D22" s="10">
        <f>D$20*Assumptions!C24</f>
        <v>1226011278.7704601</v>
      </c>
      <c r="E22" s="10">
        <f>E$20*Assumptions!D24</f>
        <v>1380033799.1859112</v>
      </c>
      <c r="F22" s="10">
        <f>F$20*Assumptions!E24</f>
        <v>1464392161.0181007</v>
      </c>
      <c r="G22" s="10">
        <f>G$20*Assumptions!F24</f>
        <v>1552849874.5224051</v>
      </c>
      <c r="H22" s="10">
        <f>H$20*Assumptions!G24</f>
        <v>1534081042.4169145</v>
      </c>
      <c r="I22" s="10">
        <f>I$20*Assumptions!H24</f>
        <v>1682619686.4824686</v>
      </c>
      <c r="J22" s="10">
        <f>J$20*Assumptions!I24</f>
        <v>2171119771.7225275</v>
      </c>
      <c r="K22" s="10">
        <f>K$20*Assumptions!J24</f>
        <v>2040536147.0391743</v>
      </c>
      <c r="L22" s="10">
        <f>L$20*Assumptions!K24</f>
        <v>2338440519.86307</v>
      </c>
      <c r="M22" s="10">
        <f>M$20*Assumptions!L24</f>
        <v>2539883153.2587123</v>
      </c>
      <c r="N22" s="10">
        <f>N$20*Assumptions!M24</f>
        <v>2642875098.315959</v>
      </c>
    </row>
    <row r="23" spans="2:14" x14ac:dyDescent="0.35">
      <c r="B23" s="5" t="s">
        <v>19</v>
      </c>
      <c r="C23" s="6">
        <v>943464568.32000005</v>
      </c>
      <c r="D23" s="10">
        <f>D$20*Assumptions!C25</f>
        <v>1427202873.2353561</v>
      </c>
      <c r="E23" s="10">
        <f>E$20*Assumptions!D25</f>
        <v>1483536334.1248546</v>
      </c>
      <c r="F23" s="10">
        <f>F$20*Assumptions!E25</f>
        <v>1574221573.0944581</v>
      </c>
      <c r="G23" s="10">
        <f>G$20*Assumptions!F25</f>
        <v>1669313615.1115854</v>
      </c>
      <c r="H23" s="10">
        <f>H$20*Assumptions!G25</f>
        <v>1649137120.5981829</v>
      </c>
      <c r="I23" s="10">
        <f>I$20*Assumptions!H25</f>
        <v>1808816162.9686537</v>
      </c>
      <c r="J23" s="10">
        <f>J$20*Assumptions!I25</f>
        <v>2333953754.601717</v>
      </c>
      <c r="K23" s="10">
        <f>K$20*Assumptions!J25</f>
        <v>2193576358.0671124</v>
      </c>
      <c r="L23" s="10">
        <f>L$20*Assumptions!K25</f>
        <v>2513823558.8527999</v>
      </c>
      <c r="M23" s="10">
        <f>M$20*Assumptions!L25</f>
        <v>2730374389.7531152</v>
      </c>
      <c r="N23" s="10">
        <f>N$20*Assumptions!M25</f>
        <v>2841090730.6896558</v>
      </c>
    </row>
    <row r="24" spans="2:14" x14ac:dyDescent="0.35">
      <c r="B24" s="7" t="s">
        <v>20</v>
      </c>
      <c r="C24" s="8">
        <v>943464569.32000005</v>
      </c>
      <c r="D24" s="10">
        <f>D$20*Assumptions!C26</f>
        <v>94308559.905420005</v>
      </c>
      <c r="E24" s="10">
        <f>E$20*Assumptions!D26</f>
        <v>103502534.93894334</v>
      </c>
      <c r="F24" s="10">
        <f>F$20*Assumptions!E26</f>
        <v>109829412.07635754</v>
      </c>
      <c r="G24" s="10">
        <f>G$20*Assumptions!F26</f>
        <v>116463740.58918038</v>
      </c>
      <c r="H24" s="10">
        <f>H$20*Assumptions!G26</f>
        <v>115056078.18126857</v>
      </c>
      <c r="I24" s="10">
        <f>I$20*Assumptions!H26</f>
        <v>126196476.48618513</v>
      </c>
      <c r="J24" s="10">
        <f>J$20*Assumptions!I26</f>
        <v>162833982.87918955</v>
      </c>
      <c r="K24" s="10">
        <f>K$20*Assumptions!J26</f>
        <v>153040211.02793807</v>
      </c>
      <c r="L24" s="10">
        <f>L$20*Assumptions!K26</f>
        <v>175383038.98973024</v>
      </c>
      <c r="M24" s="10">
        <f>M$20*Assumptions!L26</f>
        <v>190491236.49440339</v>
      </c>
      <c r="N24" s="10">
        <f>N$20*Assumptions!M26</f>
        <v>198215632.37369689</v>
      </c>
    </row>
    <row r="25" spans="2:14" x14ac:dyDescent="0.35">
      <c r="B25" s="5" t="s">
        <v>21</v>
      </c>
      <c r="C25" s="9">
        <f>C20-C17</f>
        <v>1124967745.0000005</v>
      </c>
      <c r="D25" s="9">
        <f t="shared" ref="D25:N25" si="1">D20-D17+D24</f>
        <v>1182076952.5714204</v>
      </c>
      <c r="E25" s="9">
        <f t="shared" si="1"/>
        <v>1354420567.1532393</v>
      </c>
      <c r="F25" s="9">
        <f t="shared" si="1"/>
        <v>1325569293.3502948</v>
      </c>
      <c r="G25" s="9">
        <f t="shared" si="1"/>
        <v>1277691427.6492581</v>
      </c>
      <c r="H25" s="9">
        <f t="shared" si="1"/>
        <v>693800936.54286325</v>
      </c>
      <c r="I25" s="9">
        <f t="shared" si="1"/>
        <v>846773155.14461327</v>
      </c>
      <c r="J25" s="9">
        <f t="shared" si="1"/>
        <v>2641499250.5446639</v>
      </c>
      <c r="K25" s="9">
        <f t="shared" si="1"/>
        <v>1560333164.0369818</v>
      </c>
      <c r="L25" s="9">
        <f t="shared" si="1"/>
        <v>2277791096.8622799</v>
      </c>
      <c r="M25" s="9">
        <f t="shared" si="1"/>
        <v>2486257921.9672031</v>
      </c>
      <c r="N25" s="9">
        <f t="shared" si="1"/>
        <v>2201069849.6211257</v>
      </c>
    </row>
    <row r="26" spans="2:14" x14ac:dyDescent="0.3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x14ac:dyDescent="0.35">
      <c r="B27" s="5" t="s">
        <v>23</v>
      </c>
      <c r="C27" s="10"/>
      <c r="D27" s="10"/>
      <c r="E27" s="12">
        <v>1</v>
      </c>
      <c r="F27" s="12">
        <v>2</v>
      </c>
      <c r="G27" s="12">
        <v>3</v>
      </c>
      <c r="H27" s="12">
        <v>4</v>
      </c>
      <c r="I27" s="12">
        <v>5</v>
      </c>
      <c r="J27" s="12">
        <v>6</v>
      </c>
      <c r="K27" s="12">
        <v>7</v>
      </c>
      <c r="L27" s="12">
        <v>8</v>
      </c>
      <c r="M27" s="12">
        <v>9</v>
      </c>
      <c r="N27" s="12">
        <v>10</v>
      </c>
    </row>
    <row r="28" spans="2:14" x14ac:dyDescent="0.35">
      <c r="B28" s="2" t="s">
        <v>1</v>
      </c>
      <c r="C28" s="11"/>
      <c r="D28" s="11" t="s">
        <v>2</v>
      </c>
      <c r="E28" s="11" t="s">
        <v>3</v>
      </c>
      <c r="F28" s="11" t="s">
        <v>4</v>
      </c>
      <c r="G28" s="11" t="s">
        <v>5</v>
      </c>
      <c r="H28" s="11" t="s">
        <v>6</v>
      </c>
      <c r="I28" s="11" t="s">
        <v>7</v>
      </c>
      <c r="J28" s="11" t="s">
        <v>8</v>
      </c>
      <c r="K28" s="11" t="s">
        <v>9</v>
      </c>
      <c r="L28" s="11" t="s">
        <v>10</v>
      </c>
      <c r="M28" s="11" t="s">
        <v>11</v>
      </c>
      <c r="N28" s="11" t="s">
        <v>12</v>
      </c>
    </row>
    <row r="29" spans="2:14" x14ac:dyDescent="0.35">
      <c r="B29" s="3" t="s">
        <v>13</v>
      </c>
      <c r="C29" s="10"/>
      <c r="D29" s="10"/>
      <c r="E29" s="10">
        <f t="shared" ref="E29:N37" si="2">E4-E17</f>
        <v>576231399.8943181</v>
      </c>
      <c r="F29" s="10">
        <f t="shared" si="2"/>
        <v>909543005.86683702</v>
      </c>
      <c r="G29" s="10">
        <f t="shared" si="2"/>
        <v>1335347402.374361</v>
      </c>
      <c r="H29" s="10">
        <f t="shared" si="2"/>
        <v>1784370900.9520631</v>
      </c>
      <c r="I29" s="10">
        <f t="shared" si="2"/>
        <v>2523662832.6545739</v>
      </c>
      <c r="J29" s="10">
        <f t="shared" si="2"/>
        <v>3675888832.3472877</v>
      </c>
      <c r="K29" s="10">
        <f t="shared" si="2"/>
        <v>4686837495.3898563</v>
      </c>
      <c r="L29" s="10">
        <f t="shared" si="2"/>
        <v>5174101725.0727577</v>
      </c>
      <c r="M29" s="10">
        <f t="shared" si="2"/>
        <v>5806672461.2319641</v>
      </c>
      <c r="N29" s="10">
        <f t="shared" si="2"/>
        <v>6611723364.086381</v>
      </c>
    </row>
    <row r="30" spans="2:14" x14ac:dyDescent="0.35">
      <c r="B30" s="5" t="s">
        <v>14</v>
      </c>
      <c r="C30" s="10"/>
      <c r="D30" s="10"/>
      <c r="E30" s="10">
        <f t="shared" si="2"/>
        <v>491328638.55604172</v>
      </c>
      <c r="F30" s="10">
        <f t="shared" si="2"/>
        <v>734489724.95763803</v>
      </c>
      <c r="G30" s="10">
        <f t="shared" si="2"/>
        <v>1043579061.6318901</v>
      </c>
      <c r="H30" s="10">
        <f t="shared" si="2"/>
        <v>875235075.71039629</v>
      </c>
      <c r="I30" s="10">
        <f t="shared" si="2"/>
        <v>1305039347.3398795</v>
      </c>
      <c r="J30" s="10">
        <f t="shared" si="2"/>
        <v>2691087549.1087351</v>
      </c>
      <c r="K30" s="10">
        <f t="shared" si="2"/>
        <v>3428548143.3564548</v>
      </c>
      <c r="L30" s="10">
        <f t="shared" si="2"/>
        <v>2879839440.5365472</v>
      </c>
      <c r="M30" s="10">
        <f t="shared" si="2"/>
        <v>3240767004.8787398</v>
      </c>
      <c r="N30" s="10">
        <f t="shared" si="2"/>
        <v>3690774006.7392807</v>
      </c>
    </row>
    <row r="31" spans="2:14" x14ac:dyDescent="0.35">
      <c r="B31" s="5" t="s">
        <v>15</v>
      </c>
      <c r="C31" s="10"/>
      <c r="D31" s="10"/>
      <c r="E31" s="10">
        <f t="shared" si="2"/>
        <v>84902761.338276386</v>
      </c>
      <c r="F31" s="10">
        <f t="shared" si="2"/>
        <v>175053280.90919876</v>
      </c>
      <c r="G31" s="10">
        <f t="shared" si="2"/>
        <v>291768340.74247122</v>
      </c>
      <c r="H31" s="10">
        <f t="shared" si="2"/>
        <v>909135825.24166703</v>
      </c>
      <c r="I31" s="10">
        <f t="shared" si="2"/>
        <v>1218623485.3146942</v>
      </c>
      <c r="J31" s="10">
        <f t="shared" si="2"/>
        <v>984801283.23855293</v>
      </c>
      <c r="K31" s="10">
        <f t="shared" si="2"/>
        <v>1258289352.0334015</v>
      </c>
      <c r="L31" s="10">
        <f t="shared" si="2"/>
        <v>2294262284.536211</v>
      </c>
      <c r="M31" s="10">
        <f t="shared" si="2"/>
        <v>2565905456.3532248</v>
      </c>
      <c r="N31" s="10">
        <f t="shared" si="2"/>
        <v>2920949357.3471003</v>
      </c>
    </row>
    <row r="32" spans="2:14" x14ac:dyDescent="0.35">
      <c r="B32" s="3" t="s">
        <v>16</v>
      </c>
      <c r="C32" s="10"/>
      <c r="D32" s="10"/>
      <c r="E32" s="10">
        <f t="shared" si="2"/>
        <v>-620827700.80217743</v>
      </c>
      <c r="F32" s="10">
        <f t="shared" si="2"/>
        <v>-145767182.10157776</v>
      </c>
      <c r="G32" s="10">
        <f t="shared" si="2"/>
        <v>484340659.04687262</v>
      </c>
      <c r="H32" s="10">
        <f t="shared" si="2"/>
        <v>1462041720.2040329</v>
      </c>
      <c r="I32" s="10">
        <f t="shared" si="2"/>
        <v>2450658368.4785247</v>
      </c>
      <c r="J32" s="10">
        <f t="shared" si="2"/>
        <v>3453770678.0563164</v>
      </c>
      <c r="K32" s="10">
        <f t="shared" si="2"/>
        <v>5502736548.86304</v>
      </c>
      <c r="L32" s="10">
        <f t="shared" si="2"/>
        <v>6238261399.290823</v>
      </c>
      <c r="M32" s="10">
        <f t="shared" si="2"/>
        <v>6987638921.4411297</v>
      </c>
      <c r="N32" s="10">
        <f t="shared" si="2"/>
        <v>7748197742.2273703</v>
      </c>
    </row>
    <row r="33" spans="2:14" x14ac:dyDescent="0.35">
      <c r="B33" s="5" t="s">
        <v>17</v>
      </c>
      <c r="C33" s="10"/>
      <c r="D33" s="10"/>
      <c r="E33" s="10">
        <f t="shared" si="2"/>
        <v>-77248141.164744258</v>
      </c>
      <c r="F33" s="10">
        <f t="shared" si="2"/>
        <v>-7204354.8550499678</v>
      </c>
      <c r="G33" s="10">
        <f t="shared" si="2"/>
        <v>82337912.037968159</v>
      </c>
      <c r="H33" s="10">
        <f t="shared" si="2"/>
        <v>222060870.8034538</v>
      </c>
      <c r="I33" s="10">
        <f t="shared" si="2"/>
        <v>350039846.79450202</v>
      </c>
      <c r="J33" s="10">
        <f t="shared" si="2"/>
        <v>498325314.19594753</v>
      </c>
      <c r="K33" s="10">
        <f t="shared" si="2"/>
        <v>723383674.9774971</v>
      </c>
      <c r="L33" s="10">
        <f t="shared" si="2"/>
        <v>818817183.9004699</v>
      </c>
      <c r="M33" s="10">
        <f t="shared" si="2"/>
        <v>921151680.55323362</v>
      </c>
      <c r="N33" s="10">
        <f t="shared" si="2"/>
        <v>1030085906.4183075</v>
      </c>
    </row>
    <row r="34" spans="2:14" x14ac:dyDescent="0.35">
      <c r="B34" s="5" t="s">
        <v>18</v>
      </c>
      <c r="C34" s="10"/>
      <c r="D34" s="10"/>
      <c r="E34" s="10">
        <f t="shared" si="2"/>
        <v>-106868240.46274066</v>
      </c>
      <c r="F34" s="10">
        <f t="shared" si="2"/>
        <v>99877722.079333782</v>
      </c>
      <c r="G34" s="10">
        <f t="shared" si="2"/>
        <v>368394877.43286467</v>
      </c>
      <c r="H34" s="10">
        <f t="shared" si="2"/>
        <v>770220239.50023413</v>
      </c>
      <c r="I34" s="10">
        <f t="shared" si="2"/>
        <v>1179979574.9319515</v>
      </c>
      <c r="J34" s="10">
        <f t="shared" si="2"/>
        <v>1559139673.3697791</v>
      </c>
      <c r="K34" s="10">
        <f t="shared" si="2"/>
        <v>2201094619.5452156</v>
      </c>
      <c r="L34" s="10">
        <f t="shared" si="2"/>
        <v>1891086424.7689037</v>
      </c>
      <c r="M34" s="10">
        <f t="shared" si="2"/>
        <v>2128188228.3470559</v>
      </c>
      <c r="N34" s="10">
        <f t="shared" si="2"/>
        <v>2381509822.4900846</v>
      </c>
    </row>
    <row r="35" spans="2:14" x14ac:dyDescent="0.35">
      <c r="B35" s="5" t="s">
        <v>19</v>
      </c>
      <c r="C35" s="10"/>
      <c r="D35" s="10"/>
      <c r="E35" s="10">
        <f t="shared" si="2"/>
        <v>-436711319.17469239</v>
      </c>
      <c r="F35" s="10">
        <f t="shared" si="2"/>
        <v>-238440549.32586217</v>
      </c>
      <c r="G35" s="10">
        <f t="shared" si="2"/>
        <v>33607869.57604003</v>
      </c>
      <c r="H35" s="10">
        <f t="shared" si="2"/>
        <v>469760609.90034461</v>
      </c>
      <c r="I35" s="10">
        <f t="shared" si="2"/>
        <v>920638946.75207138</v>
      </c>
      <c r="J35" s="10">
        <f t="shared" si="2"/>
        <v>1396305690.4905896</v>
      </c>
      <c r="K35" s="10">
        <f t="shared" si="2"/>
        <v>2578258254.3403268</v>
      </c>
      <c r="L35" s="10">
        <f t="shared" si="2"/>
        <v>3528357790.621449</v>
      </c>
      <c r="M35" s="10">
        <f t="shared" si="2"/>
        <v>3938299012.5408397</v>
      </c>
      <c r="N35" s="10">
        <f t="shared" si="2"/>
        <v>4336602013.3189774</v>
      </c>
    </row>
    <row r="36" spans="2:14" x14ac:dyDescent="0.35">
      <c r="B36" s="7" t="s">
        <v>20</v>
      </c>
      <c r="C36" s="10"/>
      <c r="D36" s="10"/>
      <c r="E36" s="10">
        <f t="shared" si="2"/>
        <v>-18624831.024065331</v>
      </c>
      <c r="F36" s="10">
        <f t="shared" si="2"/>
        <v>13203050.639171019</v>
      </c>
      <c r="G36" s="10">
        <f t="shared" si="2"/>
        <v>58194873.224934995</v>
      </c>
      <c r="H36" s="10">
        <f t="shared" si="2"/>
        <v>123319916.49981573</v>
      </c>
      <c r="I36" s="10">
        <f t="shared" si="2"/>
        <v>206663902.74804962</v>
      </c>
      <c r="J36" s="10">
        <f t="shared" si="2"/>
        <v>281244522.48894209</v>
      </c>
      <c r="K36" s="10">
        <f t="shared" si="2"/>
        <v>377163634.79511058</v>
      </c>
      <c r="L36" s="10">
        <f t="shared" si="2"/>
        <v>428835095.95769453</v>
      </c>
      <c r="M36" s="10">
        <f t="shared" si="2"/>
        <v>476376103.73499203</v>
      </c>
      <c r="N36" s="10">
        <f t="shared" si="2"/>
        <v>519553642.02716625</v>
      </c>
    </row>
    <row r="37" spans="2:14" s="15" customFormat="1" x14ac:dyDescent="0.35">
      <c r="B37" s="13" t="s">
        <v>21</v>
      </c>
      <c r="C37" s="14"/>
      <c r="D37" s="14"/>
      <c r="E37" s="14">
        <f t="shared" si="2"/>
        <v>-1215683931.720561</v>
      </c>
      <c r="F37" s="14">
        <f t="shared" si="2"/>
        <v>-1042107137.3292439</v>
      </c>
      <c r="G37" s="14">
        <f t="shared" si="2"/>
        <v>-792811870.10255349</v>
      </c>
      <c r="H37" s="14">
        <f t="shared" si="2"/>
        <v>-199009264.24821448</v>
      </c>
      <c r="I37" s="14">
        <f t="shared" si="2"/>
        <v>133659438.5720005</v>
      </c>
      <c r="J37" s="14">
        <f t="shared" si="2"/>
        <v>59126368.197970867</v>
      </c>
      <c r="K37" s="14">
        <f t="shared" si="2"/>
        <v>1193062688.2682941</v>
      </c>
      <c r="L37" s="14">
        <f t="shared" si="2"/>
        <v>1492994770.1757593</v>
      </c>
      <c r="M37" s="14">
        <f t="shared" si="2"/>
        <v>1657342563.9441571</v>
      </c>
      <c r="N37" s="14">
        <f t="shared" si="2"/>
        <v>1656028020.1681557</v>
      </c>
    </row>
    <row r="38" spans="2:14" s="15" customFormat="1" x14ac:dyDescent="0.35">
      <c r="B38" s="5" t="s">
        <v>24</v>
      </c>
      <c r="C38" s="14"/>
      <c r="D38" s="16">
        <f>995*10^6</f>
        <v>995000000</v>
      </c>
      <c r="E38" s="14"/>
      <c r="F38" s="10">
        <f>350*10^6</f>
        <v>350000000</v>
      </c>
      <c r="G38" s="14"/>
      <c r="H38" s="14"/>
      <c r="I38" s="14"/>
      <c r="J38" s="14"/>
      <c r="K38" s="14"/>
      <c r="L38" s="14"/>
      <c r="M38" s="14"/>
      <c r="N38" s="14"/>
    </row>
    <row r="39" spans="2:14" s="15" customFormat="1" x14ac:dyDescent="0.35">
      <c r="B39" s="5" t="s">
        <v>25</v>
      </c>
      <c r="C39" s="14"/>
      <c r="D39" s="17">
        <f>D38</f>
        <v>995000000</v>
      </c>
      <c r="E39" s="18">
        <f ca="1">(D39-E31+E38)*(OFFSET('[1]Rarita Spot Rates'!$P$12,2*Output!E27,0)+1)-E30+E32+E36</f>
        <v>-219409795.58643442</v>
      </c>
      <c r="F39" s="18">
        <f ca="1">(E39-F31+F38)*(OFFSET('[1]Rarita Spot Rates'!$P$12,2*Output!F27,0)+1)-F30+F32+F36</f>
        <v>-911599189.6071949</v>
      </c>
      <c r="G39" s="18">
        <f ca="1">(F39-G31+G38)*(OFFSET('[1]Rarita Spot Rates'!$P$12,2*Output!G27,0)+1)-G30+G32+G36</f>
        <v>-1708851485.896739</v>
      </c>
      <c r="H39" s="18">
        <f ca="1">(G39-H31+H38)*(OFFSET('[1]Rarita Spot Rates'!$P$12,2*Output!H27,0)+1)-H30+H32+H36</f>
        <v>-1923856652.6160095</v>
      </c>
      <c r="I39" s="18">
        <f ca="1">(H39-I31+I38)*(OFFSET('[1]Rarita Spot Rates'!$P$12,2*Output!I27,0)+1)-I30+I32+I36</f>
        <v>-1817442516.8398681</v>
      </c>
      <c r="J39" s="18">
        <f ca="1">(I39-J31+J38)*(OFFSET('[1]Rarita Spot Rates'!$P$12,2*Output!J27,0)+1)-J30+J32+J36</f>
        <v>-1789561167.0127726</v>
      </c>
      <c r="K39" s="18">
        <f ca="1">(J39-K31+K38)*(OFFSET('[1]Rarita Spot Rates'!$P$12,2*Output!K27,0)+1)-K30+K32+K36</f>
        <v>-637156804.66855347</v>
      </c>
      <c r="L39" s="18">
        <f ca="1">(K39-L31+L38)*(OFFSET('[1]Rarita Spot Rates'!$P$12,2*Output!L27,0)+1)-L30+L32+L36</f>
        <v>810488912.19720793</v>
      </c>
      <c r="M39" s="18">
        <f ca="1">(L39-M31+M38)*(OFFSET('[1]Rarita Spot Rates'!$P$12,2*Output!M27,0)+1)-M30+M32+M36</f>
        <v>2437339890.7693748</v>
      </c>
      <c r="N39" s="18">
        <f ca="1">(M39-N31+N38)*(OFFSET('[1]Rarita Spot Rates'!$P$12,2*Output!N27,0)+1)-N30+N32+N36</f>
        <v>4084184167.1672196</v>
      </c>
    </row>
    <row r="40" spans="2:14" s="15" customFormat="1" x14ac:dyDescent="0.35">
      <c r="B40" s="5" t="s">
        <v>26</v>
      </c>
      <c r="C40" s="14"/>
      <c r="D40" s="18">
        <f>D39-E31</f>
        <v>910097238.66172361</v>
      </c>
      <c r="E40" s="17">
        <f t="shared" ref="E40:M40" ca="1" si="3">E39-F31</f>
        <v>-394463076.49563318</v>
      </c>
      <c r="F40" s="17">
        <f t="shared" ca="1" si="3"/>
        <v>-1203367530.3496661</v>
      </c>
      <c r="G40" s="17">
        <f t="shared" ca="1" si="3"/>
        <v>-2617987311.1384058</v>
      </c>
      <c r="H40" s="17">
        <f t="shared" ca="1" si="3"/>
        <v>-3142480137.9307036</v>
      </c>
      <c r="I40" s="17">
        <f t="shared" ca="1" si="3"/>
        <v>-2802243800.0784211</v>
      </c>
      <c r="J40" s="17">
        <f t="shared" ca="1" si="3"/>
        <v>-3047850519.046174</v>
      </c>
      <c r="K40" s="17">
        <f t="shared" ca="1" si="3"/>
        <v>-2931419089.2047644</v>
      </c>
      <c r="L40" s="17">
        <f t="shared" ca="1" si="3"/>
        <v>-1755416544.1560168</v>
      </c>
      <c r="M40" s="17">
        <f t="shared" ca="1" si="3"/>
        <v>-483609466.57772541</v>
      </c>
      <c r="N40" s="17"/>
    </row>
    <row r="41" spans="2:14" x14ac:dyDescent="0.35">
      <c r="B41" s="5" t="s">
        <v>27</v>
      </c>
      <c r="E41" s="10">
        <f ca="1">(E32-E30+E36)/(OFFSET('[1]Rarita Spot Rates'!$P$12,2*Output!E27,0)+1)^E27-E31/(OFFSET('[1]Rarita Spot Rates'!$P$12,2*Output!E27,0)+1)^(E27-1)</f>
        <v>-1214103051.3145938</v>
      </c>
      <c r="F41" s="10">
        <f ca="1">(F32-F30+F36)/(OFFSET('[1]Rarita Spot Rates'!$P$12,2*Output!F27,0)+1)^F27-F31/(OFFSET('[1]Rarita Spot Rates'!$P$12,2*Output!F27,0)+1)^(F27-1)</f>
        <v>-1038584668.0710363</v>
      </c>
      <c r="G41" s="10">
        <f ca="1">(G32-G30+G36)/(OFFSET('[1]Rarita Spot Rates'!$P$12,2*Output!G27,0)+1)^G27-G31/(OFFSET('[1]Rarita Spot Rates'!$P$12,2*Output!G27,0)+1)^(G27-1)</f>
        <v>-785164610.94777751</v>
      </c>
      <c r="H41" s="10">
        <f ca="1">(H32-H30+H36)/(OFFSET('[1]Rarita Spot Rates'!$P$12,2*Output!H27,0)+1)^H27-H31/(OFFSET('[1]Rarita Spot Rates'!$P$12,2*Output!H27,0)+1)^(H27-1)</f>
        <v>-199639982.65647638</v>
      </c>
      <c r="I41" s="10">
        <f ca="1">(I32-I30+I36)/(OFFSET('[1]Rarita Spot Rates'!$P$12,2*Output!I27,0)+1)^I27-I31/(OFFSET('[1]Rarita Spot Rates'!$P$12,2*Output!I27,0)+1)^(I27-1)</f>
        <v>117893881.96887469</v>
      </c>
      <c r="J41" s="10">
        <f ca="1">(J32-J30+J36)/(OFFSET('[1]Rarita Spot Rates'!$P$12,2*Output!J27,0)+1)^J27-J31/(OFFSET('[1]Rarita Spot Rates'!$P$12,2*Output!J27,0)+1)^(J27-1)</f>
        <v>45046929.720023632</v>
      </c>
      <c r="K41" s="10">
        <f ca="1">(K32-K30+K36)/(OFFSET('[1]Rarita Spot Rates'!$P$12,2*Output!K27,0)+1)^K27-K31/(OFFSET('[1]Rarita Spot Rates'!$P$12,2*Output!K27,0)+1)^(K27-1)</f>
        <v>1072070492.3846865</v>
      </c>
      <c r="L41" s="10">
        <f ca="1">(L32-L30+L36)/(OFFSET('[1]Rarita Spot Rates'!$P$12,2*Output!L27,0)+1)^L27-L31/(OFFSET('[1]Rarita Spot Rates'!$P$12,2*Output!L27,0)+1)^(L27-1)</f>
        <v>1289058234.3455758</v>
      </c>
      <c r="M41" s="10">
        <f ca="1">(M32-M30+M36)/(OFFSET('[1]Rarita Spot Rates'!$P$12,2*Output!M27,0)+1)^M27-M31/(OFFSET('[1]Rarita Spot Rates'!$P$12,2*Output!M27,0)+1)^(M27-1)</f>
        <v>1381219950.4231315</v>
      </c>
      <c r="N41" s="10">
        <f ca="1">(N32-N30+N36)/(OFFSET('[1]Rarita Spot Rates'!$P$12,2*Output!N27,0)+1)^N27-N31/(OFFSET('[1]Rarita Spot Rates'!$P$12,2*Output!N27,0)+1)^(N27-1)</f>
        <v>1326088533.1406407</v>
      </c>
    </row>
    <row r="42" spans="2:14" x14ac:dyDescent="0.35">
      <c r="B42" s="5" t="s">
        <v>28</v>
      </c>
      <c r="E42" s="17">
        <f ca="1">SUM($E41:E41)</f>
        <v>-1214103051.3145938</v>
      </c>
      <c r="F42" s="17">
        <f ca="1">SUM($E41:F41)</f>
        <v>-2252687719.3856301</v>
      </c>
      <c r="G42" s="17">
        <f ca="1">SUM($E41:G41)</f>
        <v>-3037852330.3334074</v>
      </c>
      <c r="H42" s="17">
        <f ca="1">SUM($E41:H41)</f>
        <v>-3237492312.9898839</v>
      </c>
      <c r="I42" s="17">
        <f ca="1">SUM($E41:I41)</f>
        <v>-3119598431.0210094</v>
      </c>
      <c r="J42" s="17">
        <f ca="1">SUM($E41:J41)</f>
        <v>-3074551501.3009858</v>
      </c>
      <c r="K42" s="17">
        <f ca="1">SUM($E41:K41)</f>
        <v>-2002481008.9162993</v>
      </c>
      <c r="L42" s="17">
        <f ca="1">SUM($E41:L41)</f>
        <v>-713422774.57072353</v>
      </c>
      <c r="M42" s="17">
        <f ca="1">SUM($E41:M41)</f>
        <v>667797175.85240793</v>
      </c>
      <c r="N42" s="17">
        <f ca="1">SUM($E41:N41)</f>
        <v>1993885708.9930487</v>
      </c>
    </row>
    <row r="43" spans="2:14" x14ac:dyDescent="0.35">
      <c r="D43" s="16"/>
      <c r="F43" s="10"/>
      <c r="G43" s="10"/>
    </row>
    <row r="45" spans="2:14" x14ac:dyDescent="0.35">
      <c r="B45" s="19">
        <f>IRR(D45:N45)</f>
        <v>0.21580179891810158</v>
      </c>
      <c r="D45" s="17">
        <f>-D38+D37</f>
        <v>-995000000</v>
      </c>
      <c r="E45" s="17"/>
      <c r="F45" s="17"/>
      <c r="G45" s="17">
        <f>-G38+G37</f>
        <v>-792811870.10255349</v>
      </c>
      <c r="H45" s="17">
        <f t="shared" ref="H45:M45" si="4">-H38+H37</f>
        <v>-199009264.24821448</v>
      </c>
      <c r="I45" s="17">
        <f t="shared" si="4"/>
        <v>133659438.5720005</v>
      </c>
      <c r="J45" s="17">
        <f t="shared" si="4"/>
        <v>59126368.197970867</v>
      </c>
      <c r="K45" s="17">
        <f t="shared" si="4"/>
        <v>1193062688.2682941</v>
      </c>
      <c r="L45" s="17">
        <f t="shared" si="4"/>
        <v>1492994770.1757593</v>
      </c>
      <c r="M45" s="17">
        <f t="shared" si="4"/>
        <v>1657342563.9441571</v>
      </c>
      <c r="N45" s="17">
        <f>-N38+N37</f>
        <v>1656028020.1681557</v>
      </c>
    </row>
    <row r="46" spans="2:14" x14ac:dyDescent="0.35">
      <c r="B46" s="20">
        <f ca="1">(N42/D38)^0.1-1</f>
        <v>7.1982555247800839E-2</v>
      </c>
    </row>
  </sheetData>
  <conditionalFormatting sqref="E42:N42">
    <cfRule type="cellIs" dxfId="6" priority="2" operator="lessThan">
      <formula>0</formula>
    </cfRule>
  </conditionalFormatting>
  <conditionalFormatting sqref="E40:N40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C1C5-5218-4833-92E2-7FEEBF7F9253}">
  <sheetPr>
    <tabColor theme="5" tint="0.39997558519241921"/>
  </sheetPr>
  <dimension ref="A1:P158"/>
  <sheetViews>
    <sheetView zoomScale="60" zoomScaleNormal="60" workbookViewId="0">
      <selection activeCell="F36" sqref="F36"/>
    </sheetView>
  </sheetViews>
  <sheetFormatPr defaultRowHeight="14.5" outlineLevelRow="1" x14ac:dyDescent="0.35"/>
  <cols>
    <col min="1" max="1" width="8.7265625" style="1"/>
    <col min="2" max="2" width="34.7265625" style="1" customWidth="1"/>
    <col min="3" max="3" width="15.90625" style="1" bestFit="1" customWidth="1"/>
    <col min="4" max="4" width="18.90625" style="1" bestFit="1" customWidth="1"/>
    <col min="5" max="5" width="14.90625" style="1" bestFit="1" customWidth="1"/>
    <col min="6" max="6" width="17.36328125" style="1" bestFit="1" customWidth="1"/>
    <col min="7" max="7" width="15.90625" style="1" customWidth="1"/>
    <col min="8" max="8" width="15.90625" style="1" bestFit="1" customWidth="1"/>
    <col min="9" max="12" width="14.90625" style="1" bestFit="1" customWidth="1"/>
    <col min="13" max="13" width="16" style="1" bestFit="1" customWidth="1"/>
    <col min="14" max="15" width="18.1796875" style="1" bestFit="1" customWidth="1"/>
    <col min="16" max="16" width="18" style="1" bestFit="1" customWidth="1"/>
    <col min="17" max="16384" width="8.7265625" style="1"/>
  </cols>
  <sheetData>
    <row r="1" spans="2:16" x14ac:dyDescent="0.35">
      <c r="B1" s="21" t="s">
        <v>29</v>
      </c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3" t="s">
        <v>30</v>
      </c>
    </row>
    <row r="2" spans="2:16" x14ac:dyDescent="0.35">
      <c r="B2" s="21" t="s">
        <v>1</v>
      </c>
      <c r="C2" s="24">
        <f>Output!D2</f>
        <v>2021</v>
      </c>
      <c r="D2" s="24">
        <f>Output!E2</f>
        <v>2022</v>
      </c>
      <c r="E2" s="24">
        <f>Output!F2</f>
        <v>2023</v>
      </c>
      <c r="F2" s="24">
        <f>Output!G2</f>
        <v>2024</v>
      </c>
      <c r="G2" s="24">
        <f>Output!H2</f>
        <v>2025</v>
      </c>
      <c r="H2" s="24">
        <f>Output!I2</f>
        <v>2026</v>
      </c>
      <c r="I2" s="24">
        <f>Output!J2</f>
        <v>2027</v>
      </c>
      <c r="J2" s="24">
        <f>Output!K2</f>
        <v>2028</v>
      </c>
      <c r="K2" s="24">
        <f>Output!L2</f>
        <v>2029</v>
      </c>
      <c r="L2" s="24">
        <f>Output!M2</f>
        <v>2030</v>
      </c>
      <c r="M2" s="24">
        <f>Output!N2</f>
        <v>2031</v>
      </c>
    </row>
    <row r="3" spans="2:16" x14ac:dyDescent="0.35"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6" x14ac:dyDescent="0.35">
      <c r="B4" s="21" t="s">
        <v>31</v>
      </c>
      <c r="C4" s="26">
        <v>0.35</v>
      </c>
      <c r="D4" s="26">
        <f>$C4+5%*D1</f>
        <v>0.39999999999999997</v>
      </c>
      <c r="E4" s="26">
        <f>$C4+5%*E1</f>
        <v>0.44999999999999996</v>
      </c>
      <c r="F4" s="26">
        <f>$C4+5%*F1</f>
        <v>0.5</v>
      </c>
      <c r="G4" s="26">
        <f>$C4+5%*G1</f>
        <v>0.55000000000000004</v>
      </c>
      <c r="H4" s="26">
        <v>0.6</v>
      </c>
      <c r="I4" s="26">
        <f>H4</f>
        <v>0.6</v>
      </c>
      <c r="J4" s="26">
        <f t="shared" ref="J4:M4" si="0">I4</f>
        <v>0.6</v>
      </c>
      <c r="K4" s="26">
        <f t="shared" si="0"/>
        <v>0.6</v>
      </c>
      <c r="L4" s="26">
        <f t="shared" si="0"/>
        <v>0.6</v>
      </c>
      <c r="M4" s="26">
        <f t="shared" si="0"/>
        <v>0.6</v>
      </c>
    </row>
    <row r="5" spans="2:16" x14ac:dyDescent="0.35">
      <c r="B5" s="27" t="s">
        <v>32</v>
      </c>
      <c r="C5" s="28">
        <v>0.1</v>
      </c>
      <c r="D5" s="28">
        <f>C29</f>
        <v>0.35</v>
      </c>
      <c r="E5" s="28">
        <f>_xlfn.NORM.INV(E16,$C$31,0.4*SQRT($C$37))</f>
        <v>0.20875769512734141</v>
      </c>
      <c r="F5" s="28">
        <f t="shared" ref="F5:J5" si="1">_xlfn.NORM.INV(F16,$C$31,0.4*SQRT($C$37))</f>
        <v>0.20909273841598258</v>
      </c>
      <c r="G5" s="28">
        <f t="shared" si="1"/>
        <v>0.24273296910293646</v>
      </c>
      <c r="H5" s="28">
        <f t="shared" si="1"/>
        <v>0.19219195673956055</v>
      </c>
      <c r="I5" s="28">
        <f t="shared" si="1"/>
        <v>0.10240016005581662</v>
      </c>
      <c r="J5" s="28">
        <f t="shared" si="1"/>
        <v>0.26503484102379288</v>
      </c>
      <c r="K5" s="28">
        <f>_xlfn.NORM.INV(K16,$C$33,0.6*SQRT($C$37))</f>
        <v>6.4063647531999779E-2</v>
      </c>
      <c r="L5" s="28">
        <f>_xlfn.NORM.INV(L16,$C$33,0.6*SQRT($C$37))</f>
        <v>0.10572329769320275</v>
      </c>
      <c r="M5" s="28">
        <f>_xlfn.NORM.INV(M16,$C$33,0.6*SQRT($C$37))</f>
        <v>0.13746033265370766</v>
      </c>
      <c r="N5" s="29">
        <f>AVERAGE(K5:M5)</f>
        <v>0.10241575929297007</v>
      </c>
      <c r="O5" s="19">
        <f>AVERAGE(E5:J5)</f>
        <v>0.2033683934109051</v>
      </c>
    </row>
    <row r="6" spans="2:16" x14ac:dyDescent="0.35">
      <c r="B6" s="27" t="s">
        <v>33</v>
      </c>
      <c r="C6" s="28">
        <v>0.05</v>
      </c>
      <c r="D6" s="28">
        <f>C30</f>
        <v>-0.1</v>
      </c>
      <c r="E6" s="28">
        <f>_xlfn.NORM.INV(1-E16,$C$32,0.4*SQRT($C$38))</f>
        <v>0.24245110022144464</v>
      </c>
      <c r="F6" s="28">
        <f t="shared" ref="F6:J6" si="2">_xlfn.NORM.INV(1-F16,$C$32,0.4*SQRT($C$38))</f>
        <v>0.24216230183663517</v>
      </c>
      <c r="G6" s="28">
        <f t="shared" si="2"/>
        <v>0.21316531960663276</v>
      </c>
      <c r="H6" s="28">
        <f t="shared" si="2"/>
        <v>0.25673032518061351</v>
      </c>
      <c r="I6" s="28">
        <f t="shared" si="2"/>
        <v>0.33412846067699881</v>
      </c>
      <c r="J6" s="28">
        <f t="shared" si="2"/>
        <v>0.1939417004286686</v>
      </c>
      <c r="K6" s="28">
        <f>_xlfn.NORM.INV(1-K16,$C$34,0.6*SQRT($C$38))</f>
        <v>0.13959591147341044</v>
      </c>
      <c r="L6" s="28">
        <f t="shared" ref="L6:M6" si="3">_xlfn.NORM.INV(1-L16,$C$34,0.6*SQRT($C$38))</f>
        <v>0.10368640340035788</v>
      </c>
      <c r="M6" s="28">
        <f t="shared" si="3"/>
        <v>7.632992516016486E-2</v>
      </c>
      <c r="N6" s="29">
        <f>AVERAGE(K6:M6)</f>
        <v>0.10653741334464439</v>
      </c>
      <c r="O6" s="19">
        <f>AVERAGE(E6:J6)</f>
        <v>0.2470965346584989</v>
      </c>
    </row>
    <row r="7" spans="2:16" x14ac:dyDescent="0.35">
      <c r="B7" s="21" t="s">
        <v>34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6" x14ac:dyDescent="0.35">
      <c r="B8" s="21" t="s">
        <v>35</v>
      </c>
      <c r="C8" s="26">
        <v>0.65</v>
      </c>
      <c r="D8" s="26">
        <v>0.7</v>
      </c>
      <c r="E8" s="26">
        <v>0.7</v>
      </c>
      <c r="F8" s="26">
        <v>0.7</v>
      </c>
      <c r="G8" s="26">
        <v>0.6</v>
      </c>
      <c r="H8" s="26">
        <v>0.6</v>
      </c>
      <c r="I8" s="26">
        <v>0.7</v>
      </c>
      <c r="J8" s="26">
        <v>0.7</v>
      </c>
      <c r="K8" s="26">
        <v>0.6</v>
      </c>
      <c r="L8" s="26">
        <f t="shared" ref="L8:M8" si="4">K8</f>
        <v>0.6</v>
      </c>
      <c r="M8" s="26">
        <f t="shared" si="4"/>
        <v>0.6</v>
      </c>
    </row>
    <row r="9" spans="2:16" x14ac:dyDescent="0.35">
      <c r="B9" s="21" t="s">
        <v>36</v>
      </c>
      <c r="C9" s="26">
        <f>1-C8</f>
        <v>0.35</v>
      </c>
      <c r="D9" s="26">
        <f t="shared" ref="D9:M9" si="5">1-D8</f>
        <v>0.30000000000000004</v>
      </c>
      <c r="E9" s="26">
        <f t="shared" si="5"/>
        <v>0.30000000000000004</v>
      </c>
      <c r="F9" s="26">
        <f t="shared" si="5"/>
        <v>0.30000000000000004</v>
      </c>
      <c r="G9" s="26">
        <f t="shared" si="5"/>
        <v>0.4</v>
      </c>
      <c r="H9" s="26">
        <f t="shared" si="5"/>
        <v>0.4</v>
      </c>
      <c r="I9" s="26">
        <f t="shared" si="5"/>
        <v>0.30000000000000004</v>
      </c>
      <c r="J9" s="26">
        <f t="shared" si="5"/>
        <v>0.30000000000000004</v>
      </c>
      <c r="K9" s="26">
        <f t="shared" si="5"/>
        <v>0.4</v>
      </c>
      <c r="L9" s="26">
        <f t="shared" si="5"/>
        <v>0.4</v>
      </c>
      <c r="M9" s="26">
        <f t="shared" si="5"/>
        <v>0.4</v>
      </c>
    </row>
    <row r="10" spans="2:16" x14ac:dyDescent="0.35">
      <c r="B10" s="21" t="s">
        <v>37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2:16" x14ac:dyDescent="0.35">
      <c r="B11" s="21" t="s">
        <v>17</v>
      </c>
      <c r="C11" s="30">
        <v>0.156</v>
      </c>
      <c r="D11" s="26">
        <v>0.18</v>
      </c>
      <c r="E11" s="26">
        <f t="shared" ref="E11:H11" si="6">D11-0.5%</f>
        <v>0.17499999999999999</v>
      </c>
      <c r="F11" s="26">
        <f t="shared" si="6"/>
        <v>0.16999999999999998</v>
      </c>
      <c r="G11" s="26">
        <f t="shared" si="6"/>
        <v>0.16499999999999998</v>
      </c>
      <c r="H11" s="26">
        <f t="shared" si="6"/>
        <v>0.15999999999999998</v>
      </c>
      <c r="I11" s="26">
        <v>0.16</v>
      </c>
      <c r="J11" s="26">
        <v>0.15</v>
      </c>
      <c r="K11" s="26">
        <f t="shared" ref="K11:M11" si="7">J11</f>
        <v>0.15</v>
      </c>
      <c r="L11" s="26">
        <f t="shared" si="7"/>
        <v>0.15</v>
      </c>
      <c r="M11" s="26">
        <f t="shared" si="7"/>
        <v>0.15</v>
      </c>
      <c r="O11" s="21" t="s">
        <v>17</v>
      </c>
      <c r="P11" s="26">
        <v>0.15</v>
      </c>
    </row>
    <row r="12" spans="2:16" x14ac:dyDescent="0.35">
      <c r="B12" s="21" t="s">
        <v>18</v>
      </c>
      <c r="C12" s="26">
        <v>0.39</v>
      </c>
      <c r="D12" s="26">
        <f>1-D11-D13</f>
        <v>0.45000000000000007</v>
      </c>
      <c r="E12" s="26">
        <f t="shared" ref="E12:M12" si="8">1-E11-E13</f>
        <v>0.44499999999999995</v>
      </c>
      <c r="F12" s="26">
        <f t="shared" si="8"/>
        <v>0.44000000000000006</v>
      </c>
      <c r="G12" s="26">
        <f t="shared" si="8"/>
        <v>0.43499999999999994</v>
      </c>
      <c r="H12" s="26">
        <f t="shared" si="8"/>
        <v>0.4300000000000001</v>
      </c>
      <c r="I12" s="26">
        <f t="shared" si="8"/>
        <v>0.42</v>
      </c>
      <c r="J12" s="26">
        <f t="shared" si="8"/>
        <v>0.39999999999999997</v>
      </c>
      <c r="K12" s="26">
        <f t="shared" si="8"/>
        <v>0.35</v>
      </c>
      <c r="L12" s="26">
        <f t="shared" si="8"/>
        <v>0.35</v>
      </c>
      <c r="M12" s="26">
        <f t="shared" si="8"/>
        <v>0.35</v>
      </c>
      <c r="O12" s="21" t="s">
        <v>18</v>
      </c>
      <c r="P12" s="26">
        <v>0.35</v>
      </c>
    </row>
    <row r="13" spans="2:16" x14ac:dyDescent="0.35">
      <c r="B13" s="21" t="s">
        <v>38</v>
      </c>
      <c r="C13" s="30">
        <f>1-C12-C11</f>
        <v>0.45399999999999996</v>
      </c>
      <c r="D13" s="26">
        <v>0.37</v>
      </c>
      <c r="E13" s="26">
        <v>0.38</v>
      </c>
      <c r="F13" s="26">
        <v>0.39</v>
      </c>
      <c r="G13" s="26">
        <v>0.4</v>
      </c>
      <c r="H13" s="26">
        <v>0.41</v>
      </c>
      <c r="I13" s="26">
        <v>0.42</v>
      </c>
      <c r="J13" s="26">
        <v>0.45</v>
      </c>
      <c r="K13" s="26">
        <v>0.5</v>
      </c>
      <c r="L13" s="26">
        <f>K13</f>
        <v>0.5</v>
      </c>
      <c r="M13" s="26">
        <f>L13</f>
        <v>0.5</v>
      </c>
      <c r="O13" s="21" t="s">
        <v>38</v>
      </c>
      <c r="P13" s="26">
        <v>0.5</v>
      </c>
    </row>
    <row r="14" spans="2:16" x14ac:dyDescent="0.35">
      <c r="B14" s="21" t="s">
        <v>39</v>
      </c>
      <c r="C14" s="31">
        <v>0.03</v>
      </c>
      <c r="D14" s="26">
        <f>C14</f>
        <v>0.03</v>
      </c>
      <c r="E14" s="31">
        <f t="shared" ref="E14:G14" si="9">D14+0.5%</f>
        <v>3.4999999999999996E-2</v>
      </c>
      <c r="F14" s="31">
        <f t="shared" si="9"/>
        <v>3.9999999999999994E-2</v>
      </c>
      <c r="G14" s="31">
        <f t="shared" si="9"/>
        <v>4.4999999999999991E-2</v>
      </c>
      <c r="H14" s="31">
        <f>G14+0.5%</f>
        <v>4.9999999999999989E-2</v>
      </c>
      <c r="I14" s="31">
        <f t="shared" ref="I14:M14" si="10">H14</f>
        <v>4.9999999999999989E-2</v>
      </c>
      <c r="J14" s="31">
        <f t="shared" si="10"/>
        <v>4.9999999999999989E-2</v>
      </c>
      <c r="K14" s="31">
        <f t="shared" si="10"/>
        <v>4.9999999999999989E-2</v>
      </c>
      <c r="L14" s="31">
        <f t="shared" si="10"/>
        <v>4.9999999999999989E-2</v>
      </c>
      <c r="M14" s="31">
        <f t="shared" si="10"/>
        <v>4.9999999999999989E-2</v>
      </c>
    </row>
    <row r="15" spans="2:16" x14ac:dyDescent="0.35">
      <c r="B15" s="25" t="s">
        <v>22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2:16" hidden="1" x14ac:dyDescent="0.35">
      <c r="B16" s="24" t="s">
        <v>40</v>
      </c>
      <c r="C16" s="26"/>
      <c r="D16" s="22">
        <v>0.43147476861690892</v>
      </c>
      <c r="E16" s="22">
        <v>0.57388815691050976</v>
      </c>
      <c r="F16" s="22">
        <v>0.57668047399960543</v>
      </c>
      <c r="G16" s="22">
        <v>0.81831392493722688</v>
      </c>
      <c r="H16" s="22">
        <v>0.43404613074407938</v>
      </c>
      <c r="I16" s="22">
        <v>1.894639280212862E-2</v>
      </c>
      <c r="J16" s="22">
        <v>0.91671871804657612</v>
      </c>
      <c r="K16" s="22">
        <v>0.25739494231028981</v>
      </c>
      <c r="L16" s="22">
        <v>0.47582076484597258</v>
      </c>
      <c r="M16" s="22">
        <v>0.6515096873992674</v>
      </c>
    </row>
    <row r="17" spans="2:16" x14ac:dyDescent="0.35">
      <c r="B17" s="27" t="s">
        <v>32</v>
      </c>
      <c r="C17" s="28">
        <v>0.1</v>
      </c>
      <c r="D17" s="32">
        <f>_xlfn.NORM.INV(D16,$C$35,SQRT($C$37))</f>
        <v>6.9711397242643872E-2</v>
      </c>
      <c r="E17" s="32">
        <f t="shared" ref="E17:M17" si="11">_xlfn.NORM.INV(E16,$C$35,SQRT($C$37))</f>
        <v>0.1118942378183535</v>
      </c>
      <c r="F17" s="32">
        <f t="shared" si="11"/>
        <v>0.11273184603995642</v>
      </c>
      <c r="G17" s="32">
        <f t="shared" si="11"/>
        <v>0.19683242275734109</v>
      </c>
      <c r="H17" s="32">
        <f t="shared" si="11"/>
        <v>7.0479891848901355E-2</v>
      </c>
      <c r="I17" s="32">
        <f t="shared" si="11"/>
        <v>-0.15399959986045844</v>
      </c>
      <c r="J17" s="32">
        <f t="shared" si="11"/>
        <v>0.25258710255948219</v>
      </c>
      <c r="K17" s="32">
        <f t="shared" si="11"/>
        <v>1.3439412553332947E-2</v>
      </c>
      <c r="L17" s="32">
        <f t="shared" si="11"/>
        <v>8.2872162822004589E-2</v>
      </c>
      <c r="M17" s="32">
        <f t="shared" si="11"/>
        <v>0.13576722108951278</v>
      </c>
      <c r="O17" s="33"/>
      <c r="P17" s="34"/>
    </row>
    <row r="18" spans="2:16" x14ac:dyDescent="0.35">
      <c r="B18" s="27" t="s">
        <v>33</v>
      </c>
      <c r="C18" s="28">
        <v>0.05</v>
      </c>
      <c r="D18" s="32">
        <f>_xlfn.NORM.INV(1-D16,$C$36,SQRT($C$38))</f>
        <v>9.7488234819233494E-2</v>
      </c>
      <c r="E18" s="32">
        <f t="shared" ref="E18:M18" si="12">_xlfn.NORM.INV(1-E16,$C$36,SQRT($C$38))</f>
        <v>6.1127750553611582E-2</v>
      </c>
      <c r="F18" s="32">
        <f t="shared" si="12"/>
        <v>6.0405754591587965E-2</v>
      </c>
      <c r="G18" s="32">
        <f t="shared" si="12"/>
        <v>-1.2086700983418103E-2</v>
      </c>
      <c r="H18" s="32">
        <f t="shared" si="12"/>
        <v>9.6825812951533793E-2</v>
      </c>
      <c r="I18" s="32">
        <f t="shared" si="12"/>
        <v>0.290321151692497</v>
      </c>
      <c r="J18" s="32">
        <f t="shared" si="12"/>
        <v>-6.0145748928328482E-2</v>
      </c>
      <c r="K18" s="32">
        <f t="shared" si="12"/>
        <v>0.1459931857890174</v>
      </c>
      <c r="L18" s="32">
        <f t="shared" si="12"/>
        <v>8.6144005667263129E-2</v>
      </c>
      <c r="M18" s="32">
        <f t="shared" si="12"/>
        <v>4.0549875266941426E-2</v>
      </c>
      <c r="O18" s="33"/>
      <c r="P18" s="34"/>
    </row>
    <row r="19" spans="2:16" x14ac:dyDescent="0.35">
      <c r="B19" s="21" t="s">
        <v>34</v>
      </c>
      <c r="C19" s="26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2:16" x14ac:dyDescent="0.35">
      <c r="B20" s="21" t="s">
        <v>35</v>
      </c>
      <c r="C20" s="26">
        <v>0.65</v>
      </c>
      <c r="D20" s="26">
        <v>0.66</v>
      </c>
      <c r="E20" s="26">
        <f>D20</f>
        <v>0.66</v>
      </c>
      <c r="F20" s="26">
        <f t="shared" ref="F20:M21" si="13">E20</f>
        <v>0.66</v>
      </c>
      <c r="G20" s="26">
        <f t="shared" si="13"/>
        <v>0.66</v>
      </c>
      <c r="H20" s="26">
        <f t="shared" si="13"/>
        <v>0.66</v>
      </c>
      <c r="I20" s="26">
        <f t="shared" si="13"/>
        <v>0.66</v>
      </c>
      <c r="J20" s="26">
        <f t="shared" si="13"/>
        <v>0.66</v>
      </c>
      <c r="K20" s="26">
        <f t="shared" si="13"/>
        <v>0.66</v>
      </c>
      <c r="L20" s="26">
        <f t="shared" si="13"/>
        <v>0.66</v>
      </c>
      <c r="M20" s="26">
        <f t="shared" si="13"/>
        <v>0.66</v>
      </c>
    </row>
    <row r="21" spans="2:16" x14ac:dyDescent="0.35">
      <c r="B21" s="21" t="s">
        <v>36</v>
      </c>
      <c r="C21" s="26">
        <v>0.35</v>
      </c>
      <c r="D21" s="22">
        <f>1-D20</f>
        <v>0.33999999999999997</v>
      </c>
      <c r="E21" s="26">
        <f>D21</f>
        <v>0.33999999999999997</v>
      </c>
      <c r="F21" s="26">
        <f t="shared" si="13"/>
        <v>0.33999999999999997</v>
      </c>
      <c r="G21" s="26">
        <f t="shared" si="13"/>
        <v>0.33999999999999997</v>
      </c>
      <c r="H21" s="26">
        <f t="shared" si="13"/>
        <v>0.33999999999999997</v>
      </c>
      <c r="I21" s="26">
        <f t="shared" si="13"/>
        <v>0.33999999999999997</v>
      </c>
      <c r="J21" s="26">
        <f t="shared" si="13"/>
        <v>0.33999999999999997</v>
      </c>
      <c r="K21" s="26">
        <f t="shared" si="13"/>
        <v>0.33999999999999997</v>
      </c>
      <c r="L21" s="26">
        <f t="shared" si="13"/>
        <v>0.33999999999999997</v>
      </c>
      <c r="M21" s="26">
        <f t="shared" si="13"/>
        <v>0.33999999999999997</v>
      </c>
    </row>
    <row r="22" spans="2:16" x14ac:dyDescent="0.35">
      <c r="B22" s="21" t="s">
        <v>37</v>
      </c>
      <c r="C22" s="26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2:16" x14ac:dyDescent="0.35">
      <c r="B23" s="21" t="s">
        <v>17</v>
      </c>
      <c r="C23" s="26">
        <v>0.156</v>
      </c>
      <c r="D23" s="26">
        <v>0.17</v>
      </c>
      <c r="E23" s="26">
        <f>D23</f>
        <v>0.17</v>
      </c>
      <c r="F23" s="26">
        <f t="shared" ref="F23:M23" si="14">E23</f>
        <v>0.17</v>
      </c>
      <c r="G23" s="26">
        <f t="shared" si="14"/>
        <v>0.17</v>
      </c>
      <c r="H23" s="26">
        <f t="shared" si="14"/>
        <v>0.17</v>
      </c>
      <c r="I23" s="26">
        <f t="shared" si="14"/>
        <v>0.17</v>
      </c>
      <c r="J23" s="26">
        <f t="shared" si="14"/>
        <v>0.17</v>
      </c>
      <c r="K23" s="26">
        <f t="shared" si="14"/>
        <v>0.17</v>
      </c>
      <c r="L23" s="26">
        <f t="shared" si="14"/>
        <v>0.17</v>
      </c>
      <c r="M23" s="26">
        <f t="shared" si="14"/>
        <v>0.17</v>
      </c>
    </row>
    <row r="24" spans="2:16" x14ac:dyDescent="0.35">
      <c r="B24" s="21" t="s">
        <v>18</v>
      </c>
      <c r="C24" s="26">
        <v>0.39</v>
      </c>
      <c r="D24" s="26">
        <v>0.4</v>
      </c>
      <c r="E24" s="26">
        <f t="shared" ref="E24:M26" si="15">D24</f>
        <v>0.4</v>
      </c>
      <c r="F24" s="26">
        <f t="shared" si="15"/>
        <v>0.4</v>
      </c>
      <c r="G24" s="26">
        <f t="shared" si="15"/>
        <v>0.4</v>
      </c>
      <c r="H24" s="26">
        <f t="shared" si="15"/>
        <v>0.4</v>
      </c>
      <c r="I24" s="26">
        <f t="shared" si="15"/>
        <v>0.4</v>
      </c>
      <c r="J24" s="26">
        <f t="shared" si="15"/>
        <v>0.4</v>
      </c>
      <c r="K24" s="26">
        <f t="shared" si="15"/>
        <v>0.4</v>
      </c>
      <c r="L24" s="26">
        <f t="shared" si="15"/>
        <v>0.4</v>
      </c>
      <c r="M24" s="26">
        <f t="shared" si="15"/>
        <v>0.4</v>
      </c>
    </row>
    <row r="25" spans="2:16" x14ac:dyDescent="0.35">
      <c r="B25" s="21" t="s">
        <v>38</v>
      </c>
      <c r="C25" s="26">
        <v>0.45399999999999996</v>
      </c>
      <c r="D25" s="26">
        <v>0.43</v>
      </c>
      <c r="E25" s="26">
        <f t="shared" si="15"/>
        <v>0.43</v>
      </c>
      <c r="F25" s="26">
        <f t="shared" si="15"/>
        <v>0.43</v>
      </c>
      <c r="G25" s="26">
        <f t="shared" si="15"/>
        <v>0.43</v>
      </c>
      <c r="H25" s="26">
        <f t="shared" si="15"/>
        <v>0.43</v>
      </c>
      <c r="I25" s="26">
        <f t="shared" si="15"/>
        <v>0.43</v>
      </c>
      <c r="J25" s="26">
        <f t="shared" si="15"/>
        <v>0.43</v>
      </c>
      <c r="K25" s="26">
        <f t="shared" si="15"/>
        <v>0.43</v>
      </c>
      <c r="L25" s="26">
        <f t="shared" si="15"/>
        <v>0.43</v>
      </c>
      <c r="M25" s="26">
        <f t="shared" si="15"/>
        <v>0.43</v>
      </c>
    </row>
    <row r="26" spans="2:16" x14ac:dyDescent="0.35">
      <c r="B26" s="21" t="s">
        <v>39</v>
      </c>
      <c r="C26" s="26">
        <v>0.03</v>
      </c>
      <c r="D26" s="26">
        <f>C26</f>
        <v>0.03</v>
      </c>
      <c r="E26" s="26">
        <f t="shared" si="15"/>
        <v>0.03</v>
      </c>
      <c r="F26" s="26">
        <f t="shared" si="15"/>
        <v>0.03</v>
      </c>
      <c r="G26" s="26">
        <f t="shared" si="15"/>
        <v>0.03</v>
      </c>
      <c r="H26" s="26">
        <f t="shared" si="15"/>
        <v>0.03</v>
      </c>
      <c r="I26" s="26">
        <f t="shared" si="15"/>
        <v>0.03</v>
      </c>
      <c r="J26" s="26">
        <f t="shared" si="15"/>
        <v>0.03</v>
      </c>
      <c r="K26" s="26">
        <f t="shared" si="15"/>
        <v>0.03</v>
      </c>
      <c r="L26" s="26">
        <f t="shared" si="15"/>
        <v>0.03</v>
      </c>
      <c r="M26" s="26">
        <f t="shared" si="15"/>
        <v>0.03</v>
      </c>
    </row>
    <row r="27" spans="2:16" x14ac:dyDescent="0.35">
      <c r="B27" s="21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2:16" x14ac:dyDescent="0.35">
      <c r="B28" s="21" t="s">
        <v>41</v>
      </c>
      <c r="C28" s="34"/>
    </row>
    <row r="29" spans="2:16" x14ac:dyDescent="0.35">
      <c r="B29" s="35" t="s">
        <v>42</v>
      </c>
      <c r="C29" s="19">
        <v>0.35</v>
      </c>
    </row>
    <row r="30" spans="2:16" x14ac:dyDescent="0.35">
      <c r="B30" s="35" t="s">
        <v>43</v>
      </c>
      <c r="C30" s="19">
        <v>-0.1</v>
      </c>
    </row>
    <row r="31" spans="2:16" x14ac:dyDescent="0.35">
      <c r="B31" s="36" t="s">
        <v>44</v>
      </c>
      <c r="C31" s="19">
        <v>0.2</v>
      </c>
    </row>
    <row r="32" spans="2:16" x14ac:dyDescent="0.35">
      <c r="B32" s="36" t="s">
        <v>45</v>
      </c>
      <c r="C32" s="19">
        <v>0.25</v>
      </c>
    </row>
    <row r="33" spans="1:16" x14ac:dyDescent="0.35">
      <c r="B33" s="36" t="s">
        <v>46</v>
      </c>
      <c r="C33" s="34">
        <v>0.11</v>
      </c>
    </row>
    <row r="34" spans="1:16" x14ac:dyDescent="0.35">
      <c r="B34" s="36" t="s">
        <v>47</v>
      </c>
      <c r="C34" s="34">
        <v>0.1</v>
      </c>
    </row>
    <row r="35" spans="1:16" x14ac:dyDescent="0.35">
      <c r="B35" s="37" t="s">
        <v>32</v>
      </c>
      <c r="C35" s="34">
        <v>0.09</v>
      </c>
    </row>
    <row r="36" spans="1:16" x14ac:dyDescent="0.35">
      <c r="B36" s="37" t="s">
        <v>33</v>
      </c>
      <c r="C36" s="34">
        <v>0.08</v>
      </c>
      <c r="D36" s="38"/>
    </row>
    <row r="37" spans="1:16" x14ac:dyDescent="0.35">
      <c r="B37" s="37" t="s">
        <v>48</v>
      </c>
      <c r="C37" s="38">
        <v>1.3813962027912205E-2</v>
      </c>
      <c r="D37" s="38"/>
    </row>
    <row r="38" spans="1:16" x14ac:dyDescent="0.35">
      <c r="B38" s="37" t="s">
        <v>49</v>
      </c>
      <c r="C38" s="39">
        <v>1.0263746856045355E-2</v>
      </c>
      <c r="D38" s="38"/>
    </row>
    <row r="39" spans="1:16" x14ac:dyDescent="0.35">
      <c r="B39" s="37"/>
      <c r="C39" s="39"/>
      <c r="D39" s="38"/>
    </row>
    <row r="40" spans="1:16" outlineLevel="1" x14ac:dyDescent="0.35">
      <c r="B40" s="37"/>
      <c r="C40" s="39" t="s">
        <v>50</v>
      </c>
      <c r="D40" s="38"/>
    </row>
    <row r="41" spans="1:16" outlineLevel="1" x14ac:dyDescent="0.35">
      <c r="B41" s="40">
        <f ca="1">Output!B46</f>
        <v>7.1982555247800839E-2</v>
      </c>
      <c r="C41" s="41">
        <v>-0.4</v>
      </c>
      <c r="D41" s="41">
        <v>-0.3</v>
      </c>
      <c r="E41" s="41">
        <v>-0.2</v>
      </c>
      <c r="F41" s="41">
        <v>-0.1</v>
      </c>
      <c r="G41" s="41">
        <v>0</v>
      </c>
      <c r="H41" s="41">
        <v>0.1</v>
      </c>
      <c r="I41" s="41">
        <v>0.2</v>
      </c>
      <c r="J41" s="41">
        <v>0.3</v>
      </c>
      <c r="K41" s="41">
        <v>0.4</v>
      </c>
      <c r="L41" s="41">
        <v>0.5</v>
      </c>
      <c r="M41" s="41">
        <v>0.6</v>
      </c>
      <c r="N41" s="41"/>
      <c r="O41" s="19"/>
      <c r="P41" s="19"/>
    </row>
    <row r="42" spans="1:16" outlineLevel="1" x14ac:dyDescent="0.35">
      <c r="A42" s="1" t="s">
        <v>51</v>
      </c>
      <c r="B42" s="41">
        <v>-0.4</v>
      </c>
      <c r="C42" s="42">
        <f t="dataTable" ref="C42:P55" dt2D="1" dtr="1" r1="C29" r2="C30" ca="1"/>
        <v>0.25601354882318605</v>
      </c>
      <c r="D42" s="42">
        <v>0.18069526468174879</v>
      </c>
      <c r="E42" s="42">
        <v>-2.7273492848848613E-2</v>
      </c>
      <c r="F42" s="42" t="e">
        <v>#NUM!</v>
      </c>
      <c r="G42" s="42" t="e">
        <v>#NUM!</v>
      </c>
      <c r="H42" s="42" t="e">
        <v>#NUM!</v>
      </c>
      <c r="I42" s="42" t="e">
        <v>#NUM!</v>
      </c>
      <c r="J42" s="42" t="e">
        <v>#NUM!</v>
      </c>
      <c r="K42" s="42" t="e">
        <v>#NUM!</v>
      </c>
      <c r="L42" s="42" t="e">
        <v>#NUM!</v>
      </c>
      <c r="M42" s="42" t="e">
        <v>#NUM!</v>
      </c>
      <c r="N42" s="42" t="e">
        <v>#NUM!</v>
      </c>
      <c r="O42" s="42" t="e">
        <v>#NUM!</v>
      </c>
      <c r="P42" s="42" t="e">
        <v>#NUM!</v>
      </c>
    </row>
    <row r="43" spans="1:16" outlineLevel="1" x14ac:dyDescent="0.35">
      <c r="B43" s="41">
        <v>-0.3</v>
      </c>
      <c r="C43" s="43">
        <v>0.33842687421287954</v>
      </c>
      <c r="D43" s="42">
        <v>0.301460760705206</v>
      </c>
      <c r="E43" s="42">
        <v>0.25162756303662159</v>
      </c>
      <c r="F43" s="42">
        <v>0.17293694665257586</v>
      </c>
      <c r="G43" s="42">
        <v>-8.254454955350321E-2</v>
      </c>
      <c r="H43" s="42" t="e">
        <v>#NUM!</v>
      </c>
      <c r="I43" s="42" t="e">
        <v>#NUM!</v>
      </c>
      <c r="J43" s="42" t="e">
        <v>#NUM!</v>
      </c>
      <c r="K43" s="42" t="e">
        <v>#NUM!</v>
      </c>
      <c r="L43" s="42" t="e">
        <v>#NUM!</v>
      </c>
      <c r="M43" s="42" t="e">
        <v>#NUM!</v>
      </c>
      <c r="N43" s="42">
        <v>-8.254454955350321E-2</v>
      </c>
      <c r="O43" s="42">
        <v>-8.254454955350321E-2</v>
      </c>
      <c r="P43" s="42">
        <v>-8.254454955350321E-2</v>
      </c>
    </row>
    <row r="44" spans="1:16" outlineLevel="1" x14ac:dyDescent="0.35">
      <c r="B44" s="41">
        <v>-0.2</v>
      </c>
      <c r="C44" s="43">
        <v>0.39102982068135961</v>
      </c>
      <c r="D44" s="42">
        <v>0.3659853681520624</v>
      </c>
      <c r="E44" s="42">
        <v>0.33596970581342855</v>
      </c>
      <c r="F44" s="42">
        <v>0.29829062775589477</v>
      </c>
      <c r="G44" s="42">
        <v>0.24709873016419204</v>
      </c>
      <c r="H44" s="42">
        <v>0.16468731932273672</v>
      </c>
      <c r="I44" s="42">
        <v>-0.21699177899303967</v>
      </c>
      <c r="J44" s="42" t="e">
        <v>#NUM!</v>
      </c>
      <c r="K44" s="42" t="e">
        <v>#NUM!</v>
      </c>
      <c r="L44" s="42" t="e">
        <v>#NUM!</v>
      </c>
      <c r="M44" s="42" t="e">
        <v>#NUM!</v>
      </c>
      <c r="N44" s="42">
        <v>0.24709873016419204</v>
      </c>
      <c r="O44" s="42">
        <v>0.24709873016419204</v>
      </c>
      <c r="P44" s="42">
        <v>0.24709873016419204</v>
      </c>
    </row>
    <row r="45" spans="1:16" outlineLevel="1" x14ac:dyDescent="0.35">
      <c r="B45" s="41">
        <v>-0.1</v>
      </c>
      <c r="C45" s="43">
        <v>0.43017790390012856</v>
      </c>
      <c r="D45" s="42">
        <v>0.41106705254288722</v>
      </c>
      <c r="E45" s="42">
        <v>0.38929758850370177</v>
      </c>
      <c r="F45" s="42">
        <v>0.36394312600953205</v>
      </c>
      <c r="G45" s="42">
        <v>0.33347117758106193</v>
      </c>
      <c r="H45" s="42">
        <v>0.29504925859263875</v>
      </c>
      <c r="I45" s="42">
        <v>0.24241685841948879</v>
      </c>
      <c r="J45" s="42">
        <v>0.1558756910569874</v>
      </c>
      <c r="K45" s="42" t="e">
        <v>#NUM!</v>
      </c>
      <c r="L45" s="42" t="e">
        <v>#NUM!</v>
      </c>
      <c r="M45" s="42" t="e">
        <v>#NUM!</v>
      </c>
      <c r="N45" s="42">
        <v>0.33347117758106193</v>
      </c>
      <c r="O45" s="42">
        <v>0.33347117758106193</v>
      </c>
      <c r="P45" s="42">
        <v>0.33347117758106193</v>
      </c>
    </row>
    <row r="46" spans="1:16" outlineLevel="1" x14ac:dyDescent="0.35">
      <c r="B46" s="41">
        <v>0</v>
      </c>
      <c r="C46" s="43">
        <v>0.46155363345531342</v>
      </c>
      <c r="D46" s="42">
        <v>0.44602391966608068</v>
      </c>
      <c r="E46" s="42">
        <v>0.42883039484214192</v>
      </c>
      <c r="F46" s="42">
        <v>0.40954517531526324</v>
      </c>
      <c r="G46" s="42">
        <v>0.38754569708380027</v>
      </c>
      <c r="H46" s="42">
        <v>0.36187298656984224</v>
      </c>
      <c r="I46" s="42">
        <v>0.33092979173752446</v>
      </c>
      <c r="J46" s="42">
        <v>0.29173318710470686</v>
      </c>
      <c r="K46" s="42">
        <v>0.23757060267803309</v>
      </c>
      <c r="L46" s="42">
        <v>0.14641456312942402</v>
      </c>
      <c r="M46" s="42" t="e">
        <v>#NUM!</v>
      </c>
      <c r="N46" s="42">
        <v>0.38754569708380027</v>
      </c>
      <c r="O46" s="42">
        <v>0.38754569708380027</v>
      </c>
      <c r="P46" s="42">
        <v>0.38754569708380027</v>
      </c>
    </row>
    <row r="47" spans="1:16" outlineLevel="1" x14ac:dyDescent="0.35">
      <c r="B47" s="41">
        <v>0.1</v>
      </c>
      <c r="C47" s="43">
        <v>0.4878338359453962</v>
      </c>
      <c r="D47" s="42">
        <v>0.47471164357891094</v>
      </c>
      <c r="E47" s="42">
        <v>0.46044611933432478</v>
      </c>
      <c r="F47" s="42">
        <v>0.44480417122728899</v>
      </c>
      <c r="G47" s="42">
        <v>0.42747135043508577</v>
      </c>
      <c r="H47" s="42">
        <v>0.40800836435873666</v>
      </c>
      <c r="I47" s="42">
        <v>0.38577366937995383</v>
      </c>
      <c r="J47" s="42">
        <v>0.3597741329124915</v>
      </c>
      <c r="K47" s="42">
        <v>0.3283439661063785</v>
      </c>
      <c r="L47" s="42">
        <v>0.28833868298761844</v>
      </c>
      <c r="M47" s="42">
        <v>0.23254728180122264</v>
      </c>
      <c r="N47" s="42">
        <v>0.42747135043508577</v>
      </c>
      <c r="O47" s="42">
        <v>0.42747135043508577</v>
      </c>
      <c r="P47" s="42">
        <v>0.42747135043508577</v>
      </c>
    </row>
    <row r="48" spans="1:16" outlineLevel="1" x14ac:dyDescent="0.35">
      <c r="B48" s="41">
        <v>0.2</v>
      </c>
      <c r="C48" s="43">
        <v>0.51050161877917133</v>
      </c>
      <c r="D48" s="42">
        <v>0.49911435119074921</v>
      </c>
      <c r="E48" s="42">
        <v>0.48689097007424254</v>
      </c>
      <c r="F48" s="42">
        <v>0.47369025539572585</v>
      </c>
      <c r="G48" s="42">
        <v>0.45933099438228275</v>
      </c>
      <c r="H48" s="42">
        <v>0.44357508402560186</v>
      </c>
      <c r="I48" s="42">
        <v>0.42610056020654374</v>
      </c>
      <c r="J48" s="42">
        <v>0.40645630689692358</v>
      </c>
      <c r="K48" s="42">
        <v>0.38398101045350175</v>
      </c>
      <c r="L48" s="42">
        <v>0.35764571103207476</v>
      </c>
      <c r="M48" s="42">
        <v>0.3257120275903751</v>
      </c>
      <c r="N48" s="42">
        <v>0.45933099438228275</v>
      </c>
      <c r="O48" s="42">
        <v>0.45933099438228275</v>
      </c>
      <c r="P48" s="42">
        <v>0.45933099438228275</v>
      </c>
    </row>
    <row r="49" spans="2:16" outlineLevel="1" x14ac:dyDescent="0.35">
      <c r="B49" s="41">
        <v>0.3</v>
      </c>
      <c r="C49" s="43">
        <v>0.53046783114776574</v>
      </c>
      <c r="D49" s="42">
        <v>0.52039305514403256</v>
      </c>
      <c r="E49" s="42">
        <v>0.50967904492053884</v>
      </c>
      <c r="F49" s="42">
        <v>0.49823363364799955</v>
      </c>
      <c r="G49" s="42">
        <v>0.48594269229408482</v>
      </c>
      <c r="H49" s="42">
        <v>0.47266245604108281</v>
      </c>
      <c r="I49" s="42">
        <v>0.45820814733455451</v>
      </c>
      <c r="J49" s="42">
        <v>0.44233650581960915</v>
      </c>
      <c r="K49" s="42">
        <v>0.42471780776577961</v>
      </c>
      <c r="L49" s="42">
        <v>0.40488868004316725</v>
      </c>
      <c r="M49" s="42">
        <v>0.38216720655401781</v>
      </c>
      <c r="N49" s="42">
        <v>0.48594269229408482</v>
      </c>
      <c r="O49" s="42">
        <v>0.48594269229408482</v>
      </c>
      <c r="P49" s="42">
        <v>0.48594269229408482</v>
      </c>
    </row>
    <row r="50" spans="2:16" outlineLevel="1" x14ac:dyDescent="0.35">
      <c r="B50" s="41">
        <v>0.4</v>
      </c>
      <c r="C50" s="43">
        <v>0.54833346458627696</v>
      </c>
      <c r="D50" s="42">
        <v>0.53928796134867296</v>
      </c>
      <c r="E50" s="42">
        <v>0.52973716899217571</v>
      </c>
      <c r="F50" s="42">
        <v>0.51961753087658447</v>
      </c>
      <c r="G50" s="42">
        <v>0.50885241743461118</v>
      </c>
      <c r="H50" s="42">
        <v>0.49734823184084198</v>
      </c>
      <c r="I50" s="42">
        <v>0.48498893660515408</v>
      </c>
      <c r="J50" s="42">
        <v>0.47162815996172491</v>
      </c>
      <c r="K50" s="42">
        <v>0.4570774644245279</v>
      </c>
      <c r="L50" s="42">
        <v>0.44108828054699756</v>
      </c>
      <c r="M50" s="42">
        <v>0.42332287057773788</v>
      </c>
      <c r="N50" s="42">
        <v>0.50885241743461118</v>
      </c>
      <c r="O50" s="42">
        <v>0.50885241743461118</v>
      </c>
      <c r="P50" s="42">
        <v>0.50885241743461118</v>
      </c>
    </row>
    <row r="51" spans="2:16" outlineLevel="1" x14ac:dyDescent="0.35">
      <c r="B51" s="41">
        <v>0.5</v>
      </c>
      <c r="C51" s="43">
        <v>0.56451665312499544</v>
      </c>
      <c r="D51" s="42">
        <v>0.55630099771445085</v>
      </c>
      <c r="E51" s="42">
        <v>0.54767542568688499</v>
      </c>
      <c r="F51" s="42">
        <v>0.5385942106729571</v>
      </c>
      <c r="G51" s="42">
        <v>0.52900335233476703</v>
      </c>
      <c r="H51" s="42">
        <v>0.51883842812259928</v>
      </c>
      <c r="I51" s="42">
        <v>0.50802169391712271</v>
      </c>
      <c r="J51" s="42">
        <v>0.49645809285988185</v>
      </c>
      <c r="K51" s="42">
        <v>0.48402963577122948</v>
      </c>
      <c r="L51" s="42">
        <v>0.47058727984953341</v>
      </c>
      <c r="M51" s="42">
        <v>0.45593882930736029</v>
      </c>
      <c r="N51" s="42">
        <v>0.52900335233476703</v>
      </c>
      <c r="O51" s="42">
        <v>0.52900335233476703</v>
      </c>
      <c r="P51" s="42">
        <v>0.52900335233476703</v>
      </c>
    </row>
    <row r="52" spans="2:16" outlineLevel="1" x14ac:dyDescent="0.35">
      <c r="B52" s="41">
        <v>0.25</v>
      </c>
      <c r="C52" s="43">
        <v>0.52077948615353931</v>
      </c>
      <c r="D52" s="42">
        <v>0.51009083592919802</v>
      </c>
      <c r="E52" s="42">
        <v>0.4986745746808563</v>
      </c>
      <c r="F52" s="42">
        <v>0.48641751176915604</v>
      </c>
      <c r="G52" s="42">
        <v>0.47317716242134567</v>
      </c>
      <c r="H52" s="42">
        <v>0.45877054317127297</v>
      </c>
      <c r="I52" s="42">
        <v>0.44295699096098806</v>
      </c>
      <c r="J52" s="42">
        <v>0.42541069302440127</v>
      </c>
      <c r="K52" s="42">
        <v>0.40567446023137443</v>
      </c>
      <c r="L52" s="42">
        <v>0.38307678449584026</v>
      </c>
      <c r="M52" s="42">
        <v>0.35657013442874885</v>
      </c>
      <c r="N52" s="42">
        <v>0.47317716242134567</v>
      </c>
      <c r="O52" s="42">
        <v>0.47317716242134567</v>
      </c>
      <c r="P52" s="42">
        <v>0.47317716242134567</v>
      </c>
    </row>
    <row r="53" spans="2:16" outlineLevel="1" x14ac:dyDescent="0.35">
      <c r="B53" s="41">
        <v>0.3</v>
      </c>
      <c r="C53" s="43">
        <v>0.53046783114776574</v>
      </c>
      <c r="D53" s="42">
        <v>0.52039305514403256</v>
      </c>
      <c r="E53" s="42">
        <v>0.50967904492053884</v>
      </c>
      <c r="F53" s="42">
        <v>0.49823363364799955</v>
      </c>
      <c r="G53" s="42">
        <v>0.48594269229408482</v>
      </c>
      <c r="H53" s="42">
        <v>0.47266245604108281</v>
      </c>
      <c r="I53" s="42">
        <v>0.45820814733455451</v>
      </c>
      <c r="J53" s="42">
        <v>0.44233650581960915</v>
      </c>
      <c r="K53" s="42">
        <v>0.42471780776577961</v>
      </c>
      <c r="L53" s="42">
        <v>0.40488868004316725</v>
      </c>
      <c r="M53" s="42">
        <v>0.38216720655401781</v>
      </c>
      <c r="N53" s="42">
        <v>0.48594269229408482</v>
      </c>
      <c r="O53" s="42">
        <v>0.48594269229408482</v>
      </c>
      <c r="P53" s="42">
        <v>0.48594269229408482</v>
      </c>
    </row>
    <row r="54" spans="2:16" outlineLevel="1" x14ac:dyDescent="0.35">
      <c r="B54" s="41">
        <v>0.35</v>
      </c>
      <c r="C54" s="43">
        <v>0.53963378419012287</v>
      </c>
      <c r="D54" s="42">
        <v>0.53010289259272669</v>
      </c>
      <c r="E54" s="42">
        <v>0.52000573815148177</v>
      </c>
      <c r="F54" s="42">
        <v>0.50926624051546776</v>
      </c>
      <c r="G54" s="42">
        <v>0.4977915215630504</v>
      </c>
      <c r="H54" s="42">
        <v>0.48546650336113806</v>
      </c>
      <c r="I54" s="42">
        <v>0.47214612550705803</v>
      </c>
      <c r="J54" s="42">
        <v>0.45764379257254051</v>
      </c>
      <c r="K54" s="42">
        <v>0.4417136089732987</v>
      </c>
      <c r="L54" s="42">
        <v>0.4240218764200232</v>
      </c>
      <c r="M54" s="42">
        <v>0.40409892431882533</v>
      </c>
      <c r="N54" s="42">
        <v>0.4977915215630504</v>
      </c>
      <c r="O54" s="42">
        <v>0.4977915215630504</v>
      </c>
      <c r="P54" s="42">
        <v>0.4977915215630504</v>
      </c>
    </row>
    <row r="55" spans="2:16" outlineLevel="1" x14ac:dyDescent="0.35">
      <c r="B55" s="41">
        <v>0.4</v>
      </c>
      <c r="C55" s="43">
        <v>0.54833346458627696</v>
      </c>
      <c r="D55" s="42">
        <v>0.53928796134867296</v>
      </c>
      <c r="E55" s="42">
        <v>0.52973716899217571</v>
      </c>
      <c r="F55" s="42">
        <v>0.51961753087658447</v>
      </c>
      <c r="G55" s="42">
        <v>0.50885241743461118</v>
      </c>
      <c r="H55" s="42">
        <v>0.49734823184084198</v>
      </c>
      <c r="I55" s="42">
        <v>0.48498893660515408</v>
      </c>
      <c r="J55" s="42">
        <v>0.47162815996172491</v>
      </c>
      <c r="K55" s="42">
        <v>0.4570774644245279</v>
      </c>
      <c r="L55" s="42">
        <v>0.44108828054699756</v>
      </c>
      <c r="M55" s="42">
        <v>0.42332287057773788</v>
      </c>
      <c r="N55" s="42">
        <v>0.50885241743461118</v>
      </c>
      <c r="O55" s="42">
        <v>0.50885241743461118</v>
      </c>
      <c r="P55" s="42">
        <v>0.50885241743461118</v>
      </c>
    </row>
    <row r="56" spans="2:16" outlineLevel="1" x14ac:dyDescent="0.35">
      <c r="B56" s="37"/>
      <c r="C56" s="34"/>
      <c r="D56" s="38"/>
    </row>
    <row r="57" spans="2:16" outlineLevel="1" x14ac:dyDescent="0.35">
      <c r="B57" s="37"/>
      <c r="C57" s="34"/>
      <c r="D57" s="38"/>
    </row>
    <row r="58" spans="2:16" outlineLevel="1" x14ac:dyDescent="0.35">
      <c r="B58" s="44">
        <f ca="1">Output!N42/10^6</f>
        <v>1993.8857089930486</v>
      </c>
      <c r="C58" s="41">
        <v>-0.4</v>
      </c>
      <c r="D58" s="41">
        <v>-0.3</v>
      </c>
      <c r="E58" s="41">
        <v>-0.2</v>
      </c>
      <c r="F58" s="41">
        <v>-0.1</v>
      </c>
      <c r="G58" s="41">
        <v>0</v>
      </c>
      <c r="H58" s="41">
        <v>0.1</v>
      </c>
      <c r="I58" s="41">
        <v>0.2</v>
      </c>
      <c r="J58" s="41">
        <v>0.3</v>
      </c>
      <c r="K58" s="41">
        <v>0.4</v>
      </c>
      <c r="L58" s="41">
        <v>0.5</v>
      </c>
      <c r="M58" s="41">
        <v>0.6</v>
      </c>
      <c r="N58" s="45"/>
      <c r="O58" s="45"/>
      <c r="P58" s="45"/>
    </row>
    <row r="59" spans="2:16" outlineLevel="1" x14ac:dyDescent="0.35">
      <c r="B59" s="41">
        <v>-0.4</v>
      </c>
      <c r="C59" s="46">
        <f t="dataTable" ref="C59:P72" dt2D="1" dtr="1" r1="C29" r2="C30" ca="1"/>
        <v>9722.2396719100107</v>
      </c>
      <c r="D59" s="47">
        <v>5238.4318138775197</v>
      </c>
      <c r="E59" s="48">
        <v>754.62395584503679</v>
      </c>
      <c r="F59" s="48">
        <v>-3729.1839021874539</v>
      </c>
      <c r="G59" s="48">
        <v>-8212.9917602199439</v>
      </c>
      <c r="H59" s="48">
        <v>-12696.799618252422</v>
      </c>
      <c r="I59" s="49">
        <v>-17180.607476284898</v>
      </c>
      <c r="J59" s="49">
        <v>-21664.4153343174</v>
      </c>
      <c r="K59" s="49">
        <v>-26148.223192349877</v>
      </c>
      <c r="L59" s="49">
        <v>-30632.031050382371</v>
      </c>
      <c r="M59" s="49">
        <v>-35115.838908414851</v>
      </c>
      <c r="N59" s="49">
        <v>-8212.9917602199439</v>
      </c>
      <c r="O59" s="49">
        <v>-8212.9917602199439</v>
      </c>
      <c r="P59" s="49">
        <v>-8212.9917602199439</v>
      </c>
    </row>
    <row r="60" spans="2:16" outlineLevel="1" x14ac:dyDescent="0.35">
      <c r="B60" s="41">
        <v>-0.3</v>
      </c>
      <c r="C60" s="46">
        <v>18355.641329352242</v>
      </c>
      <c r="D60" s="47">
        <v>13871.833471319747</v>
      </c>
      <c r="E60" s="48">
        <v>9388.0256132872655</v>
      </c>
      <c r="F60" s="48">
        <v>4904.2177552547764</v>
      </c>
      <c r="G60" s="48">
        <v>420.40989722228574</v>
      </c>
      <c r="H60" s="48">
        <v>-4063.3979608101922</v>
      </c>
      <c r="I60" s="48">
        <v>-8547.2058188426672</v>
      </c>
      <c r="J60" s="48">
        <v>-13031.013676875169</v>
      </c>
      <c r="K60" s="48">
        <v>-17514.821534907649</v>
      </c>
      <c r="L60" s="48">
        <v>-21998.62939294014</v>
      </c>
      <c r="M60" s="48">
        <v>-26482.437250972613</v>
      </c>
      <c r="N60" s="48">
        <v>420.40989722228574</v>
      </c>
      <c r="O60" s="48">
        <v>420.40989722228574</v>
      </c>
      <c r="P60" s="48">
        <v>420.40989722228574</v>
      </c>
    </row>
    <row r="61" spans="2:16" outlineLevel="1" x14ac:dyDescent="0.35">
      <c r="B61" s="41">
        <v>-0.2</v>
      </c>
      <c r="C61" s="46">
        <v>26989.042986794484</v>
      </c>
      <c r="D61" s="47">
        <v>22505.235128761989</v>
      </c>
      <c r="E61" s="48">
        <v>18021.427270729506</v>
      </c>
      <c r="F61" s="48">
        <v>13537.619412697019</v>
      </c>
      <c r="G61" s="48">
        <v>9053.8115546645276</v>
      </c>
      <c r="H61" s="48">
        <v>4570.0036966320476</v>
      </c>
      <c r="I61" s="48">
        <v>86.195838599572426</v>
      </c>
      <c r="J61" s="48">
        <v>-4397.6120194329296</v>
      </c>
      <c r="K61" s="48">
        <v>-8881.4198774654087</v>
      </c>
      <c r="L61" s="48">
        <v>-13365.227735497898</v>
      </c>
      <c r="M61" s="48">
        <v>-17849.035593530378</v>
      </c>
      <c r="N61" s="48">
        <v>9053.8115546645276</v>
      </c>
      <c r="O61" s="48">
        <v>9053.8115546645276</v>
      </c>
      <c r="P61" s="48">
        <v>9053.8115546645276</v>
      </c>
    </row>
    <row r="62" spans="2:16" outlineLevel="1" x14ac:dyDescent="0.35">
      <c r="B62" s="41">
        <v>-0.1</v>
      </c>
      <c r="C62" s="46">
        <v>35622.444644236704</v>
      </c>
      <c r="D62" s="47">
        <v>31138.63678620421</v>
      </c>
      <c r="E62" s="48">
        <v>26654.828928171723</v>
      </c>
      <c r="F62" s="48">
        <v>22171.021070139228</v>
      </c>
      <c r="G62" s="48">
        <v>17687.213212106741</v>
      </c>
      <c r="H62" s="48">
        <v>13203.405354074263</v>
      </c>
      <c r="I62" s="48">
        <v>8719.5974960417861</v>
      </c>
      <c r="J62" s="48">
        <v>4235.7896380092861</v>
      </c>
      <c r="K62" s="48">
        <v>-248.01822002319432</v>
      </c>
      <c r="L62" s="48">
        <v>-4731.8260780556848</v>
      </c>
      <c r="M62" s="48">
        <v>-9215.6339360881611</v>
      </c>
      <c r="N62" s="48">
        <v>17687.213212106741</v>
      </c>
      <c r="O62" s="48">
        <v>17687.213212106741</v>
      </c>
      <c r="P62" s="48">
        <v>17687.213212106741</v>
      </c>
    </row>
    <row r="63" spans="2:16" outlineLevel="1" x14ac:dyDescent="0.35">
      <c r="B63" s="41">
        <v>0</v>
      </c>
      <c r="C63" s="46">
        <v>44255.84630167891</v>
      </c>
      <c r="D63" s="47">
        <v>39772.038443646423</v>
      </c>
      <c r="E63" s="48">
        <v>35288.230585613936</v>
      </c>
      <c r="F63" s="48">
        <v>30804.422727581448</v>
      </c>
      <c r="G63" s="48">
        <v>26320.614869548957</v>
      </c>
      <c r="H63" s="48">
        <v>21836.807011516481</v>
      </c>
      <c r="I63" s="48">
        <v>17352.999153484005</v>
      </c>
      <c r="J63" s="48">
        <v>12869.191295451508</v>
      </c>
      <c r="K63" s="48">
        <v>8385.3834374190228</v>
      </c>
      <c r="L63" s="48">
        <v>3901.5755793865351</v>
      </c>
      <c r="M63" s="48">
        <v>-582.23227864594264</v>
      </c>
      <c r="N63" s="48">
        <v>26320.614869548957</v>
      </c>
      <c r="O63" s="48">
        <v>26320.614869548957</v>
      </c>
      <c r="P63" s="48">
        <v>26320.614869548957</v>
      </c>
    </row>
    <row r="64" spans="2:16" outlineLevel="1" x14ac:dyDescent="0.35">
      <c r="B64" s="41">
        <v>0.1</v>
      </c>
      <c r="C64" s="46">
        <v>52889.247959121167</v>
      </c>
      <c r="D64" s="47">
        <v>48405.44010108868</v>
      </c>
      <c r="E64" s="48">
        <v>43921.632243056192</v>
      </c>
      <c r="F64" s="48">
        <v>39437.824385023705</v>
      </c>
      <c r="G64" s="48">
        <v>34954.01652699121</v>
      </c>
      <c r="H64" s="48">
        <v>30470.208668958734</v>
      </c>
      <c r="I64" s="48">
        <v>25986.400810926261</v>
      </c>
      <c r="J64" s="48">
        <v>21502.592952893756</v>
      </c>
      <c r="K64" s="48">
        <v>17018.785094861276</v>
      </c>
      <c r="L64" s="48">
        <v>12534.977236828789</v>
      </c>
      <c r="M64" s="48">
        <v>8051.1693787963104</v>
      </c>
      <c r="N64" s="48">
        <v>34954.01652699121</v>
      </c>
      <c r="O64" s="48">
        <v>34954.01652699121</v>
      </c>
      <c r="P64" s="48">
        <v>34954.01652699121</v>
      </c>
    </row>
    <row r="65" spans="2:16" outlineLevel="1" x14ac:dyDescent="0.35">
      <c r="B65" s="41">
        <v>0.2</v>
      </c>
      <c r="C65" s="46">
        <v>61522.649616563358</v>
      </c>
      <c r="D65" s="47">
        <v>57038.841758530871</v>
      </c>
      <c r="E65" s="48">
        <v>52555.033900498391</v>
      </c>
      <c r="F65" s="48">
        <v>48071.226042465896</v>
      </c>
      <c r="G65" s="48">
        <v>43587.418184433402</v>
      </c>
      <c r="H65" s="48">
        <v>39103.610326400922</v>
      </c>
      <c r="I65" s="48">
        <v>34619.802468368456</v>
      </c>
      <c r="J65" s="48">
        <v>30135.994610335951</v>
      </c>
      <c r="K65" s="48">
        <v>25652.186752303474</v>
      </c>
      <c r="L65" s="48">
        <v>21168.37889427098</v>
      </c>
      <c r="M65" s="48">
        <v>16684.571036238503</v>
      </c>
      <c r="N65" s="48">
        <v>43587.418184433402</v>
      </c>
      <c r="O65" s="48">
        <v>43587.418184433402</v>
      </c>
      <c r="P65" s="48">
        <v>43587.418184433402</v>
      </c>
    </row>
    <row r="66" spans="2:16" outlineLevel="1" x14ac:dyDescent="0.35">
      <c r="B66" s="41">
        <v>0.3</v>
      </c>
      <c r="C66" s="46">
        <v>70156.0512740056</v>
      </c>
      <c r="D66" s="47">
        <v>65672.24341597312</v>
      </c>
      <c r="E66" s="48">
        <v>61188.435557940626</v>
      </c>
      <c r="F66" s="48">
        <v>56704.627699908146</v>
      </c>
      <c r="G66" s="48">
        <v>52220.819841875644</v>
      </c>
      <c r="H66" s="48">
        <v>47737.011983843164</v>
      </c>
      <c r="I66" s="48">
        <v>43253.204125810698</v>
      </c>
      <c r="J66" s="48">
        <v>38769.396267778196</v>
      </c>
      <c r="K66" s="48">
        <v>34285.588409745702</v>
      </c>
      <c r="L66" s="48">
        <v>29801.780551713218</v>
      </c>
      <c r="M66" s="48">
        <v>25317.972693680749</v>
      </c>
      <c r="N66" s="48">
        <v>52220.819841875644</v>
      </c>
      <c r="O66" s="48">
        <v>52220.819841875644</v>
      </c>
      <c r="P66" s="48">
        <v>52220.819841875644</v>
      </c>
    </row>
    <row r="67" spans="2:16" outlineLevel="1" x14ac:dyDescent="0.35">
      <c r="B67" s="41">
        <v>0.4</v>
      </c>
      <c r="C67" s="46">
        <v>78789.452931447813</v>
      </c>
      <c r="D67" s="47">
        <v>74305.645073415333</v>
      </c>
      <c r="E67" s="48">
        <v>69821.837215382824</v>
      </c>
      <c r="F67" s="48">
        <v>65338.029357350359</v>
      </c>
      <c r="G67" s="48">
        <v>60854.221499317864</v>
      </c>
      <c r="H67" s="48">
        <v>56370.413641285377</v>
      </c>
      <c r="I67" s="48">
        <v>51886.605783252911</v>
      </c>
      <c r="J67" s="48">
        <v>47402.797925220417</v>
      </c>
      <c r="K67" s="48">
        <v>42918.99006718793</v>
      </c>
      <c r="L67" s="48">
        <v>38435.182209155435</v>
      </c>
      <c r="M67" s="48">
        <v>33951.374351122962</v>
      </c>
      <c r="N67" s="48">
        <v>60854.221499317864</v>
      </c>
      <c r="O67" s="48">
        <v>60854.221499317864</v>
      </c>
      <c r="P67" s="48">
        <v>60854.221499317864</v>
      </c>
    </row>
    <row r="68" spans="2:16" outlineLevel="1" x14ac:dyDescent="0.35">
      <c r="B68" s="41">
        <v>0.5</v>
      </c>
      <c r="C68" s="46">
        <v>87422.854588890026</v>
      </c>
      <c r="D68" s="47">
        <v>82939.046730857561</v>
      </c>
      <c r="E68" s="48">
        <v>78455.238872825066</v>
      </c>
      <c r="F68" s="48">
        <v>73971.431014792572</v>
      </c>
      <c r="G68" s="48">
        <v>69487.623156760092</v>
      </c>
      <c r="H68" s="48">
        <v>65003.815298727597</v>
      </c>
      <c r="I68" s="48">
        <v>60520.007440695132</v>
      </c>
      <c r="J68" s="48">
        <v>56036.19958266263</v>
      </c>
      <c r="K68" s="48">
        <v>51552.391724630157</v>
      </c>
      <c r="L68" s="48">
        <v>47068.583866597655</v>
      </c>
      <c r="M68" s="48">
        <v>42584.776008565175</v>
      </c>
      <c r="N68" s="48">
        <v>69487.623156760092</v>
      </c>
      <c r="O68" s="48">
        <v>69487.623156760092</v>
      </c>
      <c r="P68" s="48">
        <v>69487.623156760092</v>
      </c>
    </row>
    <row r="69" spans="2:16" outlineLevel="1" x14ac:dyDescent="0.35">
      <c r="B69" s="41"/>
      <c r="C69" s="46">
        <v>44255.84630167891</v>
      </c>
      <c r="D69" s="47">
        <v>39772.038443646423</v>
      </c>
      <c r="E69" s="48">
        <v>35288.230585613936</v>
      </c>
      <c r="F69" s="48">
        <v>30804.422727581448</v>
      </c>
      <c r="G69" s="48">
        <v>26320.614869548957</v>
      </c>
      <c r="H69" s="48">
        <v>21836.807011516481</v>
      </c>
      <c r="I69" s="48">
        <v>17352.999153484005</v>
      </c>
      <c r="J69" s="48">
        <v>12869.191295451508</v>
      </c>
      <c r="K69" s="48">
        <v>8385.3834374190228</v>
      </c>
      <c r="L69" s="48">
        <v>3901.5755793865351</v>
      </c>
      <c r="M69" s="48">
        <v>-582.23227864594264</v>
      </c>
      <c r="N69" s="48">
        <v>26320.614869548957</v>
      </c>
      <c r="O69" s="48">
        <v>26320.614869548957</v>
      </c>
      <c r="P69" s="48">
        <v>26320.614869548957</v>
      </c>
    </row>
    <row r="70" spans="2:16" outlineLevel="1" x14ac:dyDescent="0.35">
      <c r="B70" s="41"/>
      <c r="C70" s="46">
        <v>44255.84630167891</v>
      </c>
      <c r="D70" s="47">
        <v>39772.038443646423</v>
      </c>
      <c r="E70" s="48">
        <v>35288.230585613936</v>
      </c>
      <c r="F70" s="48">
        <v>30804.422727581448</v>
      </c>
      <c r="G70" s="48">
        <v>26320.614869548957</v>
      </c>
      <c r="H70" s="48">
        <v>21836.807011516481</v>
      </c>
      <c r="I70" s="48">
        <v>17352.999153484005</v>
      </c>
      <c r="J70" s="48">
        <v>12869.191295451508</v>
      </c>
      <c r="K70" s="48">
        <v>8385.3834374190228</v>
      </c>
      <c r="L70" s="48">
        <v>3901.5755793865351</v>
      </c>
      <c r="M70" s="48">
        <v>-582.23227864594264</v>
      </c>
      <c r="N70" s="48">
        <v>26320.614869548957</v>
      </c>
      <c r="O70" s="48">
        <v>26320.614869548957</v>
      </c>
      <c r="P70" s="48">
        <v>26320.614869548957</v>
      </c>
    </row>
    <row r="71" spans="2:16" outlineLevel="1" x14ac:dyDescent="0.35">
      <c r="B71" s="41"/>
      <c r="C71" s="48">
        <v>44255.84630167891</v>
      </c>
      <c r="D71" s="48">
        <v>39772.038443646423</v>
      </c>
      <c r="E71" s="48">
        <v>35288.230585613936</v>
      </c>
      <c r="F71" s="48">
        <v>30804.422727581448</v>
      </c>
      <c r="G71" s="48">
        <v>26320.614869548957</v>
      </c>
      <c r="H71" s="48">
        <v>21836.807011516481</v>
      </c>
      <c r="I71" s="48">
        <v>17352.999153484005</v>
      </c>
      <c r="J71" s="48">
        <v>12869.191295451508</v>
      </c>
      <c r="K71" s="48">
        <v>8385.3834374190228</v>
      </c>
      <c r="L71" s="48">
        <v>3901.5755793865351</v>
      </c>
      <c r="M71" s="48">
        <v>-582.23227864594264</v>
      </c>
      <c r="N71" s="48">
        <v>26320.614869548957</v>
      </c>
      <c r="O71" s="48">
        <v>26320.614869548957</v>
      </c>
      <c r="P71" s="48">
        <v>26320.614869548957</v>
      </c>
    </row>
    <row r="72" spans="2:16" outlineLevel="1" x14ac:dyDescent="0.35">
      <c r="B72" s="41"/>
      <c r="C72" s="48">
        <v>44255.84630167891</v>
      </c>
      <c r="D72" s="48">
        <v>39772.038443646423</v>
      </c>
      <c r="E72" s="48">
        <v>35288.230585613936</v>
      </c>
      <c r="F72" s="48">
        <v>30804.422727581448</v>
      </c>
      <c r="G72" s="48">
        <v>26320.614869548957</v>
      </c>
      <c r="H72" s="48">
        <v>21836.807011516481</v>
      </c>
      <c r="I72" s="48">
        <v>17352.999153484005</v>
      </c>
      <c r="J72" s="48">
        <v>12869.191295451508</v>
      </c>
      <c r="K72" s="48">
        <v>8385.3834374190228</v>
      </c>
      <c r="L72" s="48">
        <v>3901.5755793865351</v>
      </c>
      <c r="M72" s="48">
        <v>-582.23227864594264</v>
      </c>
      <c r="N72" s="48">
        <v>26320.614869548957</v>
      </c>
      <c r="O72" s="48">
        <v>26320.614869548957</v>
      </c>
      <c r="P72" s="48">
        <v>26320.614869548957</v>
      </c>
    </row>
    <row r="73" spans="2:16" outlineLevel="1" x14ac:dyDescent="0.35">
      <c r="B73" s="41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</row>
    <row r="74" spans="2:16" outlineLevel="1" x14ac:dyDescent="0.35">
      <c r="B74" s="41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</row>
    <row r="75" spans="2:16" outlineLevel="1" x14ac:dyDescent="0.35">
      <c r="B75" s="33">
        <f ca="1">Output!B46</f>
        <v>7.1982555247800839E-2</v>
      </c>
      <c r="C75" s="19">
        <v>-0.2</v>
      </c>
      <c r="D75" s="19">
        <v>-0.15</v>
      </c>
      <c r="E75" s="19">
        <v>-0.1</v>
      </c>
      <c r="F75" s="19">
        <v>-0.05</v>
      </c>
      <c r="G75" s="19">
        <v>0</v>
      </c>
      <c r="H75" s="19">
        <v>0.05</v>
      </c>
      <c r="I75" s="19">
        <v>0.1</v>
      </c>
      <c r="J75" s="19">
        <v>0.15</v>
      </c>
      <c r="K75" s="19">
        <v>0.2</v>
      </c>
      <c r="L75" s="19">
        <v>0.25</v>
      </c>
      <c r="M75" s="19">
        <v>0.3</v>
      </c>
      <c r="N75" s="19">
        <v>0.35</v>
      </c>
      <c r="O75" s="19">
        <v>0.4</v>
      </c>
      <c r="P75" s="48"/>
    </row>
    <row r="76" spans="2:16" outlineLevel="1" x14ac:dyDescent="0.35">
      <c r="B76" s="19">
        <v>-0.3</v>
      </c>
      <c r="C76" s="1" t="e">
        <f t="dataTable" ref="C76:O89" dt2D="1" dtr="1" r1="C31" r2="C32" ca="1"/>
        <v>#NUM!</v>
      </c>
      <c r="D76" s="1" t="e">
        <v>#NUM!</v>
      </c>
      <c r="E76" s="1" t="e">
        <v>#NUM!</v>
      </c>
      <c r="F76" s="1" t="e">
        <v>#NUM!</v>
      </c>
      <c r="G76" s="1" t="e">
        <v>#NUM!</v>
      </c>
      <c r="H76" s="1" t="e">
        <v>#NUM!</v>
      </c>
      <c r="I76" s="1" t="e">
        <v>#NUM!</v>
      </c>
      <c r="J76" s="1" t="e">
        <v>#NUM!</v>
      </c>
      <c r="K76" s="1" t="e">
        <v>#NUM!</v>
      </c>
      <c r="L76" s="1" t="e">
        <v>#NUM!</v>
      </c>
      <c r="M76" s="1" t="e">
        <v>#NUM!</v>
      </c>
      <c r="N76" s="1" t="e">
        <v>#NUM!</v>
      </c>
      <c r="O76" s="1" t="e">
        <v>#NUM!</v>
      </c>
      <c r="P76" s="48"/>
    </row>
    <row r="77" spans="2:16" outlineLevel="1" x14ac:dyDescent="0.35">
      <c r="B77" s="19">
        <v>-0.25</v>
      </c>
      <c r="C77" s="1" t="e">
        <v>#NUM!</v>
      </c>
      <c r="D77" s="1" t="e">
        <v>#NUM!</v>
      </c>
      <c r="E77" s="1" t="e">
        <v>#NUM!</v>
      </c>
      <c r="F77" s="1" t="e">
        <v>#NUM!</v>
      </c>
      <c r="G77" s="1" t="e">
        <v>#NUM!</v>
      </c>
      <c r="H77" s="1" t="e">
        <v>#NUM!</v>
      </c>
      <c r="I77" s="1" t="e">
        <v>#NUM!</v>
      </c>
      <c r="J77" s="1" t="e">
        <v>#NUM!</v>
      </c>
      <c r="K77" s="1" t="e">
        <v>#NUM!</v>
      </c>
      <c r="L77" s="1" t="e">
        <v>#NUM!</v>
      </c>
      <c r="M77" s="1" t="e">
        <v>#NUM!</v>
      </c>
      <c r="N77" s="1" t="e">
        <v>#NUM!</v>
      </c>
      <c r="O77" s="1" t="e">
        <v>#NUM!</v>
      </c>
      <c r="P77" s="48"/>
    </row>
    <row r="78" spans="2:16" outlineLevel="1" x14ac:dyDescent="0.35">
      <c r="B78" s="19">
        <v>-0.2</v>
      </c>
      <c r="C78" s="1" t="e">
        <v>#NUM!</v>
      </c>
      <c r="D78" s="1" t="e">
        <v>#NUM!</v>
      </c>
      <c r="E78" s="1" t="e">
        <v>#NUM!</v>
      </c>
      <c r="F78" s="1" t="e">
        <v>#NUM!</v>
      </c>
      <c r="G78" s="1" t="e">
        <v>#NUM!</v>
      </c>
      <c r="H78" s="1" t="e">
        <v>#NUM!</v>
      </c>
      <c r="I78" s="1" t="e">
        <v>#NUM!</v>
      </c>
      <c r="J78" s="1" t="e">
        <v>#NUM!</v>
      </c>
      <c r="K78" s="1" t="e">
        <v>#NUM!</v>
      </c>
      <c r="L78" s="1" t="e">
        <v>#NUM!</v>
      </c>
      <c r="M78" s="1" t="e">
        <v>#NUM!</v>
      </c>
      <c r="N78" s="1" t="e">
        <v>#NUM!</v>
      </c>
      <c r="O78" s="1" t="e">
        <v>#NUM!</v>
      </c>
      <c r="P78" s="48"/>
    </row>
    <row r="79" spans="2:16" outlineLevel="1" x14ac:dyDescent="0.35">
      <c r="B79" s="19">
        <v>-0.15</v>
      </c>
      <c r="C79" s="1" t="e">
        <v>#NUM!</v>
      </c>
      <c r="D79" s="1" t="e">
        <v>#NUM!</v>
      </c>
      <c r="E79" s="1" t="e">
        <v>#NUM!</v>
      </c>
      <c r="F79" s="1" t="e">
        <v>#NUM!</v>
      </c>
      <c r="G79" s="1" t="e">
        <v>#NUM!</v>
      </c>
      <c r="H79" s="1" t="e">
        <v>#NUM!</v>
      </c>
      <c r="I79" s="1" t="e">
        <v>#NUM!</v>
      </c>
      <c r="J79" s="1" t="e">
        <v>#NUM!</v>
      </c>
      <c r="K79" s="1" t="e">
        <v>#NUM!</v>
      </c>
      <c r="L79" s="1" t="e">
        <v>#NUM!</v>
      </c>
      <c r="M79" s="1" t="e">
        <v>#NUM!</v>
      </c>
      <c r="N79" s="1" t="e">
        <v>#NUM!</v>
      </c>
      <c r="O79" s="1" t="e">
        <v>#NUM!</v>
      </c>
      <c r="P79" s="48"/>
    </row>
    <row r="80" spans="2:16" outlineLevel="1" x14ac:dyDescent="0.35">
      <c r="B80" s="19">
        <v>-0.1</v>
      </c>
      <c r="C80" s="1" t="e">
        <v>#NUM!</v>
      </c>
      <c r="D80" s="1" t="e">
        <v>#NUM!</v>
      </c>
      <c r="E80" s="1" t="e">
        <v>#NUM!</v>
      </c>
      <c r="F80" s="1" t="e">
        <v>#NUM!</v>
      </c>
      <c r="G80" s="1" t="e">
        <v>#NUM!</v>
      </c>
      <c r="H80" s="1" t="e">
        <v>#NUM!</v>
      </c>
      <c r="I80" s="1" t="e">
        <v>#NUM!</v>
      </c>
      <c r="J80" s="1" t="e">
        <v>#NUM!</v>
      </c>
      <c r="K80" s="1" t="e">
        <v>#NUM!</v>
      </c>
      <c r="L80" s="1" t="e">
        <v>#NUM!</v>
      </c>
      <c r="M80" s="1" t="e">
        <v>#NUM!</v>
      </c>
      <c r="N80" s="1" t="e">
        <v>#NUM!</v>
      </c>
      <c r="O80" s="1" t="e">
        <v>#NUM!</v>
      </c>
      <c r="P80" s="48"/>
    </row>
    <row r="81" spans="2:16" outlineLevel="1" x14ac:dyDescent="0.35">
      <c r="B81" s="19">
        <v>-0.05</v>
      </c>
      <c r="C81" s="1" t="e">
        <v>#NUM!</v>
      </c>
      <c r="D81" s="1" t="e">
        <v>#NUM!</v>
      </c>
      <c r="E81" s="1" t="e">
        <v>#NUM!</v>
      </c>
      <c r="F81" s="1" t="e">
        <v>#NUM!</v>
      </c>
      <c r="G81" s="1" t="e">
        <v>#NUM!</v>
      </c>
      <c r="H81" s="1" t="e">
        <v>#NUM!</v>
      </c>
      <c r="I81" s="1" t="e">
        <v>#NUM!</v>
      </c>
      <c r="J81" s="1" t="e">
        <v>#NUM!</v>
      </c>
      <c r="K81" s="1" t="e">
        <v>#NUM!</v>
      </c>
      <c r="L81" s="1" t="e">
        <v>#NUM!</v>
      </c>
      <c r="M81" s="1" t="e">
        <v>#NUM!</v>
      </c>
      <c r="N81" s="1" t="e">
        <v>#NUM!</v>
      </c>
      <c r="O81" s="1" t="e">
        <v>#NUM!</v>
      </c>
      <c r="P81" s="48"/>
    </row>
    <row r="82" spans="2:16" outlineLevel="1" x14ac:dyDescent="0.35">
      <c r="B82" s="19">
        <v>0</v>
      </c>
      <c r="C82" s="1">
        <v>-5.4753379218770659E-2</v>
      </c>
      <c r="D82" s="1" t="e">
        <v>#NUM!</v>
      </c>
      <c r="E82" s="1" t="e">
        <v>#NUM!</v>
      </c>
      <c r="F82" s="1" t="e">
        <v>#NUM!</v>
      </c>
      <c r="G82" s="1" t="e">
        <v>#NUM!</v>
      </c>
      <c r="H82" s="1" t="e">
        <v>#NUM!</v>
      </c>
      <c r="I82" s="1" t="e">
        <v>#NUM!</v>
      </c>
      <c r="J82" s="1" t="e">
        <v>#NUM!</v>
      </c>
      <c r="K82" s="1" t="e">
        <v>#NUM!</v>
      </c>
      <c r="L82" s="1" t="e">
        <v>#NUM!</v>
      </c>
      <c r="M82" s="1" t="e">
        <v>#NUM!</v>
      </c>
      <c r="N82" s="1" t="e">
        <v>#NUM!</v>
      </c>
      <c r="O82" s="1" t="e">
        <v>#NUM!</v>
      </c>
      <c r="P82" s="48"/>
    </row>
    <row r="83" spans="2:16" outlineLevel="1" x14ac:dyDescent="0.35">
      <c r="B83" s="19">
        <v>0.05</v>
      </c>
      <c r="C83" s="1">
        <v>0.21398187109243016</v>
      </c>
      <c r="D83" s="1">
        <v>0.15938107726043893</v>
      </c>
      <c r="E83" s="1">
        <v>1.7874472627402493E-2</v>
      </c>
      <c r="F83" s="1" t="e">
        <v>#NUM!</v>
      </c>
      <c r="G83" s="1" t="e">
        <v>#NUM!</v>
      </c>
      <c r="H83" s="1" t="e">
        <v>#NUM!</v>
      </c>
      <c r="I83" s="1" t="e">
        <v>#NUM!</v>
      </c>
      <c r="J83" s="1" t="e">
        <v>#NUM!</v>
      </c>
      <c r="K83" s="1" t="e">
        <v>#NUM!</v>
      </c>
      <c r="L83" s="1" t="e">
        <v>#NUM!</v>
      </c>
      <c r="M83" s="1" t="e">
        <v>#NUM!</v>
      </c>
      <c r="N83" s="1" t="e">
        <v>#NUM!</v>
      </c>
      <c r="O83" s="1" t="e">
        <v>#NUM!</v>
      </c>
      <c r="P83" s="48"/>
    </row>
    <row r="84" spans="2:16" outlineLevel="1" x14ac:dyDescent="0.35">
      <c r="B84" s="19">
        <v>0.1</v>
      </c>
      <c r="C84" s="1">
        <v>0.30891590380469491</v>
      </c>
      <c r="D84" s="1">
        <v>0.28417627577108573</v>
      </c>
      <c r="E84" s="1">
        <v>0.24576816545022262</v>
      </c>
      <c r="F84" s="1">
        <v>0.17558969232968824</v>
      </c>
      <c r="G84" s="1">
        <v>-0.17097262654626233</v>
      </c>
      <c r="H84" s="1" t="e">
        <v>#NUM!</v>
      </c>
      <c r="I84" s="1" t="e">
        <v>#NUM!</v>
      </c>
      <c r="J84" s="1" t="e">
        <v>#NUM!</v>
      </c>
      <c r="K84" s="1" t="e">
        <v>#NUM!</v>
      </c>
      <c r="L84" s="1" t="e">
        <v>#NUM!</v>
      </c>
      <c r="M84" s="1" t="e">
        <v>#NUM!</v>
      </c>
      <c r="N84" s="1" t="e">
        <v>#NUM!</v>
      </c>
      <c r="O84" s="1" t="e">
        <v>#NUM!</v>
      </c>
      <c r="P84" s="48"/>
    </row>
    <row r="85" spans="2:16" outlineLevel="1" x14ac:dyDescent="0.35">
      <c r="B85" s="19">
        <v>0.15</v>
      </c>
      <c r="C85" s="1">
        <v>0.37558621677526927</v>
      </c>
      <c r="D85" s="1">
        <v>0.36030429532095321</v>
      </c>
      <c r="E85" s="1">
        <v>0.33881123799168611</v>
      </c>
      <c r="F85" s="1">
        <v>0.30693980085993244</v>
      </c>
      <c r="G85" s="1">
        <v>0.25446885108143191</v>
      </c>
      <c r="H85" s="1">
        <v>0.13828085108744537</v>
      </c>
      <c r="I85" s="1" t="e">
        <v>#NUM!</v>
      </c>
      <c r="J85" s="1" t="e">
        <v>#NUM!</v>
      </c>
      <c r="K85" s="1" t="e">
        <v>#NUM!</v>
      </c>
      <c r="L85" s="1" t="e">
        <v>#NUM!</v>
      </c>
      <c r="M85" s="1" t="e">
        <v>#NUM!</v>
      </c>
      <c r="N85" s="1" t="e">
        <v>#NUM!</v>
      </c>
      <c r="O85" s="1" t="e">
        <v>#NUM!</v>
      </c>
      <c r="P85" s="48"/>
    </row>
    <row r="86" spans="2:16" outlineLevel="1" x14ac:dyDescent="0.35">
      <c r="B86" s="19">
        <v>0.2</v>
      </c>
      <c r="C86" s="1">
        <v>0.42995717295475955</v>
      </c>
      <c r="D86" s="1">
        <v>0.41935243367190234</v>
      </c>
      <c r="E86" s="1">
        <v>0.40505899410311219</v>
      </c>
      <c r="F86" s="1">
        <v>0.38529362073553397</v>
      </c>
      <c r="G86" s="1">
        <v>0.35677389357446421</v>
      </c>
      <c r="H86" s="1">
        <v>0.31222609574486482</v>
      </c>
      <c r="I86" s="1">
        <v>0.22825970511737426</v>
      </c>
      <c r="J86" s="1" t="e">
        <v>#NUM!</v>
      </c>
      <c r="K86" s="1" t="e">
        <v>#NUM!</v>
      </c>
      <c r="L86" s="1" t="e">
        <v>#NUM!</v>
      </c>
      <c r="M86" s="1" t="e">
        <v>#NUM!</v>
      </c>
      <c r="N86" s="1" t="e">
        <v>#NUM!</v>
      </c>
      <c r="O86" s="1" t="e">
        <v>#NUM!</v>
      </c>
      <c r="P86" s="48"/>
    </row>
    <row r="87" spans="2:16" outlineLevel="1" x14ac:dyDescent="0.35">
      <c r="B87" s="19">
        <v>0.25</v>
      </c>
      <c r="C87" s="1">
        <v>0.47745256375751777</v>
      </c>
      <c r="D87" s="1">
        <v>0.4696242339537342</v>
      </c>
      <c r="E87" s="1">
        <v>0.45931652825620106</v>
      </c>
      <c r="F87" s="1">
        <v>0.44554930016042538</v>
      </c>
      <c r="G87" s="1">
        <v>0.42675091597691295</v>
      </c>
      <c r="H87" s="1">
        <v>0.40013260330355638</v>
      </c>
      <c r="I87" s="1">
        <v>0.35988803492562638</v>
      </c>
      <c r="J87" s="1">
        <v>0.28976052881566994</v>
      </c>
      <c r="K87" s="1">
        <v>7.1982555247800839E-2</v>
      </c>
      <c r="L87" s="1" t="e">
        <v>#NUM!</v>
      </c>
      <c r="M87" s="1" t="e">
        <v>#NUM!</v>
      </c>
      <c r="N87" s="1" t="e">
        <v>#NUM!</v>
      </c>
      <c r="O87" s="1" t="e">
        <v>#NUM!</v>
      </c>
      <c r="P87" s="48"/>
    </row>
    <row r="88" spans="2:16" outlineLevel="1" x14ac:dyDescent="0.35">
      <c r="B88" s="19">
        <v>0.3</v>
      </c>
      <c r="C88" s="1">
        <v>0.52057946946232159</v>
      </c>
      <c r="D88" s="1">
        <v>0.51457349743974112</v>
      </c>
      <c r="E88" s="1">
        <v>0.50677924851220513</v>
      </c>
      <c r="F88" s="1">
        <v>0.49657989269517233</v>
      </c>
      <c r="G88" s="1">
        <v>0.4830646173951032</v>
      </c>
      <c r="H88" s="1">
        <v>0.46479843202867133</v>
      </c>
      <c r="I88" s="1">
        <v>0.43929947487534537</v>
      </c>
      <c r="J88" s="1">
        <v>0.40161291449001202</v>
      </c>
      <c r="K88" s="1">
        <v>0.33899729696858905</v>
      </c>
      <c r="L88" s="1">
        <v>0.1888176938781716</v>
      </c>
      <c r="M88" s="1" t="e">
        <v>#NUM!</v>
      </c>
      <c r="N88" s="1" t="e">
        <v>#NUM!</v>
      </c>
      <c r="O88" s="1" t="e">
        <v>#NUM!</v>
      </c>
      <c r="P88" s="48"/>
    </row>
    <row r="89" spans="2:16" outlineLevel="1" x14ac:dyDescent="0.35">
      <c r="B89" s="19">
        <v>0.35</v>
      </c>
      <c r="C89" s="1">
        <v>0.56069937582781404</v>
      </c>
      <c r="D89" s="1">
        <v>0.55596782976848869</v>
      </c>
      <c r="E89" s="1">
        <v>0.54988687670955949</v>
      </c>
      <c r="F89" s="1">
        <v>0.5420343604803266</v>
      </c>
      <c r="G89" s="1">
        <v>0.53182014825357893</v>
      </c>
      <c r="H89" s="1">
        <v>0.51838150140113148</v>
      </c>
      <c r="I89" s="1">
        <v>0.50037684395632476</v>
      </c>
      <c r="J89" s="1">
        <v>0.47552906598247735</v>
      </c>
      <c r="K89" s="1">
        <v>0.43942663554254757</v>
      </c>
      <c r="L89" s="1">
        <v>0.38135968606204718</v>
      </c>
      <c r="M89" s="1">
        <v>0.25770264975702828</v>
      </c>
      <c r="N89" s="1" t="e">
        <v>#NUM!</v>
      </c>
      <c r="O89" s="1" t="e">
        <v>#NUM!</v>
      </c>
      <c r="P89" s="48"/>
    </row>
    <row r="90" spans="2:16" outlineLevel="1" x14ac:dyDescent="0.35">
      <c r="P90" s="48"/>
    </row>
    <row r="91" spans="2:16" outlineLevel="1" x14ac:dyDescent="0.35">
      <c r="P91" s="48"/>
    </row>
    <row r="92" spans="2:16" outlineLevel="1" x14ac:dyDescent="0.35">
      <c r="P92" s="48"/>
    </row>
    <row r="93" spans="2:16" outlineLevel="1" x14ac:dyDescent="0.35">
      <c r="P93" s="48"/>
    </row>
    <row r="94" spans="2:16" outlineLevel="1" x14ac:dyDescent="0.35">
      <c r="B94" s="1">
        <f ca="1">Output!N42/10^6</f>
        <v>1993.8857089930486</v>
      </c>
      <c r="C94" s="19">
        <v>-0.2</v>
      </c>
      <c r="D94" s="19">
        <v>-0.15</v>
      </c>
      <c r="E94" s="19">
        <v>-0.1</v>
      </c>
      <c r="F94" s="19">
        <v>-0.05</v>
      </c>
      <c r="G94" s="19">
        <v>0</v>
      </c>
      <c r="H94" s="19">
        <v>0.05</v>
      </c>
      <c r="I94" s="19">
        <v>0.1</v>
      </c>
      <c r="J94" s="19">
        <v>0.15</v>
      </c>
      <c r="K94" s="19">
        <v>0.2</v>
      </c>
      <c r="L94" s="19">
        <v>0.25</v>
      </c>
      <c r="M94" s="19">
        <v>0.3</v>
      </c>
      <c r="N94" s="19">
        <v>0.35</v>
      </c>
      <c r="O94" s="19">
        <v>0.4</v>
      </c>
      <c r="P94" s="48"/>
    </row>
    <row r="95" spans="2:16" outlineLevel="1" x14ac:dyDescent="0.35">
      <c r="B95" s="19">
        <v>-0.3</v>
      </c>
      <c r="C95" s="48">
        <f t="dataTable" ref="C95:O108" dt2D="1" dtr="1" r1="C31" r2="C32" ca="1"/>
        <v>-18629.466533296749</v>
      </c>
      <c r="D95" s="48">
        <v>-21180.887289947175</v>
      </c>
      <c r="E95" s="48">
        <v>-24359.041500614243</v>
      </c>
      <c r="F95" s="48">
        <v>-28300.449344785597</v>
      </c>
      <c r="G95" s="48">
        <v>-33164.132877727927</v>
      </c>
      <c r="H95" s="48">
        <v>-39134.029086869843</v>
      </c>
      <c r="I95" s="48">
        <v>-46421.52764825974</v>
      </c>
      <c r="J95" s="48">
        <v>-55268.13338309915</v>
      </c>
      <c r="K95" s="48">
        <v>-65948.253414351057</v>
      </c>
      <c r="L95" s="48">
        <v>-78772.109023423633</v>
      </c>
      <c r="M95" s="48">
        <v>-94088.772206928959</v>
      </c>
      <c r="N95" s="48">
        <v>-112289.32693351731</v>
      </c>
      <c r="O95" s="48">
        <v>-133810.15510078624</v>
      </c>
      <c r="P95" s="48"/>
    </row>
    <row r="96" spans="2:16" outlineLevel="1" x14ac:dyDescent="0.35">
      <c r="B96" s="19">
        <v>-0.25</v>
      </c>
      <c r="C96" s="48">
        <v>-16933.107617264661</v>
      </c>
      <c r="D96" s="48">
        <v>-19484.528373915084</v>
      </c>
      <c r="E96" s="48">
        <v>-22662.682584582162</v>
      </c>
      <c r="F96" s="48">
        <v>-26604.090428753509</v>
      </c>
      <c r="G96" s="48">
        <v>-31467.773961695846</v>
      </c>
      <c r="H96" s="48">
        <v>-37437.670170837759</v>
      </c>
      <c r="I96" s="48">
        <v>-44725.16873222767</v>
      </c>
      <c r="J96" s="48">
        <v>-53571.774467067065</v>
      </c>
      <c r="K96" s="48">
        <v>-64251.894498318972</v>
      </c>
      <c r="L96" s="48">
        <v>-77075.750107391534</v>
      </c>
      <c r="M96" s="48">
        <v>-92392.41329089686</v>
      </c>
      <c r="N96" s="48">
        <v>-110592.9680174852</v>
      </c>
      <c r="O96" s="48">
        <v>-132113.79618475414</v>
      </c>
      <c r="P96" s="48"/>
    </row>
    <row r="97" spans="2:16" outlineLevel="1" x14ac:dyDescent="0.35">
      <c r="B97" s="19">
        <v>-0.2</v>
      </c>
      <c r="C97" s="48">
        <v>-14797.485239481846</v>
      </c>
      <c r="D97" s="48">
        <v>-17348.905996132271</v>
      </c>
      <c r="E97" s="48">
        <v>-20527.060206799346</v>
      </c>
      <c r="F97" s="48">
        <v>-24468.468050970692</v>
      </c>
      <c r="G97" s="48">
        <v>-29332.15158391303</v>
      </c>
      <c r="H97" s="48">
        <v>-35302.047793054946</v>
      </c>
      <c r="I97" s="48">
        <v>-42589.54635444485</v>
      </c>
      <c r="J97" s="48">
        <v>-51436.152089284253</v>
      </c>
      <c r="K97" s="48">
        <v>-62116.272120536167</v>
      </c>
      <c r="L97" s="48">
        <v>-74940.127729608721</v>
      </c>
      <c r="M97" s="48">
        <v>-90256.790913114048</v>
      </c>
      <c r="N97" s="48">
        <v>-108457.34563970238</v>
      </c>
      <c r="O97" s="48">
        <v>-129978.17380697135</v>
      </c>
      <c r="P97" s="48"/>
    </row>
    <row r="98" spans="2:16" outlineLevel="1" x14ac:dyDescent="0.35">
      <c r="B98" s="19">
        <v>-0.15</v>
      </c>
      <c r="C98" s="48">
        <v>-12116.57726303492</v>
      </c>
      <c r="D98" s="48">
        <v>-14667.998019685345</v>
      </c>
      <c r="E98" s="48">
        <v>-17846.152230352418</v>
      </c>
      <c r="F98" s="48">
        <v>-21787.560074523764</v>
      </c>
      <c r="G98" s="48">
        <v>-26651.243607466098</v>
      </c>
      <c r="H98" s="48">
        <v>-32621.139816608022</v>
      </c>
      <c r="I98" s="48">
        <v>-39908.638377997922</v>
      </c>
      <c r="J98" s="48">
        <v>-48755.244112837325</v>
      </c>
      <c r="K98" s="48">
        <v>-59435.364144089217</v>
      </c>
      <c r="L98" s="48">
        <v>-72259.219753161786</v>
      </c>
      <c r="M98" s="48">
        <v>-87575.882936667113</v>
      </c>
      <c r="N98" s="48">
        <v>-105776.43766325546</v>
      </c>
      <c r="O98" s="48">
        <v>-127297.26583052441</v>
      </c>
      <c r="P98" s="48"/>
    </row>
    <row r="99" spans="2:16" outlineLevel="1" x14ac:dyDescent="0.35">
      <c r="B99" s="19">
        <v>-0.1</v>
      </c>
      <c r="C99" s="48">
        <v>-8764.7498694166316</v>
      </c>
      <c r="D99" s="48">
        <v>-11316.170626067054</v>
      </c>
      <c r="E99" s="48">
        <v>-14494.324836734128</v>
      </c>
      <c r="F99" s="48">
        <v>-18435.732680905479</v>
      </c>
      <c r="G99" s="48">
        <v>-23299.416213847813</v>
      </c>
      <c r="H99" s="48">
        <v>-29269.312422989726</v>
      </c>
      <c r="I99" s="48">
        <v>-36556.810984379641</v>
      </c>
      <c r="J99" s="48">
        <v>-45403.416719219043</v>
      </c>
      <c r="K99" s="48">
        <v>-56083.53675047095</v>
      </c>
      <c r="L99" s="48">
        <v>-68907.392359543504</v>
      </c>
      <c r="M99" s="48">
        <v>-84224.055543048831</v>
      </c>
      <c r="N99" s="48">
        <v>-102424.61026963718</v>
      </c>
      <c r="O99" s="48">
        <v>-123945.43843690613</v>
      </c>
      <c r="P99" s="48"/>
    </row>
    <row r="100" spans="2:16" outlineLevel="1" x14ac:dyDescent="0.35">
      <c r="B100" s="19">
        <v>-0.05</v>
      </c>
      <c r="C100" s="48">
        <v>-4594.3904404802979</v>
      </c>
      <c r="D100" s="48">
        <v>-7145.8111971307189</v>
      </c>
      <c r="E100" s="48">
        <v>-10323.965407797794</v>
      </c>
      <c r="F100" s="48">
        <v>-14265.373251969142</v>
      </c>
      <c r="G100" s="48">
        <v>-19129.056784911485</v>
      </c>
      <c r="H100" s="48">
        <v>-25098.952994053398</v>
      </c>
      <c r="I100" s="48">
        <v>-32386.451555443295</v>
      </c>
      <c r="J100" s="48">
        <v>-41233.057290282704</v>
      </c>
      <c r="K100" s="48">
        <v>-51913.177321534589</v>
      </c>
      <c r="L100" s="48">
        <v>-64737.03293060718</v>
      </c>
      <c r="M100" s="48">
        <v>-80053.696114112507</v>
      </c>
      <c r="N100" s="48">
        <v>-98254.250840700843</v>
      </c>
      <c r="O100" s="48">
        <v>-119775.07900796979</v>
      </c>
      <c r="P100" s="48"/>
    </row>
    <row r="101" spans="2:16" outlineLevel="1" x14ac:dyDescent="0.35">
      <c r="B101" s="19">
        <v>0</v>
      </c>
      <c r="C101" s="48">
        <v>566.59718860353939</v>
      </c>
      <c r="D101" s="48">
        <v>-1984.8235680468831</v>
      </c>
      <c r="E101" s="48">
        <v>-5162.9777787139565</v>
      </c>
      <c r="F101" s="48">
        <v>-9104.3856228853074</v>
      </c>
      <c r="G101" s="48">
        <v>-13968.069155827647</v>
      </c>
      <c r="H101" s="48">
        <v>-19937.965364969557</v>
      </c>
      <c r="I101" s="48">
        <v>-27225.463926359458</v>
      </c>
      <c r="J101" s="48">
        <v>-36072.069661198861</v>
      </c>
      <c r="K101" s="48">
        <v>-46752.189692450767</v>
      </c>
      <c r="L101" s="48">
        <v>-59576.045301523329</v>
      </c>
      <c r="M101" s="48">
        <v>-74892.708485028663</v>
      </c>
      <c r="N101" s="48">
        <v>-93093.263211616999</v>
      </c>
      <c r="O101" s="48">
        <v>-114614.09137888596</v>
      </c>
      <c r="P101" s="48"/>
    </row>
    <row r="102" spans="2:16" outlineLevel="1" x14ac:dyDescent="0.35">
      <c r="B102" s="19">
        <v>0.05</v>
      </c>
      <c r="C102" s="48">
        <v>6917.4351053881755</v>
      </c>
      <c r="D102" s="48">
        <v>4366.0143487377527</v>
      </c>
      <c r="E102" s="48">
        <v>1187.8601380706791</v>
      </c>
      <c r="F102" s="48">
        <v>-2753.5477061006709</v>
      </c>
      <c r="G102" s="48">
        <v>-7617.2312390430088</v>
      </c>
      <c r="H102" s="48">
        <v>-13587.127448184923</v>
      </c>
      <c r="I102" s="48">
        <v>-20874.626009574826</v>
      </c>
      <c r="J102" s="48">
        <v>-29721.231744414228</v>
      </c>
      <c r="K102" s="48">
        <v>-40401.351775666139</v>
      </c>
      <c r="L102" s="48">
        <v>-53225.2073847387</v>
      </c>
      <c r="M102" s="48">
        <v>-68541.87056824402</v>
      </c>
      <c r="N102" s="48">
        <v>-86742.425294832385</v>
      </c>
      <c r="O102" s="48">
        <v>-108263.25346210132</v>
      </c>
      <c r="P102" s="48"/>
    </row>
    <row r="103" spans="2:16" outlineLevel="1" x14ac:dyDescent="0.35">
      <c r="B103" s="19">
        <v>0.1</v>
      </c>
      <c r="C103" s="48">
        <v>14687.251325189593</v>
      </c>
      <c r="D103" s="48">
        <v>12135.83056853917</v>
      </c>
      <c r="E103" s="48">
        <v>8957.6763578720966</v>
      </c>
      <c r="F103" s="48">
        <v>5016.2685137007466</v>
      </c>
      <c r="G103" s="48">
        <v>152.58498075840973</v>
      </c>
      <c r="H103" s="48">
        <v>-5817.3112283835053</v>
      </c>
      <c r="I103" s="48">
        <v>-13104.80978977341</v>
      </c>
      <c r="J103" s="48">
        <v>-21951.415524612807</v>
      </c>
      <c r="K103" s="48">
        <v>-32631.535555864713</v>
      </c>
      <c r="L103" s="48">
        <v>-45455.391164937282</v>
      </c>
      <c r="M103" s="48">
        <v>-60772.054348442602</v>
      </c>
      <c r="N103" s="48">
        <v>-78972.609075030967</v>
      </c>
      <c r="O103" s="48">
        <v>-100493.4372422999</v>
      </c>
      <c r="P103" s="48"/>
    </row>
    <row r="104" spans="2:16" outlineLevel="1" x14ac:dyDescent="0.35">
      <c r="B104" s="19">
        <v>0.15</v>
      </c>
      <c r="C104" s="48">
        <v>24137.997425123067</v>
      </c>
      <c r="D104" s="48">
        <v>21586.57666847264</v>
      </c>
      <c r="E104" s="48">
        <v>18408.422457805566</v>
      </c>
      <c r="F104" s="48">
        <v>14467.014613634215</v>
      </c>
      <c r="G104" s="48">
        <v>9603.3310806918798</v>
      </c>
      <c r="H104" s="48">
        <v>3633.434871549965</v>
      </c>
      <c r="I104" s="48">
        <v>-3654.0636898399371</v>
      </c>
      <c r="J104" s="48">
        <v>-12500.669424679339</v>
      </c>
      <c r="K104" s="48">
        <v>-23180.789455931244</v>
      </c>
      <c r="L104" s="48">
        <v>-36004.64506500381</v>
      </c>
      <c r="M104" s="48">
        <v>-51321.308248509129</v>
      </c>
      <c r="N104" s="48">
        <v>-69521.86297509748</v>
      </c>
      <c r="O104" s="48">
        <v>-91042.691142366428</v>
      </c>
      <c r="P104" s="48"/>
    </row>
    <row r="105" spans="2:16" outlineLevel="1" x14ac:dyDescent="0.35">
      <c r="B105" s="19">
        <v>0.2</v>
      </c>
      <c r="C105" s="48">
        <v>35567.503807137458</v>
      </c>
      <c r="D105" s="48">
        <v>33016.083050487039</v>
      </c>
      <c r="E105" s="48">
        <v>29837.928839819964</v>
      </c>
      <c r="F105" s="48">
        <v>25896.520995648618</v>
      </c>
      <c r="G105" s="48">
        <v>21032.837462706277</v>
      </c>
      <c r="H105" s="48">
        <v>15062.941253564362</v>
      </c>
      <c r="I105" s="48">
        <v>7775.4426921744598</v>
      </c>
      <c r="J105" s="48">
        <v>-1071.1630426649449</v>
      </c>
      <c r="K105" s="48">
        <v>-11751.283073916846</v>
      </c>
      <c r="L105" s="48">
        <v>-24575.138682989411</v>
      </c>
      <c r="M105" s="48">
        <v>-39891.801866494738</v>
      </c>
      <c r="N105" s="48">
        <v>-58092.356593083081</v>
      </c>
      <c r="O105" s="48">
        <v>-79613.184760352015</v>
      </c>
      <c r="P105" s="48"/>
    </row>
    <row r="106" spans="2:16" outlineLevel="1" x14ac:dyDescent="0.35">
      <c r="B106" s="19">
        <v>0.25</v>
      </c>
      <c r="C106" s="48">
        <v>49312.672590047354</v>
      </c>
      <c r="D106" s="48">
        <v>46761.251833396927</v>
      </c>
      <c r="E106" s="48">
        <v>43583.097622729852</v>
      </c>
      <c r="F106" s="48">
        <v>39641.689778558502</v>
      </c>
      <c r="G106" s="48">
        <v>34778.006245616169</v>
      </c>
      <c r="H106" s="48">
        <v>28808.11003647426</v>
      </c>
      <c r="I106" s="48">
        <v>21520.611475084352</v>
      </c>
      <c r="J106" s="48">
        <v>12674.005740244949</v>
      </c>
      <c r="K106" s="48">
        <v>1993.8857089930486</v>
      </c>
      <c r="L106" s="48">
        <v>-10829.969900079514</v>
      </c>
      <c r="M106" s="48">
        <v>-26146.633083584846</v>
      </c>
      <c r="N106" s="48">
        <v>-44347.187810173185</v>
      </c>
      <c r="O106" s="48">
        <v>-65868.015977442134</v>
      </c>
      <c r="P106" s="48"/>
    </row>
    <row r="107" spans="2:16" outlineLevel="1" x14ac:dyDescent="0.35">
      <c r="B107" s="19">
        <v>0.3</v>
      </c>
      <c r="C107" s="48">
        <v>65752.808130562902</v>
      </c>
      <c r="D107" s="48">
        <v>63201.387373912476</v>
      </c>
      <c r="E107" s="48">
        <v>60023.233163245393</v>
      </c>
      <c r="F107" s="48">
        <v>56081.825319074043</v>
      </c>
      <c r="G107" s="48">
        <v>51218.141786131717</v>
      </c>
      <c r="H107" s="48">
        <v>45248.245576989793</v>
      </c>
      <c r="I107" s="48">
        <v>37960.747015599889</v>
      </c>
      <c r="J107" s="48">
        <v>29114.141280760483</v>
      </c>
      <c r="K107" s="48">
        <v>18434.021249508587</v>
      </c>
      <c r="L107" s="48">
        <v>5610.165640436021</v>
      </c>
      <c r="M107" s="48">
        <v>-9706.4975430693066</v>
      </c>
      <c r="N107" s="48">
        <v>-27907.052269657652</v>
      </c>
      <c r="O107" s="48">
        <v>-49427.880436926607</v>
      </c>
      <c r="P107" s="48"/>
    </row>
    <row r="108" spans="2:16" outlineLevel="1" x14ac:dyDescent="0.35">
      <c r="B108" s="19">
        <v>0.35</v>
      </c>
      <c r="C108" s="48">
        <v>85313.085173317333</v>
      </c>
      <c r="D108" s="48">
        <v>82761.664416666914</v>
      </c>
      <c r="E108" s="48">
        <v>79583.510205999846</v>
      </c>
      <c r="F108" s="48">
        <v>75642.102361828496</v>
      </c>
      <c r="G108" s="48">
        <v>70778.418828886162</v>
      </c>
      <c r="H108" s="48">
        <v>64808.522619744246</v>
      </c>
      <c r="I108" s="48">
        <v>57521.024058354349</v>
      </c>
      <c r="J108" s="48">
        <v>48674.418323514932</v>
      </c>
      <c r="K108" s="48">
        <v>37994.29829226304</v>
      </c>
      <c r="L108" s="48">
        <v>25170.442683190471</v>
      </c>
      <c r="M108" s="48">
        <v>9853.7794996851462</v>
      </c>
      <c r="N108" s="48">
        <v>-8346.7752269032007</v>
      </c>
      <c r="O108" s="48">
        <v>-29867.603394172143</v>
      </c>
      <c r="P108" s="48"/>
    </row>
    <row r="109" spans="2:16" outlineLevel="1" x14ac:dyDescent="0.35">
      <c r="B109" s="41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</row>
    <row r="110" spans="2:16" outlineLevel="1" x14ac:dyDescent="0.35">
      <c r="B110" s="41">
        <f ca="1">Output!B46</f>
        <v>7.1982555247800839E-2</v>
      </c>
      <c r="C110" s="19">
        <v>-0.15</v>
      </c>
      <c r="D110" s="41">
        <v>-0.1</v>
      </c>
      <c r="E110" s="41">
        <v>-0.05</v>
      </c>
      <c r="F110" s="41">
        <v>0</v>
      </c>
      <c r="G110" s="41">
        <v>0.05</v>
      </c>
      <c r="H110" s="41">
        <v>0.1</v>
      </c>
      <c r="I110" s="41">
        <v>0.15</v>
      </c>
      <c r="J110" s="48"/>
      <c r="K110" s="48"/>
      <c r="L110" s="48"/>
      <c r="M110" s="48"/>
      <c r="N110" s="48"/>
      <c r="O110" s="48"/>
      <c r="P110" s="48"/>
    </row>
    <row r="111" spans="2:16" outlineLevel="1" x14ac:dyDescent="0.35">
      <c r="B111" s="19">
        <v>-0.15</v>
      </c>
      <c r="C111" s="42" t="e">
        <f t="dataTable" ref="C111:I117" dt2D="1" dtr="1" r1="C33" r2="C34" ca="1"/>
        <v>#NUM!</v>
      </c>
      <c r="D111" s="42" t="e">
        <v>#NUM!</v>
      </c>
      <c r="E111" s="42" t="e">
        <v>#NUM!</v>
      </c>
      <c r="F111" s="42" t="e">
        <v>#NUM!</v>
      </c>
      <c r="G111" s="42" t="e">
        <v>#NUM!</v>
      </c>
      <c r="H111" s="42" t="e">
        <v>#NUM!</v>
      </c>
      <c r="I111" s="42" t="e">
        <v>#NUM!</v>
      </c>
      <c r="J111" s="48"/>
      <c r="K111" s="48"/>
      <c r="L111" s="48"/>
      <c r="M111" s="48"/>
      <c r="N111" s="48"/>
      <c r="O111" s="48"/>
      <c r="P111" s="48"/>
    </row>
    <row r="112" spans="2:16" outlineLevel="1" x14ac:dyDescent="0.35">
      <c r="B112" s="41">
        <v>-0.1</v>
      </c>
      <c r="C112" s="42">
        <v>2.0586318611191867E-2</v>
      </c>
      <c r="D112" s="42" t="e">
        <v>#NUM!</v>
      </c>
      <c r="E112" s="42" t="e">
        <v>#NUM!</v>
      </c>
      <c r="F112" s="42" t="e">
        <v>#NUM!</v>
      </c>
      <c r="G112" s="42" t="e">
        <v>#NUM!</v>
      </c>
      <c r="H112" s="42" t="e">
        <v>#NUM!</v>
      </c>
      <c r="I112" s="42" t="e">
        <v>#NUM!</v>
      </c>
      <c r="J112" s="48"/>
      <c r="K112" s="48"/>
      <c r="L112" s="48"/>
      <c r="M112" s="48"/>
      <c r="N112" s="48"/>
      <c r="O112" s="48"/>
      <c r="P112" s="48"/>
    </row>
    <row r="113" spans="2:16" outlineLevel="1" x14ac:dyDescent="0.35">
      <c r="B113" s="41">
        <v>-0.05</v>
      </c>
      <c r="C113" s="42">
        <v>0.14386083364401703</v>
      </c>
      <c r="D113" s="42">
        <v>7.4383219411898072E-2</v>
      </c>
      <c r="E113" s="42">
        <v>-0.18249438195358103</v>
      </c>
      <c r="F113" s="42" t="e">
        <v>#NUM!</v>
      </c>
      <c r="G113" s="42" t="e">
        <v>#NUM!</v>
      </c>
      <c r="H113" s="42" t="e">
        <v>#NUM!</v>
      </c>
      <c r="I113" s="42" t="e">
        <v>#NUM!</v>
      </c>
      <c r="J113" s="48"/>
      <c r="K113" s="48"/>
      <c r="L113" s="48"/>
      <c r="M113" s="48"/>
      <c r="N113" s="48"/>
      <c r="O113" s="48"/>
      <c r="P113" s="48"/>
    </row>
    <row r="114" spans="2:16" outlineLevel="1" x14ac:dyDescent="0.35">
      <c r="B114" s="41">
        <v>0</v>
      </c>
      <c r="C114" s="42">
        <v>0.20813150729671626</v>
      </c>
      <c r="D114" s="42">
        <v>0.17077744631644642</v>
      </c>
      <c r="E114" s="42">
        <v>0.11322297575388807</v>
      </c>
      <c r="F114" s="42">
        <v>-1.368026826532609E-2</v>
      </c>
      <c r="G114" s="42" t="e">
        <v>#NUM!</v>
      </c>
      <c r="H114" s="42" t="e">
        <v>#NUM!</v>
      </c>
      <c r="I114" s="42" t="e">
        <v>#NUM!</v>
      </c>
      <c r="J114" s="48"/>
      <c r="K114" s="48"/>
      <c r="L114" s="48"/>
      <c r="M114" s="48"/>
      <c r="N114" s="48"/>
      <c r="O114" s="48"/>
      <c r="P114" s="48"/>
    </row>
    <row r="115" spans="2:16" outlineLevel="1" x14ac:dyDescent="0.35">
      <c r="B115" s="41">
        <v>0.05</v>
      </c>
      <c r="C115" s="42">
        <v>0.2538209461436618</v>
      </c>
      <c r="D115" s="42">
        <v>0.22828915061878097</v>
      </c>
      <c r="E115" s="42">
        <v>0.19423199609793773</v>
      </c>
      <c r="F115" s="42">
        <v>0.14428188443196044</v>
      </c>
      <c r="G115" s="42">
        <v>5.1748121740049058E-2</v>
      </c>
      <c r="H115" s="42" t="e">
        <v>#NUM!</v>
      </c>
      <c r="I115" s="42" t="e">
        <v>#NUM!</v>
      </c>
      <c r="J115" s="48"/>
      <c r="K115" s="48"/>
      <c r="L115" s="48"/>
      <c r="M115" s="48"/>
      <c r="N115" s="48"/>
      <c r="O115" s="48"/>
      <c r="P115" s="48"/>
    </row>
    <row r="116" spans="2:16" outlineLevel="1" x14ac:dyDescent="0.35">
      <c r="B116" s="41">
        <v>0.1</v>
      </c>
      <c r="C116" s="42">
        <v>0.29013000198643835</v>
      </c>
      <c r="D116" s="42">
        <v>0.27085171832820421</v>
      </c>
      <c r="E116" s="42">
        <v>0.24673563249227271</v>
      </c>
      <c r="F116" s="42">
        <v>0.21518175869813216</v>
      </c>
      <c r="G116" s="42">
        <v>0.17052865548379748</v>
      </c>
      <c r="H116" s="42">
        <v>9.5505841297388372E-2</v>
      </c>
      <c r="I116" s="42" t="e">
        <v>#NUM!</v>
      </c>
      <c r="J116" s="48"/>
      <c r="K116" s="48"/>
      <c r="L116" s="48"/>
      <c r="M116" s="48"/>
      <c r="N116" s="48"/>
      <c r="O116" s="48"/>
      <c r="P116" s="48"/>
    </row>
    <row r="117" spans="2:16" outlineLevel="1" x14ac:dyDescent="0.35">
      <c r="B117" s="41">
        <v>0.15</v>
      </c>
      <c r="C117" s="42">
        <v>0.32072674097785114</v>
      </c>
      <c r="D117" s="42">
        <v>0.30534207169749128</v>
      </c>
      <c r="E117" s="42">
        <v>0.28678670121474026</v>
      </c>
      <c r="F117" s="42">
        <v>0.26381672549044954</v>
      </c>
      <c r="G117" s="42">
        <v>0.2342298616020293</v>
      </c>
      <c r="H117" s="42">
        <v>0.19348918089661948</v>
      </c>
      <c r="I117" s="42">
        <v>0.12929487902902359</v>
      </c>
      <c r="J117" s="48"/>
      <c r="K117" s="48"/>
      <c r="L117" s="48"/>
      <c r="M117" s="48"/>
      <c r="N117" s="48"/>
      <c r="O117" s="48"/>
      <c r="P117" s="48"/>
    </row>
    <row r="118" spans="2:16" outlineLevel="1" x14ac:dyDescent="0.35">
      <c r="B118" s="41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</row>
    <row r="119" spans="2:16" outlineLevel="1" x14ac:dyDescent="0.35">
      <c r="B119" s="37">
        <f ca="1">Output!N42/10^6</f>
        <v>1993.8857089930486</v>
      </c>
      <c r="C119" s="19">
        <v>-0.15</v>
      </c>
      <c r="D119" s="41">
        <v>-0.1</v>
      </c>
      <c r="E119" s="41">
        <v>-0.05</v>
      </c>
      <c r="F119" s="41">
        <v>0</v>
      </c>
      <c r="G119" s="41">
        <v>0.05</v>
      </c>
      <c r="H119" s="41">
        <v>0.1</v>
      </c>
      <c r="I119" s="41">
        <v>0.15</v>
      </c>
      <c r="J119" s="48"/>
      <c r="K119" s="48"/>
      <c r="L119" s="48"/>
      <c r="M119" s="48"/>
      <c r="N119" s="48"/>
      <c r="O119" s="48"/>
      <c r="P119" s="48"/>
    </row>
    <row r="120" spans="2:16" outlineLevel="1" x14ac:dyDescent="0.35">
      <c r="B120" s="19">
        <v>-0.15</v>
      </c>
      <c r="C120" s="48">
        <f t="dataTable" ref="C120:I126" dt2D="1" dtr="1" r1="C33" r2="C34" ca="1"/>
        <v>-1202.6323400641604</v>
      </c>
      <c r="D120" s="48">
        <v>-2979.1725658040214</v>
      </c>
      <c r="E120" s="48">
        <v>-4885.506159572853</v>
      </c>
      <c r="F120" s="48">
        <v>-6926.8804510960654</v>
      </c>
      <c r="G120" s="48">
        <v>-9108.5427700990604</v>
      </c>
      <c r="H120" s="48">
        <v>-11435.740446307243</v>
      </c>
      <c r="I120" s="48">
        <v>-13913.720809446026</v>
      </c>
      <c r="J120" s="48"/>
      <c r="K120" s="48"/>
      <c r="L120" s="48"/>
      <c r="M120" s="48"/>
      <c r="N120" s="48"/>
      <c r="O120" s="48"/>
      <c r="P120" s="48"/>
    </row>
    <row r="121" spans="2:16" outlineLevel="1" x14ac:dyDescent="0.35">
      <c r="B121" s="41">
        <v>-0.1</v>
      </c>
      <c r="C121" s="48">
        <v>1219.8895249762588</v>
      </c>
      <c r="D121" s="48">
        <v>-556.65070076360303</v>
      </c>
      <c r="E121" s="48">
        <v>-2462.9842945324344</v>
      </c>
      <c r="F121" s="48">
        <v>-4504.3585860556477</v>
      </c>
      <c r="G121" s="48">
        <v>-6686.0209050586427</v>
      </c>
      <c r="H121" s="48">
        <v>-9013.2185812668249</v>
      </c>
      <c r="I121" s="48">
        <v>-11491.198944405605</v>
      </c>
      <c r="J121" s="48"/>
      <c r="K121" s="48"/>
      <c r="L121" s="48"/>
      <c r="M121" s="48"/>
      <c r="N121" s="48"/>
      <c r="O121" s="48"/>
      <c r="P121" s="48"/>
    </row>
    <row r="122" spans="2:16" outlineLevel="1" x14ac:dyDescent="0.35">
      <c r="B122" s="41">
        <v>-0.05</v>
      </c>
      <c r="C122" s="48">
        <v>3815.5309319296493</v>
      </c>
      <c r="D122" s="48">
        <v>2038.9907061897882</v>
      </c>
      <c r="E122" s="48">
        <v>132.65711242095696</v>
      </c>
      <c r="F122" s="48">
        <v>-1908.7171791022568</v>
      </c>
      <c r="G122" s="48">
        <v>-4090.3794981052515</v>
      </c>
      <c r="H122" s="48">
        <v>-6417.5771743134346</v>
      </c>
      <c r="I122" s="48">
        <v>-8895.5575374522141</v>
      </c>
      <c r="J122" s="48"/>
      <c r="K122" s="48"/>
      <c r="L122" s="48"/>
      <c r="M122" s="48"/>
      <c r="N122" s="48"/>
      <c r="O122" s="48"/>
      <c r="P122" s="48"/>
    </row>
    <row r="123" spans="2:16" outlineLevel="1" x14ac:dyDescent="0.35">
      <c r="B123" s="41">
        <v>0</v>
      </c>
      <c r="C123" s="48">
        <v>6591.2105762050724</v>
      </c>
      <c r="D123" s="48">
        <v>4814.6703504652096</v>
      </c>
      <c r="E123" s="48">
        <v>2908.3367566963784</v>
      </c>
      <c r="F123" s="48">
        <v>866.96246517316433</v>
      </c>
      <c r="G123" s="48">
        <v>-1314.6998538298294</v>
      </c>
      <c r="H123" s="48">
        <v>-3641.8975300380125</v>
      </c>
      <c r="I123" s="48">
        <v>-6119.877893176792</v>
      </c>
      <c r="J123" s="48"/>
      <c r="K123" s="48"/>
      <c r="L123" s="48"/>
      <c r="M123" s="48"/>
      <c r="N123" s="48"/>
      <c r="O123" s="48"/>
      <c r="P123" s="48"/>
    </row>
    <row r="124" spans="2:16" outlineLevel="1" x14ac:dyDescent="0.35">
      <c r="B124" s="41">
        <v>0.05</v>
      </c>
      <c r="C124" s="48">
        <v>9553.8471532115818</v>
      </c>
      <c r="D124" s="48">
        <v>7777.3069274717218</v>
      </c>
      <c r="E124" s="48">
        <v>5870.9733337028883</v>
      </c>
      <c r="F124" s="48">
        <v>3829.599042179676</v>
      </c>
      <c r="G124" s="48">
        <v>1647.9367231766821</v>
      </c>
      <c r="H124" s="48">
        <v>-679.26095303150078</v>
      </c>
      <c r="I124" s="48">
        <v>-3157.2413161702816</v>
      </c>
      <c r="J124" s="48"/>
      <c r="K124" s="48"/>
      <c r="L124" s="48"/>
      <c r="M124" s="48"/>
      <c r="N124" s="48"/>
      <c r="O124" s="48"/>
      <c r="P124" s="48"/>
    </row>
    <row r="125" spans="2:16" outlineLevel="1" x14ac:dyDescent="0.35">
      <c r="B125" s="41">
        <v>0.1</v>
      </c>
      <c r="C125" s="48">
        <v>12710.359358358231</v>
      </c>
      <c r="D125" s="48">
        <v>10933.819132618368</v>
      </c>
      <c r="E125" s="48">
        <v>9027.4855388495362</v>
      </c>
      <c r="F125" s="48">
        <v>6986.1112473263247</v>
      </c>
      <c r="G125" s="48">
        <v>4804.4489283233288</v>
      </c>
      <c r="H125" s="48">
        <v>2477.2512521151475</v>
      </c>
      <c r="I125" s="48">
        <v>-0.72911102363395686</v>
      </c>
      <c r="J125" s="48"/>
      <c r="K125" s="48"/>
      <c r="L125" s="48"/>
      <c r="M125" s="48"/>
      <c r="N125" s="48"/>
      <c r="O125" s="48"/>
      <c r="P125" s="48"/>
    </row>
    <row r="126" spans="2:16" outlineLevel="1" x14ac:dyDescent="0.35">
      <c r="B126" s="41">
        <v>0.15</v>
      </c>
      <c r="C126" s="48">
        <v>16067.665887054078</v>
      </c>
      <c r="D126" s="48">
        <v>14291.125661314212</v>
      </c>
      <c r="E126" s="48">
        <v>12384.792067545384</v>
      </c>
      <c r="F126" s="48">
        <v>10343.417776022172</v>
      </c>
      <c r="G126" s="48">
        <v>8161.7554570191769</v>
      </c>
      <c r="H126" s="48">
        <v>5834.5577808109911</v>
      </c>
      <c r="I126" s="48">
        <v>3356.5774176722121</v>
      </c>
      <c r="J126" s="48"/>
      <c r="K126" s="48"/>
      <c r="L126" s="48"/>
      <c r="M126" s="48"/>
      <c r="N126" s="48"/>
      <c r="O126" s="48"/>
      <c r="P126" s="48"/>
    </row>
    <row r="127" spans="2:16" x14ac:dyDescent="0.35">
      <c r="B127" s="41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2:16" x14ac:dyDescent="0.35">
      <c r="B128" s="41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2:16" x14ac:dyDescent="0.35">
      <c r="J129" s="48"/>
      <c r="K129" s="48"/>
      <c r="L129" s="48"/>
      <c r="M129" s="48"/>
      <c r="N129" s="48"/>
      <c r="O129" s="48"/>
      <c r="P129" s="48"/>
    </row>
    <row r="130" spans="2:16" x14ac:dyDescent="0.35">
      <c r="B130" s="1">
        <f>Output!N45/10^6</f>
        <v>1656.0280201681558</v>
      </c>
      <c r="C130" s="33">
        <v>5.0000000000000001E-3</v>
      </c>
      <c r="D130" s="33">
        <v>2.5000000000000001E-2</v>
      </c>
      <c r="E130" s="33">
        <v>4.4999999999999998E-2</v>
      </c>
      <c r="F130" s="33">
        <v>6.5000000000000002E-2</v>
      </c>
      <c r="G130" s="33">
        <v>8.5000000000000006E-2</v>
      </c>
      <c r="H130" s="33">
        <v>0.105</v>
      </c>
      <c r="J130" s="48"/>
      <c r="K130" s="48"/>
      <c r="L130" s="48"/>
      <c r="M130" s="48"/>
      <c r="N130" s="48"/>
      <c r="O130" s="48"/>
      <c r="P130" s="48"/>
    </row>
    <row r="131" spans="2:16" x14ac:dyDescent="0.35">
      <c r="B131" s="33">
        <v>5.0000000000000001E-3</v>
      </c>
      <c r="C131" s="50">
        <f t="dataTable" ref="C131:H136" dt2D="1" dtr="1" r1="C37" r2="C38"/>
        <v>1666.30756084576</v>
      </c>
      <c r="D131" s="50">
        <v>1446.9287205285673</v>
      </c>
      <c r="E131" s="50">
        <v>1219.7346518628053</v>
      </c>
      <c r="F131" s="50">
        <v>989.33944904891825</v>
      </c>
      <c r="G131" s="50">
        <v>757.54594174817373</v>
      </c>
      <c r="H131" s="50">
        <v>525.42126853288221</v>
      </c>
      <c r="J131" s="48"/>
      <c r="K131" s="48"/>
      <c r="L131" s="48"/>
      <c r="M131" s="48"/>
      <c r="N131" s="48"/>
      <c r="O131" s="48"/>
      <c r="P131" s="48"/>
    </row>
    <row r="132" spans="2:16" x14ac:dyDescent="0.35">
      <c r="B132" s="33">
        <v>2.5000000000000001E-2</v>
      </c>
      <c r="C132" s="50">
        <v>1973.1474213124791</v>
      </c>
      <c r="D132" s="50">
        <v>1753.7685809952859</v>
      </c>
      <c r="E132" s="50">
        <v>1526.5745123295239</v>
      </c>
      <c r="F132" s="50">
        <v>1296.179309515637</v>
      </c>
      <c r="G132" s="50">
        <v>1064.385802214892</v>
      </c>
      <c r="H132" s="50">
        <v>832.26112899960037</v>
      </c>
      <c r="J132" s="48"/>
      <c r="K132" s="48"/>
      <c r="L132" s="48"/>
      <c r="M132" s="48"/>
      <c r="N132" s="48"/>
      <c r="O132" s="48"/>
      <c r="P132" s="48"/>
    </row>
    <row r="133" spans="2:16" x14ac:dyDescent="0.35">
      <c r="B133" s="33">
        <v>4.4999999999999998E-2</v>
      </c>
      <c r="C133" s="50">
        <v>2251.6288700131736</v>
      </c>
      <c r="D133" s="50">
        <v>2032.2500296959806</v>
      </c>
      <c r="E133" s="50">
        <v>1805.0559610302187</v>
      </c>
      <c r="F133" s="50">
        <v>1574.6607582163315</v>
      </c>
      <c r="G133" s="50">
        <v>1342.8672509155865</v>
      </c>
      <c r="H133" s="50">
        <v>1110.742577700295</v>
      </c>
      <c r="J133" s="48"/>
      <c r="K133" s="48"/>
      <c r="L133" s="48"/>
      <c r="M133" s="48"/>
      <c r="N133" s="48"/>
      <c r="O133" s="48"/>
      <c r="P133" s="48"/>
    </row>
    <row r="134" spans="2:16" x14ac:dyDescent="0.35">
      <c r="B134" s="33">
        <v>6.5000000000000002E-2</v>
      </c>
      <c r="C134" s="50">
        <v>2510.2527469311913</v>
      </c>
      <c r="D134" s="50">
        <v>2290.8739066139983</v>
      </c>
      <c r="E134" s="50">
        <v>2063.6798379482366</v>
      </c>
      <c r="F134" s="50">
        <v>1833.2846351343494</v>
      </c>
      <c r="G134" s="50">
        <v>1601.4911278336044</v>
      </c>
      <c r="H134" s="50">
        <v>1369.3664546183129</v>
      </c>
      <c r="J134" s="48"/>
      <c r="K134" s="48"/>
      <c r="L134" s="48"/>
      <c r="M134" s="48"/>
      <c r="N134" s="48"/>
      <c r="O134" s="48"/>
      <c r="P134" s="48"/>
    </row>
    <row r="135" spans="2:16" x14ac:dyDescent="0.35">
      <c r="B135" s="33">
        <v>8.5000000000000006E-2</v>
      </c>
      <c r="C135" s="50">
        <v>2752.1361926692284</v>
      </c>
      <c r="D135" s="50">
        <v>2532.7573523520355</v>
      </c>
      <c r="E135" s="50">
        <v>2305.5632836862737</v>
      </c>
      <c r="F135" s="50">
        <v>2075.1680808723863</v>
      </c>
      <c r="G135" s="50">
        <v>1843.3745735716413</v>
      </c>
      <c r="H135" s="50">
        <v>1611.2499003563501</v>
      </c>
      <c r="J135" s="48"/>
      <c r="K135" s="48"/>
      <c r="L135" s="48"/>
      <c r="M135" s="48"/>
      <c r="N135" s="48"/>
      <c r="O135" s="48"/>
      <c r="P135" s="48"/>
    </row>
    <row r="136" spans="2:16" x14ac:dyDescent="0.35">
      <c r="B136" s="33">
        <v>0.105</v>
      </c>
      <c r="C136" s="50">
        <v>2979.0925567422942</v>
      </c>
      <c r="D136" s="50">
        <v>2759.7137164251012</v>
      </c>
      <c r="E136" s="50">
        <v>2532.5196477593395</v>
      </c>
      <c r="F136" s="50">
        <v>2302.1244449454521</v>
      </c>
      <c r="G136" s="50">
        <v>2070.3309376447073</v>
      </c>
      <c r="H136" s="50">
        <v>1838.2062644294158</v>
      </c>
      <c r="J136" s="48"/>
      <c r="K136" s="48"/>
      <c r="L136" s="48"/>
      <c r="M136" s="48"/>
      <c r="N136" s="48"/>
      <c r="O136" s="48"/>
      <c r="P136" s="48"/>
    </row>
    <row r="137" spans="2:16" x14ac:dyDescent="0.35">
      <c r="J137" s="48"/>
      <c r="K137" s="48"/>
      <c r="L137" s="48"/>
      <c r="M137" s="48"/>
      <c r="N137" s="48"/>
      <c r="O137" s="48"/>
      <c r="P137" s="48"/>
    </row>
    <row r="138" spans="2:16" x14ac:dyDescent="0.35">
      <c r="J138" s="48"/>
      <c r="K138" s="48"/>
      <c r="L138" s="48"/>
      <c r="M138" s="48"/>
      <c r="N138" s="48"/>
      <c r="O138" s="48"/>
      <c r="P138" s="48"/>
    </row>
    <row r="139" spans="2:16" x14ac:dyDescent="0.35">
      <c r="J139" s="48"/>
      <c r="K139" s="48"/>
      <c r="L139" s="48"/>
      <c r="M139" s="48"/>
      <c r="N139" s="48"/>
      <c r="O139" s="48"/>
      <c r="P139" s="48"/>
    </row>
    <row r="140" spans="2:16" x14ac:dyDescent="0.35">
      <c r="J140" s="48"/>
      <c r="K140" s="48"/>
      <c r="L140" s="48"/>
      <c r="M140" s="48"/>
      <c r="N140" s="48"/>
      <c r="O140" s="48"/>
      <c r="P140" s="48"/>
    </row>
    <row r="141" spans="2:16" x14ac:dyDescent="0.35">
      <c r="J141" s="48"/>
      <c r="K141" s="48"/>
      <c r="L141" s="48"/>
      <c r="M141" s="48"/>
      <c r="N141" s="48"/>
      <c r="O141" s="48"/>
      <c r="P141" s="48"/>
    </row>
    <row r="142" spans="2:16" x14ac:dyDescent="0.35">
      <c r="J142" s="48"/>
      <c r="K142" s="48"/>
      <c r="L142" s="48"/>
      <c r="M142" s="48"/>
      <c r="N142" s="48"/>
      <c r="O142" s="48"/>
      <c r="P142" s="48"/>
    </row>
    <row r="143" spans="2:16" x14ac:dyDescent="0.35">
      <c r="J143" s="48"/>
      <c r="K143" s="48"/>
      <c r="L143" s="48"/>
      <c r="M143" s="48"/>
      <c r="N143" s="48"/>
      <c r="O143" s="48"/>
      <c r="P143" s="48"/>
    </row>
    <row r="144" spans="2:16" x14ac:dyDescent="0.35">
      <c r="J144" s="48"/>
      <c r="K144" s="48"/>
      <c r="L144" s="48"/>
      <c r="M144" s="48"/>
      <c r="N144" s="48"/>
      <c r="O144" s="48"/>
      <c r="P144" s="48"/>
    </row>
    <row r="145" spans="2:16" x14ac:dyDescent="0.35">
      <c r="J145" s="48"/>
      <c r="K145" s="48"/>
      <c r="L145" s="48"/>
      <c r="M145" s="48"/>
      <c r="N145" s="48"/>
      <c r="O145" s="48"/>
      <c r="P145" s="48"/>
    </row>
    <row r="150" spans="2:16" s="51" customFormat="1" x14ac:dyDescent="0.35">
      <c r="B150" s="51" t="s">
        <v>52</v>
      </c>
    </row>
    <row r="151" spans="2:16" x14ac:dyDescent="0.35">
      <c r="B151" s="1" t="s">
        <v>53</v>
      </c>
      <c r="C151" s="52">
        <v>12569472</v>
      </c>
      <c r="D151" s="1" t="s">
        <v>54</v>
      </c>
      <c r="E151" s="53">
        <v>60970000</v>
      </c>
      <c r="F151" s="38">
        <f>E151/C155</f>
        <v>2.9734820693983758E-2</v>
      </c>
    </row>
    <row r="152" spans="2:16" x14ac:dyDescent="0.35">
      <c r="B152" s="1" t="s">
        <v>55</v>
      </c>
      <c r="C152" s="1">
        <v>932690000</v>
      </c>
      <c r="D152" s="1">
        <v>1336302676.0512002</v>
      </c>
      <c r="E152" s="1">
        <f>C152/D152</f>
        <v>0.69796313119428655</v>
      </c>
      <c r="G152" s="54"/>
    </row>
    <row r="153" spans="2:16" ht="31" x14ac:dyDescent="0.35">
      <c r="B153" s="55" t="s">
        <v>56</v>
      </c>
      <c r="C153" s="56" t="s">
        <v>57</v>
      </c>
      <c r="D153" s="57" t="s">
        <v>58</v>
      </c>
      <c r="E153" s="57" t="s">
        <v>59</v>
      </c>
      <c r="F153" s="58" t="s">
        <v>60</v>
      </c>
      <c r="G153" s="56" t="s">
        <v>61</v>
      </c>
      <c r="H153" s="57" t="s">
        <v>62</v>
      </c>
      <c r="I153" s="58" t="s">
        <v>63</v>
      </c>
    </row>
    <row r="154" spans="2:16" x14ac:dyDescent="0.35">
      <c r="B154" s="59" t="s">
        <v>64</v>
      </c>
      <c r="C154" s="60">
        <v>163.13</v>
      </c>
      <c r="D154" s="61">
        <v>24.63</v>
      </c>
      <c r="E154" s="61">
        <v>63.44</v>
      </c>
      <c r="F154" s="62">
        <v>75.06</v>
      </c>
      <c r="G154" s="63">
        <v>148.69</v>
      </c>
      <c r="H154" s="64">
        <v>98.25</v>
      </c>
      <c r="I154" s="65">
        <v>50.44</v>
      </c>
    </row>
    <row r="155" spans="2:16" x14ac:dyDescent="0.35">
      <c r="B155" s="66"/>
      <c r="C155" s="63">
        <f>C154*$C$151</f>
        <v>2050457967.3599999</v>
      </c>
      <c r="D155" s="63">
        <f t="shared" ref="D155:F155" si="16">D154*$C$151</f>
        <v>309586095.36000001</v>
      </c>
      <c r="E155" s="63">
        <f t="shared" si="16"/>
        <v>797407303.67999995</v>
      </c>
      <c r="F155" s="63">
        <f t="shared" si="16"/>
        <v>943464568.32000005</v>
      </c>
      <c r="G155" s="63">
        <f>G154*$C$151</f>
        <v>1868954791.6800001</v>
      </c>
      <c r="H155" s="63">
        <f>H154*$C$151</f>
        <v>1234950624</v>
      </c>
      <c r="I155" s="63">
        <f>I154*$C$151</f>
        <v>634004167.67999995</v>
      </c>
    </row>
    <row r="156" spans="2:16" ht="31" x14ac:dyDescent="0.35">
      <c r="B156" s="55" t="s">
        <v>65</v>
      </c>
      <c r="F156" s="57" t="s">
        <v>66</v>
      </c>
    </row>
    <row r="157" spans="2:16" x14ac:dyDescent="0.35">
      <c r="B157" s="66" t="s">
        <v>56</v>
      </c>
    </row>
    <row r="158" spans="2:16" x14ac:dyDescent="0.35">
      <c r="F158" s="17">
        <v>1082050000</v>
      </c>
      <c r="G158" s="54">
        <f>F158/H155</f>
        <v>0.87618887668176115</v>
      </c>
    </row>
  </sheetData>
  <mergeCells count="2">
    <mergeCell ref="B3:M3"/>
    <mergeCell ref="B15:M15"/>
  </mergeCells>
  <conditionalFormatting sqref="C151">
    <cfRule type="expression" dxfId="4" priority="8">
      <formula>ISEVEN(ROW())</formula>
    </cfRule>
  </conditionalFormatting>
  <conditionalFormatting sqref="B157 F154:I154">
    <cfRule type="expression" dxfId="3" priority="7">
      <formula>ISODD(ROW())</formula>
    </cfRule>
  </conditionalFormatting>
  <conditionalFormatting sqref="B154:E154 B155:F155">
    <cfRule type="expression" dxfId="2" priority="6">
      <formula>ISODD(ROW())</formula>
    </cfRule>
  </conditionalFormatting>
  <conditionalFormatting sqref="G155:I155">
    <cfRule type="expression" dxfId="1" priority="5">
      <formula>ISODD(ROW())</formula>
    </cfRule>
  </conditionalFormatting>
  <conditionalFormatting sqref="C42:P5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9:P93 C109:P109 P94:P108 J110:P14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{455D4C9B-88B8-4098-9FD3-4E73374B0130}</x14:id>
        </ext>
      </extLst>
    </cfRule>
    <cfRule type="cellIs" dxfId="0" priority="3" operator="lessThan">
      <formula>0</formula>
    </cfRule>
  </conditionalFormatting>
  <conditionalFormatting sqref="C95:O10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{614FF338-3291-4735-BC39-3A78220C34D5}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5D4C9B-88B8-4098-9FD3-4E73374B01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C59:P93 C109:P109 P94:P108 J110:P145</xm:sqref>
        </x14:conditionalFormatting>
        <x14:conditionalFormatting xmlns:xm="http://schemas.microsoft.com/office/excel/2006/main">
          <x14:cfRule type="dataBar" id="{614FF338-3291-4735-BC39-3A78220C34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C95:O108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2022-04-04T05:48:47Z</dcterms:created>
  <dcterms:modified xsi:type="dcterms:W3CDTF">2022-04-04T05:50:12Z</dcterms:modified>
</cp:coreProperties>
</file>