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cf5458bc4f7521/Desktop/Uni/Year 4/ACTL4001/Assignment/"/>
    </mc:Choice>
  </mc:AlternateContent>
  <xr:revisionPtr revIDLastSave="515" documentId="8_{B9ED7C92-BD3A-4CCE-82DF-810092F534B5}" xr6:coauthVersionLast="47" xr6:coauthVersionMax="47" xr10:uidLastSave="{CC9BA6B6-FEBE-4B91-97B1-DB0AE859A423}"/>
  <bookViews>
    <workbookView xWindow="-98" yWindow="-98" windowWidth="22695" windowHeight="15196" activeTab="1" xr2:uid="{CFE7DCF4-ECC6-4D7B-8673-1B0878118296}"/>
  </bookViews>
  <sheets>
    <sheet name="Revenue" sheetId="1" r:id="rId1"/>
    <sheet name="Profit &amp; Loss Expectations" sheetId="2" r:id="rId2"/>
    <sheet name="Assumption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2" l="1"/>
  <c r="H50" i="2"/>
  <c r="I50" i="2"/>
  <c r="J50" i="2"/>
  <c r="K50" i="2"/>
  <c r="L50" i="2"/>
  <c r="M50" i="2"/>
  <c r="N50" i="2"/>
  <c r="O50" i="2"/>
  <c r="F50" i="2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14" i="1"/>
  <c r="AR35" i="1"/>
  <c r="AR36" i="1" s="1"/>
  <c r="AS36" i="1"/>
  <c r="F18" i="2" l="1"/>
  <c r="E42" i="1"/>
  <c r="F40" i="1"/>
  <c r="E40" i="1"/>
  <c r="E39" i="1"/>
  <c r="C36" i="1"/>
  <c r="J24" i="2" l="1"/>
  <c r="T30" i="2"/>
  <c r="U30" i="2"/>
  <c r="V30" i="2"/>
  <c r="W30" i="2"/>
  <c r="V31" i="2"/>
  <c r="W31" i="2"/>
  <c r="F24" i="2"/>
  <c r="G24" i="2" s="1"/>
  <c r="G25" i="2" s="1"/>
  <c r="C11" i="3"/>
  <c r="AT36" i="1"/>
  <c r="AU36" i="1"/>
  <c r="AV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F8" i="2"/>
  <c r="F4" i="2"/>
  <c r="F12" i="2" l="1"/>
  <c r="F25" i="2"/>
  <c r="H24" i="2"/>
  <c r="F5" i="2"/>
  <c r="G5" i="2" s="1"/>
  <c r="H5" i="2" s="1"/>
  <c r="I5" i="2" s="1"/>
  <c r="J5" i="2" s="1"/>
  <c r="K5" i="2" s="1"/>
  <c r="L5" i="2" s="1"/>
  <c r="M5" i="2" s="1"/>
  <c r="N5" i="2" s="1"/>
  <c r="O5" i="2" s="1"/>
  <c r="F6" i="2"/>
  <c r="G6" i="2" s="1"/>
  <c r="H6" i="2" s="1"/>
  <c r="I6" i="2" s="1"/>
  <c r="J6" i="2" s="1"/>
  <c r="K6" i="2" s="1"/>
  <c r="L6" i="2" s="1"/>
  <c r="M6" i="2" s="1"/>
  <c r="N6" i="2" s="1"/>
  <c r="O6" i="2" s="1"/>
  <c r="F7" i="2"/>
  <c r="G7" i="2" s="1"/>
  <c r="H7" i="2" s="1"/>
  <c r="I7" i="2" s="1"/>
  <c r="J7" i="2" s="1"/>
  <c r="K7" i="2" s="1"/>
  <c r="L7" i="2" s="1"/>
  <c r="M7" i="2" s="1"/>
  <c r="N7" i="2" s="1"/>
  <c r="O7" i="2" s="1"/>
  <c r="G8" i="2"/>
  <c r="H8" i="2" s="1"/>
  <c r="I8" i="2" s="1"/>
  <c r="J8" i="2" s="1"/>
  <c r="K8" i="2" s="1"/>
  <c r="L8" i="2" s="1"/>
  <c r="M8" i="2" s="1"/>
  <c r="N8" i="2" s="1"/>
  <c r="O8" i="2" s="1"/>
  <c r="F9" i="2"/>
  <c r="G9" i="2" s="1"/>
  <c r="H9" i="2" s="1"/>
  <c r="I9" i="2" s="1"/>
  <c r="J9" i="2" s="1"/>
  <c r="K9" i="2" s="1"/>
  <c r="L9" i="2" s="1"/>
  <c r="M9" i="2" s="1"/>
  <c r="N9" i="2" s="1"/>
  <c r="O9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G16" i="2"/>
  <c r="H16" i="2"/>
  <c r="I16" i="2"/>
  <c r="J16" i="2"/>
  <c r="K16" i="2"/>
  <c r="L16" i="2"/>
  <c r="M16" i="2"/>
  <c r="N16" i="2"/>
  <c r="O16" i="2"/>
  <c r="F16" i="2"/>
  <c r="D11" i="3"/>
  <c r="E11" i="3" s="1"/>
  <c r="F11" i="3" s="1"/>
  <c r="G11" i="3" s="1"/>
  <c r="H11" i="3" s="1"/>
  <c r="I11" i="3" s="1"/>
  <c r="J11" i="3" s="1"/>
  <c r="K11" i="3" s="1"/>
  <c r="L11" i="3" s="1"/>
  <c r="C9" i="3"/>
  <c r="D9" i="3" s="1"/>
  <c r="E9" i="3" s="1"/>
  <c r="F9" i="3" s="1"/>
  <c r="G9" i="3" s="1"/>
  <c r="C8" i="3"/>
  <c r="D8" i="3" s="1"/>
  <c r="G4" i="2"/>
  <c r="H4" i="2" s="1"/>
  <c r="I4" i="2" s="1"/>
  <c r="J4" i="2" s="1"/>
  <c r="K4" i="2" s="1"/>
  <c r="L4" i="2" s="1"/>
  <c r="M4" i="2" s="1"/>
  <c r="N4" i="2" s="1"/>
  <c r="O4" i="2" s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S35" i="1"/>
  <c r="AT35" i="1"/>
  <c r="AU35" i="1"/>
  <c r="AV3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C35" i="1" s="1"/>
  <c r="A29" i="1"/>
  <c r="A30" i="1"/>
  <c r="A31" i="1"/>
  <c r="A32" i="1"/>
  <c r="A33" i="1"/>
  <c r="A34" i="1"/>
  <c r="A14" i="1"/>
  <c r="I24" i="2" l="1"/>
  <c r="H25" i="2"/>
  <c r="H9" i="3"/>
  <c r="K15" i="2"/>
  <c r="K18" i="2" s="1"/>
  <c r="E8" i="3"/>
  <c r="G15" i="2"/>
  <c r="G18" i="2" s="1"/>
  <c r="F15" i="2"/>
  <c r="F34" i="2" s="1"/>
  <c r="F43" i="2" s="1"/>
  <c r="H12" i="2"/>
  <c r="G12" i="2"/>
  <c r="F45" i="2" l="1"/>
  <c r="J30" i="2" s="1"/>
  <c r="G28" i="2"/>
  <c r="G34" i="2" s="1"/>
  <c r="F47" i="2"/>
  <c r="N32" i="2" s="1"/>
  <c r="F46" i="2"/>
  <c r="L31" i="2" s="1"/>
  <c r="F44" i="2"/>
  <c r="H29" i="2" s="1"/>
  <c r="H34" i="2"/>
  <c r="H46" i="2" s="1"/>
  <c r="N31" i="2" s="1"/>
  <c r="H44" i="2"/>
  <c r="J29" i="2" s="1"/>
  <c r="H45" i="2"/>
  <c r="L30" i="2" s="1"/>
  <c r="I25" i="2"/>
  <c r="I9" i="3"/>
  <c r="L15" i="2"/>
  <c r="L18" i="2" s="1"/>
  <c r="F8" i="3"/>
  <c r="H15" i="2"/>
  <c r="H18" i="2" s="1"/>
  <c r="I12" i="2"/>
  <c r="H47" i="2" l="1"/>
  <c r="P32" i="2" s="1"/>
  <c r="G47" i="2"/>
  <c r="O32" i="2" s="1"/>
  <c r="G45" i="2"/>
  <c r="K30" i="2" s="1"/>
  <c r="G44" i="2"/>
  <c r="I29" i="2" s="1"/>
  <c r="G46" i="2"/>
  <c r="M31" i="2" s="1"/>
  <c r="I34" i="2"/>
  <c r="I45" i="2" s="1"/>
  <c r="M30" i="2" s="1"/>
  <c r="K24" i="2"/>
  <c r="J25" i="2"/>
  <c r="J34" i="2" s="1"/>
  <c r="J9" i="3"/>
  <c r="M15" i="2"/>
  <c r="M18" i="2" s="1"/>
  <c r="I15" i="2"/>
  <c r="I18" i="2" s="1"/>
  <c r="G8" i="3"/>
  <c r="J12" i="2"/>
  <c r="AV13" i="1"/>
  <c r="AU13" i="1"/>
  <c r="AT13" i="1"/>
  <c r="AS13" i="1"/>
  <c r="AR13" i="1"/>
  <c r="AQ13" i="1"/>
  <c r="AO13" i="1"/>
  <c r="AN13" i="1"/>
  <c r="AM13" i="1"/>
  <c r="AG13" i="1"/>
  <c r="AF13" i="1"/>
  <c r="AE13" i="1"/>
  <c r="Y13" i="1"/>
  <c r="X13" i="1"/>
  <c r="W13" i="1"/>
  <c r="Q13" i="1"/>
  <c r="P13" i="1"/>
  <c r="O13" i="1"/>
  <c r="I13" i="1"/>
  <c r="H13" i="1"/>
  <c r="G13" i="1"/>
  <c r="I46" i="2" l="1"/>
  <c r="O31" i="2" s="1"/>
  <c r="I47" i="2"/>
  <c r="Q32" i="2" s="1"/>
  <c r="I44" i="2"/>
  <c r="K29" i="2" s="1"/>
  <c r="J44" i="2"/>
  <c r="L29" i="2" s="1"/>
  <c r="J45" i="2"/>
  <c r="N30" i="2" s="1"/>
  <c r="J46" i="2"/>
  <c r="P31" i="2" s="1"/>
  <c r="J47" i="2"/>
  <c r="R32" i="2" s="1"/>
  <c r="L24" i="2"/>
  <c r="K25" i="2"/>
  <c r="K9" i="3"/>
  <c r="N15" i="2"/>
  <c r="N18" i="2" s="1"/>
  <c r="J15" i="2"/>
  <c r="J18" i="2" s="1"/>
  <c r="H8" i="3"/>
  <c r="I8" i="3" s="1"/>
  <c r="J8" i="3" s="1"/>
  <c r="K8" i="3" s="1"/>
  <c r="L8" i="3" s="1"/>
  <c r="K12" i="2"/>
  <c r="K34" i="2" l="1"/>
  <c r="K47" i="2" s="1"/>
  <c r="S32" i="2" s="1"/>
  <c r="K45" i="2"/>
  <c r="O30" i="2" s="1"/>
  <c r="M24" i="2"/>
  <c r="L25" i="2"/>
  <c r="L9" i="3"/>
  <c r="O15" i="2"/>
  <c r="O18" i="2" s="1"/>
  <c r="L12" i="2"/>
  <c r="L34" i="2" l="1"/>
  <c r="K46" i="2"/>
  <c r="Q31" i="2" s="1"/>
  <c r="K44" i="2"/>
  <c r="M29" i="2" s="1"/>
  <c r="L44" i="2"/>
  <c r="N29" i="2" s="1"/>
  <c r="L45" i="2"/>
  <c r="P30" i="2" s="1"/>
  <c r="L46" i="2"/>
  <c r="R31" i="2" s="1"/>
  <c r="L47" i="2"/>
  <c r="T32" i="2" s="1"/>
  <c r="N24" i="2"/>
  <c r="M25" i="2"/>
  <c r="M12" i="2"/>
  <c r="M34" i="2" l="1"/>
  <c r="M47" i="2" s="1"/>
  <c r="U32" i="2" s="1"/>
  <c r="M45" i="2"/>
  <c r="Q30" i="2" s="1"/>
  <c r="O24" i="2"/>
  <c r="O25" i="2" s="1"/>
  <c r="N25" i="2"/>
  <c r="N34" i="2" s="1"/>
  <c r="O12" i="2"/>
  <c r="N12" i="2"/>
  <c r="M46" i="2" l="1"/>
  <c r="S31" i="2" s="1"/>
  <c r="M44" i="2"/>
  <c r="O29" i="2" s="1"/>
  <c r="O34" i="2" s="1"/>
  <c r="O47" i="2" s="1"/>
  <c r="W32" i="2" s="1"/>
  <c r="W50" i="2" s="1"/>
  <c r="N45" i="2"/>
  <c r="R30" i="2" s="1"/>
  <c r="R50" i="2" s="1"/>
  <c r="N46" i="2"/>
  <c r="T31" i="2" s="1"/>
  <c r="T50" i="2" s="1"/>
  <c r="N47" i="2"/>
  <c r="V32" i="2" s="1"/>
  <c r="V50" i="2" s="1"/>
  <c r="N44" i="2"/>
  <c r="P29" i="2" s="1"/>
  <c r="P50" i="2" s="1"/>
  <c r="O46" i="2" l="1"/>
  <c r="U31" i="2" s="1"/>
  <c r="U50" i="2" s="1"/>
  <c r="O44" i="2"/>
  <c r="Q29" i="2" s="1"/>
  <c r="Q50" i="2" s="1"/>
  <c r="O45" i="2"/>
  <c r="S30" i="2" s="1"/>
  <c r="S50" i="2" s="1"/>
</calcChain>
</file>

<file path=xl/sharedStrings.xml><?xml version="1.0" encoding="utf-8"?>
<sst xmlns="http://schemas.openxmlformats.org/spreadsheetml/2006/main" count="121" uniqueCount="73">
  <si>
    <t>2022 Student Research Case Study Challenge</t>
  </si>
  <si>
    <t>Football-Soccer Revenue</t>
  </si>
  <si>
    <t>All values are expressed in Rarita Doubloons</t>
  </si>
  <si>
    <t>Copyright © 2022 by the Society of Actuaries Research Institute. All rights reserved.</t>
  </si>
  <si>
    <t>Nation</t>
  </si>
  <si>
    <t>Per Capita
Total Revenue (∂)</t>
  </si>
  <si>
    <t>Per Capita
Matchday (∂)</t>
  </si>
  <si>
    <t>Per Capita
Broadcast (∂)</t>
  </si>
  <si>
    <t>Per Capita
Commercial (∂)</t>
  </si>
  <si>
    <t>GDP</t>
  </si>
  <si>
    <t>Bernepamar</t>
  </si>
  <si>
    <t>Byasier Pujan</t>
  </si>
  <si>
    <t>Cuandbo</t>
  </si>
  <si>
    <t>Djipines</t>
  </si>
  <si>
    <t>Dosqaly</t>
  </si>
  <si>
    <t>Eastern Sleboube</t>
  </si>
  <si>
    <t>Esia</t>
  </si>
  <si>
    <t>Galamily</t>
  </si>
  <si>
    <t>Giumle Lizeibon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</si>
  <si>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</si>
  <si>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</si>
  <si>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</si>
  <si>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</si>
  <si>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</si>
  <si>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</si>
  <si>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</si>
  <si>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Rarita</t>
  </si>
  <si>
    <t>Sobianitedrucy</t>
  </si>
  <si>
    <t>Southern Ristan</t>
  </si>
  <si>
    <t>Unicorporated Tiagascar</t>
  </si>
  <si>
    <t>Xikong</t>
  </si>
  <si>
    <t>2020 Tournament Place</t>
  </si>
  <si>
    <t>Country</t>
  </si>
  <si>
    <t>n/a</t>
  </si>
  <si>
    <t>Per Capita
Total Expense (∂)</t>
  </si>
  <si>
    <t>Per Capita
Staff
Costs (∂)</t>
  </si>
  <si>
    <t>Per Capita
Other
Expenses (∂)</t>
  </si>
  <si>
    <t>Inflation</t>
  </si>
  <si>
    <t>Population Growth</t>
  </si>
  <si>
    <t>Current Rarita Population</t>
  </si>
  <si>
    <t xml:space="preserve">2020 Values </t>
  </si>
  <si>
    <t>Operating P &amp; L</t>
  </si>
  <si>
    <t>Initial Loaning Procedure</t>
  </si>
  <si>
    <t xml:space="preserve">Secondary Loaning Procedure </t>
  </si>
  <si>
    <t>Loaning Revenue</t>
  </si>
  <si>
    <t>Salaries</t>
  </si>
  <si>
    <t>Player Salary</t>
  </si>
  <si>
    <t>Salary</t>
  </si>
  <si>
    <t>Salary P&amp;L</t>
  </si>
  <si>
    <t xml:space="preserve">Scaling </t>
  </si>
  <si>
    <t xml:space="preserve">Opening Balance </t>
  </si>
  <si>
    <t xml:space="preserve">Average 1 Year Spot Rate </t>
  </si>
  <si>
    <t>Average 2 Year Spot Rate</t>
  </si>
  <si>
    <t xml:space="preserve">Other Revenue </t>
  </si>
  <si>
    <t xml:space="preserve">Other Expenses </t>
  </si>
  <si>
    <t>Initial Social Media Outlay</t>
  </si>
  <si>
    <t xml:space="preserve">Investment in Grassroots </t>
  </si>
  <si>
    <t>Total Position</t>
  </si>
  <si>
    <t>2 Year</t>
  </si>
  <si>
    <t>4 Year</t>
  </si>
  <si>
    <t xml:space="preserve">6 Year </t>
  </si>
  <si>
    <t>8 Year</t>
  </si>
  <si>
    <t>10 Year</t>
  </si>
  <si>
    <t>Investment - Return</t>
  </si>
  <si>
    <t xml:space="preserve">Investment Outflow </t>
  </si>
  <si>
    <t>6 Year</t>
  </si>
  <si>
    <t>1 Year</t>
  </si>
  <si>
    <t xml:space="preserve">Average 4 Year Spot Rate </t>
  </si>
  <si>
    <t>Average 6 Year Spot Rate</t>
  </si>
  <si>
    <t>Average 8 Year Spot Rate</t>
  </si>
  <si>
    <t xml:space="preserve">Future </t>
  </si>
  <si>
    <t>Total Other Expenses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</si>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</sst>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.00000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8"/>
      <color indexed="8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/>
    <xf numFmtId="0" fontId="7" fillId="0" borderId="0" xfId="0" applyFont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5" xfId="0" applyNumberFormat="1" applyFont="1" applyBorder="1"/>
    <xf numFmtId="164" fontId="2" fillId="0" borderId="0" xfId="1" applyNumberFormat="1" applyFont="1" applyFill="1" applyBorder="1"/>
    <xf numFmtId="0" fontId="5" fillId="2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left"/>
    </xf>
    <xf numFmtId="44" fontId="0" fillId="0" borderId="0" xfId="2" applyFont="1"/>
    <xf numFmtId="44" fontId="8" fillId="0" borderId="0" xfId="2" applyFont="1"/>
    <xf numFmtId="44" fontId="9" fillId="0" borderId="0" xfId="2" applyFont="1"/>
    <xf numFmtId="44" fontId="10" fillId="0" borderId="0" xfId="2" applyFont="1"/>
    <xf numFmtId="166" fontId="1" fillId="0" borderId="0" xfId="3" applyNumberFormat="1" applyFont="1"/>
    <xf numFmtId="10" fontId="0" fillId="0" borderId="0" xfId="2" applyNumberFormat="1" applyFont="1"/>
    <xf numFmtId="10" fontId="0" fillId="0" borderId="0" xfId="3" applyNumberFormat="1" applyFont="1"/>
    <xf numFmtId="10" fontId="11" fillId="0" borderId="0" xfId="3" applyNumberFormat="1" applyFont="1"/>
    <xf numFmtId="164" fontId="11" fillId="0" borderId="0" xfId="1" applyNumberFormat="1" applyFont="1"/>
    <xf numFmtId="44" fontId="0" fillId="0" borderId="0" xfId="0" applyNumberFormat="1"/>
    <xf numFmtId="44" fontId="8" fillId="0" borderId="0" xfId="0" applyNumberFormat="1" applyFont="1"/>
    <xf numFmtId="44" fontId="10" fillId="0" borderId="0" xfId="0" applyNumberFormat="1" applyFont="1"/>
    <xf numFmtId="44" fontId="9" fillId="0" borderId="0" xfId="0" applyNumberFormat="1" applyFont="1"/>
    <xf numFmtId="44" fontId="0" fillId="0" borderId="0" xfId="0" applyNumberFormat="1" applyFont="1"/>
    <xf numFmtId="164" fontId="2" fillId="5" borderId="0" xfId="0" applyNumberFormat="1" applyFont="1" applyFill="1"/>
    <xf numFmtId="0" fontId="8" fillId="0" borderId="0" xfId="0" applyFont="1"/>
    <xf numFmtId="44" fontId="11" fillId="0" borderId="0" xfId="0" applyNumberFormat="1" applyFont="1"/>
    <xf numFmtId="4" fontId="2" fillId="0" borderId="0" xfId="0" applyNumberFormat="1" applyFont="1"/>
    <xf numFmtId="0" fontId="0" fillId="6" borderId="0" xfId="0" applyFill="1"/>
    <xf numFmtId="44" fontId="0" fillId="6" borderId="0" xfId="0" applyNumberFormat="1" applyFill="1"/>
    <xf numFmtId="44" fontId="8" fillId="6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148C16-6984-4C29-B65B-CB758BC009A3}"/>
            </a:ext>
          </a:extLst>
        </xdr:cNvPr>
        <xdr:cNvGrpSpPr/>
      </xdr:nvGrpSpPr>
      <xdr:grpSpPr>
        <a:xfrm>
          <a:off x="357188" y="123825"/>
          <a:ext cx="1051266" cy="58879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BDED783-1054-4F83-97D3-ED11C2AA3698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DAA3A89-4B77-46DE-9027-74060C92BC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695325</xdr:colOff>
      <xdr:row>0</xdr:row>
      <xdr:rowOff>112395</xdr:rowOff>
    </xdr:from>
    <xdr:to>
      <xdr:col>11</xdr:col>
      <xdr:colOff>827942</xdr:colOff>
      <xdr:row>3</xdr:row>
      <xdr:rowOff>112395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2A140A0-80B8-40E6-AD5D-7C42997DAB67}"/>
            </a:ext>
          </a:extLst>
        </xdr:cNvPr>
        <xdr:cNvGrpSpPr/>
      </xdr:nvGrpSpPr>
      <xdr:grpSpPr>
        <a:xfrm>
          <a:off x="10529888" y="112395"/>
          <a:ext cx="1047017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110075D-8F6E-427A-93BE-FF3C36017134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08D62C4-6AAE-4FF5-AB01-A32FD288AF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c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  <sheetName val="Sheet2"/>
      <sheetName val="Revenue"/>
      <sheetName val="Expense"/>
      <sheetName val="Attendance"/>
      <sheetName val="Social Media"/>
      <sheetName val="Sheet3"/>
    </sheetNames>
    <sheetDataSet>
      <sheetData sheetId="0"/>
      <sheetData sheetId="1"/>
      <sheetData sheetId="2"/>
      <sheetData sheetId="3">
        <row r="13">
          <cell r="C13" t="str">
            <v>Per Capita
Total Expense (∂)</v>
          </cell>
          <cell r="D13" t="str">
            <v>Per Capita
Staff
Costs (∂)</v>
          </cell>
          <cell r="E13" t="str">
            <v>Per Capita
Other
Expenses (∂)</v>
          </cell>
          <cell r="F13" t="str">
            <v>Per Capita
Total Expense (∂)</v>
          </cell>
          <cell r="G13" t="str">
            <v>Per Capita
Staff
Costs (∂)</v>
          </cell>
          <cell r="H13" t="str">
            <v>Per Capita
Other
Expenses (∂)</v>
          </cell>
          <cell r="I13" t="str">
            <v>Per Capita
Total Expense (∂)</v>
          </cell>
          <cell r="J13" t="str">
            <v>Per Capita
Staff
Costs (∂)</v>
          </cell>
          <cell r="K13" t="str">
            <v>Per Capita
Other
Expenses (∂)</v>
          </cell>
          <cell r="L13" t="str">
            <v>Per Capita
Total Expense (∂)</v>
          </cell>
          <cell r="M13" t="str">
            <v>Per Capita
Staff
Costs (∂)</v>
          </cell>
          <cell r="N13" t="str">
            <v>Per Capita
Other
Expenses (∂)</v>
          </cell>
          <cell r="O13" t="str">
            <v>Per Capita
Total Expense (∂)</v>
          </cell>
          <cell r="P13" t="str">
            <v>Per Capita
Staff
Costs (∂)</v>
          </cell>
          <cell r="Q13" t="str">
            <v>Per Capita
Other
Expenses (∂)</v>
          </cell>
        </row>
      </sheetData>
      <sheetData sheetId="4">
        <row r="13">
          <cell r="C13" t="str">
            <v>Average League Attendance</v>
          </cell>
        </row>
      </sheetData>
      <sheetData sheetId="5">
        <row r="13">
          <cell r="C13" t="str">
            <v>Facebook</v>
          </cell>
          <cell r="D13" t="str">
            <v>Instagram</v>
          </cell>
          <cell r="E13" t="str">
            <v>Twitter</v>
          </cell>
          <cell r="F13" t="str">
            <v>Youtube</v>
          </cell>
          <cell r="G13" t="str">
            <v>Tiktok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4DEC-3F07-486D-AB4E-8BD3B3B9B8CA}">
  <sheetPr>
    <tabColor theme="4"/>
  </sheetPr>
  <dimension ref="A7:AW53"/>
  <sheetViews>
    <sheetView topLeftCell="A13" zoomScaleNormal="100" workbookViewId="0">
      <selection activeCell="AR14" sqref="AR14:AW34"/>
    </sheetView>
  </sheetViews>
  <sheetFormatPr defaultColWidth="8.86328125" defaultRowHeight="14.25" x14ac:dyDescent="0.45"/>
  <cols>
    <col min="1" max="1" width="4.59765625" style="1" bestFit="1" customWidth="1"/>
    <col min="2" max="2" width="21.796875" style="1" bestFit="1" customWidth="1"/>
    <col min="3" max="3" width="21.6640625" style="1" customWidth="1"/>
    <col min="4" max="38" width="12.796875" style="1" customWidth="1"/>
    <col min="39" max="39" width="11" style="1" bestFit="1" customWidth="1"/>
    <col min="40" max="40" width="15.796875" style="1" customWidth="1"/>
    <col min="41" max="42" width="16.19921875" style="1" customWidth="1"/>
    <col min="43" max="43" width="24.3984375" style="1" bestFit="1" customWidth="1"/>
    <col min="44" max="16384" width="8.86328125" style="1"/>
  </cols>
  <sheetData>
    <row r="7" spans="1:49" ht="18" x14ac:dyDescent="0.55000000000000004">
      <c r="B7" s="2" t="s">
        <v>0</v>
      </c>
    </row>
    <row r="8" spans="1:49" ht="18" x14ac:dyDescent="0.55000000000000004">
      <c r="B8" s="2" t="s">
        <v>1</v>
      </c>
    </row>
    <row r="9" spans="1:49" x14ac:dyDescent="0.45">
      <c r="B9" s="1" t="s">
        <v>2</v>
      </c>
      <c r="L9" s="3" t="s">
        <v>3</v>
      </c>
    </row>
    <row r="12" spans="1:49" ht="15.75" x14ac:dyDescent="0.5">
      <c r="C12" s="4">
        <v>2020</v>
      </c>
      <c r="D12" s="5"/>
      <c r="E12" s="5"/>
      <c r="F12" s="6"/>
      <c r="G12" s="5"/>
      <c r="H12" s="5"/>
      <c r="I12" s="5"/>
      <c r="J12" s="5"/>
      <c r="K12" s="7">
        <v>2019</v>
      </c>
      <c r="L12" s="7"/>
      <c r="M12" s="7"/>
      <c r="N12" s="7"/>
      <c r="O12" s="7"/>
      <c r="P12" s="7"/>
      <c r="Q12" s="7"/>
      <c r="R12" s="7"/>
      <c r="S12" s="4">
        <v>2018</v>
      </c>
      <c r="T12" s="5"/>
      <c r="U12" s="5"/>
      <c r="V12" s="6"/>
      <c r="W12" s="5"/>
      <c r="X12" s="5"/>
      <c r="Y12" s="5"/>
      <c r="Z12" s="5"/>
      <c r="AA12" s="7">
        <v>2017</v>
      </c>
      <c r="AB12" s="7"/>
      <c r="AC12" s="7"/>
      <c r="AD12" s="7"/>
      <c r="AE12" s="7"/>
      <c r="AF12" s="7"/>
      <c r="AG12" s="7"/>
      <c r="AH12" s="7"/>
      <c r="AI12" s="4">
        <v>2016</v>
      </c>
      <c r="AJ12" s="5"/>
      <c r="AK12" s="5"/>
      <c r="AL12" s="6"/>
      <c r="AM12" s="6"/>
      <c r="AN12" s="6"/>
      <c r="AO12" s="6"/>
      <c r="AP12" s="8"/>
    </row>
    <row r="13" spans="1:49" ht="47.25" x14ac:dyDescent="0.5">
      <c r="B13" s="9" t="s">
        <v>4</v>
      </c>
      <c r="C13" s="10" t="s">
        <v>5</v>
      </c>
      <c r="D13" s="8" t="s">
        <v>6</v>
      </c>
      <c r="E13" s="8" t="s">
        <v>7</v>
      </c>
      <c r="F13" s="11" t="s">
        <v>8</v>
      </c>
      <c r="G13" s="8" t="str">
        <f>[1]Expense!C13</f>
        <v>Per Capita
Total Expense (∂)</v>
      </c>
      <c r="H13" s="8" t="str">
        <f>[1]Expense!D13</f>
        <v>Per Capita
Staff
Costs (∂)</v>
      </c>
      <c r="I13" s="8" t="str">
        <f>[1]Expense!E13</f>
        <v>Per Capita
Other
Expenses (∂)</v>
      </c>
      <c r="J13" s="8" t="s">
        <v>9</v>
      </c>
      <c r="K13" s="12" t="s">
        <v>5</v>
      </c>
      <c r="L13" s="12" t="s">
        <v>6</v>
      </c>
      <c r="M13" s="12" t="s">
        <v>7</v>
      </c>
      <c r="N13" s="12" t="s">
        <v>8</v>
      </c>
      <c r="O13" s="12" t="str">
        <f>[1]Expense!F13</f>
        <v>Per Capita
Total Expense (∂)</v>
      </c>
      <c r="P13" s="12" t="str">
        <f>[1]Expense!G13</f>
        <v>Per Capita
Staff
Costs (∂)</v>
      </c>
      <c r="Q13" s="12" t="str">
        <f>[1]Expense!H13</f>
        <v>Per Capita
Other
Expenses (∂)</v>
      </c>
      <c r="R13" s="12" t="s">
        <v>9</v>
      </c>
      <c r="S13" s="10" t="s">
        <v>5</v>
      </c>
      <c r="T13" s="8" t="s">
        <v>6</v>
      </c>
      <c r="U13" s="8" t="s">
        <v>7</v>
      </c>
      <c r="V13" s="11" t="s">
        <v>8</v>
      </c>
      <c r="W13" s="8" t="str">
        <f>[1]Expense!I13</f>
        <v>Per Capita
Total Expense (∂)</v>
      </c>
      <c r="X13" s="8" t="str">
        <f>[1]Expense!J13</f>
        <v>Per Capita
Staff
Costs (∂)</v>
      </c>
      <c r="Y13" s="8" t="str">
        <f>[1]Expense!K13</f>
        <v>Per Capita
Other
Expenses (∂)</v>
      </c>
      <c r="Z13" s="8" t="s">
        <v>9</v>
      </c>
      <c r="AA13" s="12" t="s">
        <v>5</v>
      </c>
      <c r="AB13" s="12" t="s">
        <v>6</v>
      </c>
      <c r="AC13" s="12" t="s">
        <v>7</v>
      </c>
      <c r="AD13" s="12" t="s">
        <v>8</v>
      </c>
      <c r="AE13" s="12" t="str">
        <f>[1]Expense!L13</f>
        <v>Per Capita
Total Expense (∂)</v>
      </c>
      <c r="AF13" s="12" t="str">
        <f>[1]Expense!M13</f>
        <v>Per Capita
Staff
Costs (∂)</v>
      </c>
      <c r="AG13" s="12" t="str">
        <f>[1]Expense!N13</f>
        <v>Per Capita
Other
Expenses (∂)</v>
      </c>
      <c r="AH13" s="12" t="s">
        <v>9</v>
      </c>
      <c r="AI13" s="10" t="s">
        <v>5</v>
      </c>
      <c r="AJ13" s="8" t="s">
        <v>6</v>
      </c>
      <c r="AK13" s="8" t="s">
        <v>7</v>
      </c>
      <c r="AL13" s="11" t="s">
        <v>8</v>
      </c>
      <c r="AM13" s="11" t="str">
        <f>[1]Expense!O13</f>
        <v>Per Capita
Total Expense (∂)</v>
      </c>
      <c r="AN13" s="11" t="str">
        <f>[1]Expense!P13</f>
        <v>Per Capita
Staff
Costs (∂)</v>
      </c>
      <c r="AO13" s="11" t="str">
        <f>[1]Expense!Q13</f>
        <v>Per Capita
Other
Expenses (∂)</v>
      </c>
      <c r="AP13" s="8" t="s">
        <v>9</v>
      </c>
      <c r="AQ13" s="13" t="str">
        <f>[1]Attendance!C13</f>
        <v>Average League Attendance</v>
      </c>
      <c r="AR13" s="13" t="str">
        <f>'[1]Social Media'!C13</f>
        <v>Facebook</v>
      </c>
      <c r="AS13" s="13" t="str">
        <f>'[1]Social Media'!D13</f>
        <v>Instagram</v>
      </c>
      <c r="AT13" s="13" t="str">
        <f>'[1]Social Media'!E13</f>
        <v>Twitter</v>
      </c>
      <c r="AU13" s="13" t="str">
        <f>'[1]Social Media'!F13</f>
        <v>Youtube</v>
      </c>
      <c r="AV13" s="13" t="str">
        <f>'[1]Social Media'!G13</f>
        <v>Tiktok</v>
      </c>
    </row>
    <row r="14" spans="1:49" x14ac:dyDescent="0.45">
      <c r="A14" s="1">
        <f>_xlfn.XLOOKUP(B14, C$38:C$53, B$38:B$53, 20)</f>
        <v>14</v>
      </c>
      <c r="B14" s="14" t="s">
        <v>10</v>
      </c>
      <c r="C14" s="15">
        <v>155.73000000000002</v>
      </c>
      <c r="D14" s="16">
        <v>30.4</v>
      </c>
      <c r="E14" s="16">
        <v>72.53</v>
      </c>
      <c r="F14" s="17">
        <v>52.8</v>
      </c>
      <c r="G14" s="16">
        <v>151.12</v>
      </c>
      <c r="H14" s="16">
        <v>95.19</v>
      </c>
      <c r="I14" s="16">
        <v>55.93</v>
      </c>
      <c r="J14" s="16">
        <v>3731</v>
      </c>
      <c r="K14" s="16">
        <v>193.31</v>
      </c>
      <c r="L14" s="16">
        <v>27.01</v>
      </c>
      <c r="M14" s="16">
        <v>84.21</v>
      </c>
      <c r="N14" s="16">
        <v>82.09</v>
      </c>
      <c r="O14" s="16">
        <v>167.54000000000002</v>
      </c>
      <c r="P14" s="16">
        <v>93.5</v>
      </c>
      <c r="Q14" s="16">
        <v>74.040000000000006</v>
      </c>
      <c r="R14" s="16">
        <v>3666</v>
      </c>
      <c r="S14" s="15">
        <v>147.94</v>
      </c>
      <c r="T14" s="16">
        <v>18.43</v>
      </c>
      <c r="U14" s="16">
        <v>51.59</v>
      </c>
      <c r="V14" s="17">
        <v>77.92</v>
      </c>
      <c r="W14" s="16">
        <v>123.68</v>
      </c>
      <c r="X14" s="16">
        <v>77.17</v>
      </c>
      <c r="Y14" s="16">
        <v>46.51</v>
      </c>
      <c r="Z14" s="16">
        <v>3100</v>
      </c>
      <c r="AA14" s="16">
        <v>137.35000000000002</v>
      </c>
      <c r="AB14" s="16">
        <v>14.68</v>
      </c>
      <c r="AC14" s="16">
        <v>54.52</v>
      </c>
      <c r="AD14" s="16">
        <v>68.150000000000006</v>
      </c>
      <c r="AE14" s="16">
        <v>100.03</v>
      </c>
      <c r="AF14" s="16">
        <v>68.959999999999994</v>
      </c>
      <c r="AG14" s="16">
        <v>31.07</v>
      </c>
      <c r="AH14" s="16">
        <v>2643</v>
      </c>
      <c r="AI14" s="15">
        <v>93.87</v>
      </c>
      <c r="AJ14" s="16">
        <v>13.56</v>
      </c>
      <c r="AK14" s="16">
        <v>51.63</v>
      </c>
      <c r="AL14" s="17">
        <v>28.68</v>
      </c>
      <c r="AM14" s="17">
        <v>96.51</v>
      </c>
      <c r="AN14" s="17">
        <v>60.88</v>
      </c>
      <c r="AO14" s="17">
        <v>35.630000000000003</v>
      </c>
      <c r="AP14" s="16">
        <v>2190</v>
      </c>
      <c r="AQ14" s="18">
        <v>65800</v>
      </c>
      <c r="AR14" s="1">
        <v>27.4</v>
      </c>
      <c r="AS14" s="1">
        <v>6.2</v>
      </c>
      <c r="AT14" s="1">
        <v>2.2999999999999998</v>
      </c>
      <c r="AU14" s="1">
        <v>0.7</v>
      </c>
      <c r="AV14" s="1">
        <v>0.8</v>
      </c>
      <c r="AW14" s="1">
        <f>IF(A14&lt;11, 1,0)</f>
        <v>0</v>
      </c>
    </row>
    <row r="15" spans="1:49" x14ac:dyDescent="0.45">
      <c r="A15" s="1">
        <f t="shared" ref="A15:A34" si="0">_xlfn.XLOOKUP(B15, C$38:C$53, B$38:B$53, 20)</f>
        <v>6</v>
      </c>
      <c r="B15" s="14" t="s">
        <v>11</v>
      </c>
      <c r="C15" s="15">
        <v>302.27</v>
      </c>
      <c r="D15" s="16">
        <v>26.38</v>
      </c>
      <c r="E15" s="16">
        <v>119.26</v>
      </c>
      <c r="F15" s="17">
        <v>156.63</v>
      </c>
      <c r="G15" s="16">
        <v>252</v>
      </c>
      <c r="H15" s="16">
        <v>178.06</v>
      </c>
      <c r="I15" s="16">
        <v>73.94</v>
      </c>
      <c r="J15" s="16">
        <v>52450</v>
      </c>
      <c r="K15" s="16">
        <v>337.11</v>
      </c>
      <c r="L15" s="16">
        <v>34.26</v>
      </c>
      <c r="M15" s="16">
        <v>158.61000000000001</v>
      </c>
      <c r="N15" s="16">
        <v>144.24</v>
      </c>
      <c r="O15" s="16">
        <v>269.65999999999997</v>
      </c>
      <c r="P15" s="16">
        <v>169.82</v>
      </c>
      <c r="Q15" s="16">
        <v>99.84</v>
      </c>
      <c r="R15" s="16">
        <v>52529</v>
      </c>
      <c r="S15" s="15">
        <v>316.52</v>
      </c>
      <c r="T15" s="16">
        <v>35.6</v>
      </c>
      <c r="U15" s="16">
        <v>132.94999999999999</v>
      </c>
      <c r="V15" s="17">
        <v>147.97</v>
      </c>
      <c r="W15" s="16">
        <v>205.76</v>
      </c>
      <c r="X15" s="16">
        <v>144.37</v>
      </c>
      <c r="Y15" s="16">
        <v>61.39</v>
      </c>
      <c r="Z15" s="16">
        <v>53072</v>
      </c>
      <c r="AA15" s="16">
        <v>295.43</v>
      </c>
      <c r="AB15" s="16">
        <v>33.57</v>
      </c>
      <c r="AC15" s="16">
        <v>132.61000000000001</v>
      </c>
      <c r="AD15" s="16">
        <v>129.25</v>
      </c>
      <c r="AE15" s="16">
        <v>197.18</v>
      </c>
      <c r="AF15" s="16">
        <v>133.56</v>
      </c>
      <c r="AG15" s="16">
        <v>63.62</v>
      </c>
      <c r="AH15" s="16">
        <v>48604</v>
      </c>
      <c r="AI15" s="15">
        <v>295.5</v>
      </c>
      <c r="AJ15" s="16">
        <v>39.4</v>
      </c>
      <c r="AK15" s="16">
        <v>121.58</v>
      </c>
      <c r="AL15" s="17">
        <v>134.52000000000001</v>
      </c>
      <c r="AM15" s="17">
        <v>175.18</v>
      </c>
      <c r="AN15" s="17">
        <v>134.22</v>
      </c>
      <c r="AO15" s="17">
        <v>40.96</v>
      </c>
      <c r="AP15" s="16">
        <v>46054</v>
      </c>
      <c r="AQ15" s="18">
        <v>54269</v>
      </c>
      <c r="AR15" s="1">
        <v>39.9</v>
      </c>
      <c r="AS15" s="1">
        <v>22</v>
      </c>
      <c r="AT15" s="1">
        <v>8.9</v>
      </c>
      <c r="AU15" s="1">
        <v>2.9</v>
      </c>
      <c r="AV15" s="1">
        <v>2.2000000000000002</v>
      </c>
      <c r="AW15" s="1">
        <f t="shared" ref="AW15:AW34" si="1">IF(A15&lt;11, 1,0)</f>
        <v>1</v>
      </c>
    </row>
    <row r="16" spans="1:49" x14ac:dyDescent="0.45">
      <c r="A16" s="1">
        <f t="shared" si="0"/>
        <v>16</v>
      </c>
      <c r="B16" s="14" t="s">
        <v>12</v>
      </c>
      <c r="C16" s="15">
        <v>315.09000000000003</v>
      </c>
      <c r="D16" s="16">
        <v>20.71</v>
      </c>
      <c r="E16" s="16">
        <v>165.68</v>
      </c>
      <c r="F16" s="17">
        <v>128.69999999999999</v>
      </c>
      <c r="G16" s="16">
        <v>367.87</v>
      </c>
      <c r="H16" s="16">
        <v>249.58</v>
      </c>
      <c r="I16" s="16">
        <v>118.29</v>
      </c>
      <c r="J16" s="16">
        <v>59329</v>
      </c>
      <c r="K16" s="16">
        <v>317.2</v>
      </c>
      <c r="L16" s="16">
        <v>25.56</v>
      </c>
      <c r="M16" s="16">
        <v>228.5</v>
      </c>
      <c r="N16" s="16">
        <v>63.14</v>
      </c>
      <c r="O16" s="16">
        <v>335.33</v>
      </c>
      <c r="P16" s="16">
        <v>235.2</v>
      </c>
      <c r="Q16" s="16">
        <v>100.13</v>
      </c>
      <c r="R16" s="16">
        <v>69010</v>
      </c>
      <c r="S16" s="15">
        <v>327.33</v>
      </c>
      <c r="T16" s="16">
        <v>29.2</v>
      </c>
      <c r="U16" s="16">
        <v>245.88</v>
      </c>
      <c r="V16" s="17">
        <v>52.25</v>
      </c>
      <c r="W16" s="16">
        <v>376.84000000000003</v>
      </c>
      <c r="X16" s="16">
        <v>235.74</v>
      </c>
      <c r="Y16" s="16">
        <v>141.1</v>
      </c>
      <c r="Z16" s="16">
        <v>74544</v>
      </c>
      <c r="AA16" s="16">
        <v>315.69</v>
      </c>
      <c r="AB16" s="16">
        <v>26.83</v>
      </c>
      <c r="AC16" s="16">
        <v>239.93</v>
      </c>
      <c r="AD16" s="16">
        <v>48.93</v>
      </c>
      <c r="AE16" s="16">
        <v>227.20000000000002</v>
      </c>
      <c r="AF16" s="16">
        <v>178.77</v>
      </c>
      <c r="AG16" s="16">
        <v>48.43</v>
      </c>
      <c r="AH16" s="16">
        <v>72082</v>
      </c>
      <c r="AI16" s="15">
        <v>263.39</v>
      </c>
      <c r="AJ16" s="16">
        <v>38.78</v>
      </c>
      <c r="AK16" s="16">
        <v>180.98</v>
      </c>
      <c r="AL16" s="17">
        <v>43.63</v>
      </c>
      <c r="AM16" s="17">
        <v>260.52</v>
      </c>
      <c r="AN16" s="17">
        <v>198.72</v>
      </c>
      <c r="AO16" s="17">
        <v>61.8</v>
      </c>
      <c r="AP16" s="16">
        <v>62050</v>
      </c>
      <c r="AQ16" s="18">
        <v>39282</v>
      </c>
      <c r="AR16" s="1">
        <v>3.6</v>
      </c>
      <c r="AS16" s="1">
        <v>2.2000000000000002</v>
      </c>
      <c r="AT16" s="1">
        <v>2.2999999999999998</v>
      </c>
      <c r="AU16" s="1">
        <v>0.4</v>
      </c>
      <c r="AV16" s="1">
        <v>0.3</v>
      </c>
      <c r="AW16" s="1">
        <f t="shared" si="1"/>
        <v>0</v>
      </c>
    </row>
    <row r="17" spans="1:49" x14ac:dyDescent="0.45">
      <c r="A17" s="1">
        <f t="shared" si="0"/>
        <v>20</v>
      </c>
      <c r="B17" s="14" t="s">
        <v>13</v>
      </c>
      <c r="C17" s="15">
        <v>426.70000000000005</v>
      </c>
      <c r="D17" s="16">
        <v>95.64</v>
      </c>
      <c r="E17" s="16">
        <v>223.16</v>
      </c>
      <c r="F17" s="17">
        <v>107.9</v>
      </c>
      <c r="G17" s="16">
        <v>414.24</v>
      </c>
      <c r="H17" s="16">
        <v>223.31</v>
      </c>
      <c r="I17" s="16">
        <v>190.93</v>
      </c>
      <c r="J17" s="16">
        <v>30498</v>
      </c>
      <c r="K17" s="16">
        <v>449.32000000000005</v>
      </c>
      <c r="L17" s="16">
        <v>123.44</v>
      </c>
      <c r="M17" s="16">
        <v>224.66</v>
      </c>
      <c r="N17" s="16">
        <v>101.22</v>
      </c>
      <c r="O17" s="16">
        <v>361.05</v>
      </c>
      <c r="P17" s="16">
        <v>208.96</v>
      </c>
      <c r="Q17" s="16">
        <v>152.09</v>
      </c>
      <c r="R17" s="16">
        <v>31975</v>
      </c>
      <c r="S17" s="15">
        <v>317.51</v>
      </c>
      <c r="T17" s="16">
        <v>91.78</v>
      </c>
      <c r="U17" s="16">
        <v>133.94999999999999</v>
      </c>
      <c r="V17" s="17">
        <v>91.78</v>
      </c>
      <c r="W17" s="16">
        <v>253.8</v>
      </c>
      <c r="X17" s="16">
        <v>135.08000000000001</v>
      </c>
      <c r="Y17" s="16">
        <v>118.72</v>
      </c>
      <c r="Z17" s="16">
        <v>32602</v>
      </c>
      <c r="AA17" s="16">
        <v>261.60000000000002</v>
      </c>
      <c r="AB17" s="16">
        <v>87.2</v>
      </c>
      <c r="AC17" s="16">
        <v>104.64</v>
      </c>
      <c r="AD17" s="16">
        <v>69.760000000000005</v>
      </c>
      <c r="AE17" s="16">
        <v>198.35</v>
      </c>
      <c r="AF17" s="16">
        <v>114.21</v>
      </c>
      <c r="AG17" s="16">
        <v>84.14</v>
      </c>
      <c r="AH17" s="16">
        <v>30333</v>
      </c>
      <c r="AI17" s="15">
        <v>237.79999999999998</v>
      </c>
      <c r="AJ17" s="16">
        <v>80.099999999999994</v>
      </c>
      <c r="AK17" s="16">
        <v>87.61</v>
      </c>
      <c r="AL17" s="17">
        <v>70.09</v>
      </c>
      <c r="AM17" s="17">
        <v>215.99</v>
      </c>
      <c r="AN17" s="17">
        <v>122.96</v>
      </c>
      <c r="AO17" s="17">
        <v>93.03</v>
      </c>
      <c r="AP17" s="16">
        <v>31034</v>
      </c>
      <c r="AQ17" s="18">
        <v>50091</v>
      </c>
      <c r="AR17" s="1">
        <v>0.8</v>
      </c>
      <c r="AS17" s="1">
        <v>0.5</v>
      </c>
      <c r="AT17" s="1">
        <v>0.5</v>
      </c>
      <c r="AU17" s="1">
        <v>0.1</v>
      </c>
      <c r="AV17" s="1">
        <v>0.1</v>
      </c>
      <c r="AW17" s="1">
        <f t="shared" si="1"/>
        <v>0</v>
      </c>
    </row>
    <row r="18" spans="1:49" x14ac:dyDescent="0.45">
      <c r="A18" s="1">
        <f t="shared" si="0"/>
        <v>1</v>
      </c>
      <c r="B18" s="14" t="s">
        <v>14</v>
      </c>
      <c r="C18" s="15">
        <v>291.31</v>
      </c>
      <c r="D18" s="16">
        <v>49.54</v>
      </c>
      <c r="E18" s="16">
        <v>80.77</v>
      </c>
      <c r="F18" s="17">
        <v>161</v>
      </c>
      <c r="G18" s="16">
        <v>266.90999999999997</v>
      </c>
      <c r="H18" s="16">
        <v>208.94</v>
      </c>
      <c r="I18" s="16">
        <v>57.97</v>
      </c>
      <c r="J18" s="16">
        <v>39069</v>
      </c>
      <c r="K18" s="16">
        <v>343.19</v>
      </c>
      <c r="L18" s="16">
        <v>62.59</v>
      </c>
      <c r="M18" s="16">
        <v>84.72</v>
      </c>
      <c r="N18" s="16">
        <v>195.88</v>
      </c>
      <c r="O18" s="16">
        <v>257.38</v>
      </c>
      <c r="P18" s="16">
        <v>180.57</v>
      </c>
      <c r="Q18" s="16">
        <v>76.81</v>
      </c>
      <c r="R18" s="16">
        <v>40619</v>
      </c>
      <c r="S18" s="15">
        <v>293.11</v>
      </c>
      <c r="T18" s="16">
        <v>54.62</v>
      </c>
      <c r="U18" s="16">
        <v>69.22</v>
      </c>
      <c r="V18" s="17">
        <v>169.27</v>
      </c>
      <c r="W18" s="16">
        <v>235.25</v>
      </c>
      <c r="X18" s="16">
        <v>169.03</v>
      </c>
      <c r="Y18" s="16">
        <v>66.22</v>
      </c>
      <c r="Z18" s="16">
        <v>41614</v>
      </c>
      <c r="AA18" s="16">
        <v>263.55</v>
      </c>
      <c r="AB18" s="16">
        <v>48.81</v>
      </c>
      <c r="AC18" s="16">
        <v>66.16</v>
      </c>
      <c r="AD18" s="16">
        <v>148.58000000000001</v>
      </c>
      <c r="AE18" s="16">
        <v>172.32</v>
      </c>
      <c r="AF18" s="16">
        <v>142.75</v>
      </c>
      <c r="AG18" s="16">
        <v>29.57</v>
      </c>
      <c r="AH18" s="16">
        <v>38724</v>
      </c>
      <c r="AI18" s="15">
        <v>283.35000000000002</v>
      </c>
      <c r="AJ18" s="16">
        <v>50.58</v>
      </c>
      <c r="AK18" s="16">
        <v>66.89</v>
      </c>
      <c r="AL18" s="17">
        <v>165.88</v>
      </c>
      <c r="AM18" s="17">
        <v>186.18</v>
      </c>
      <c r="AN18" s="17">
        <v>140.97999999999999</v>
      </c>
      <c r="AO18" s="17">
        <v>45.2</v>
      </c>
      <c r="AP18" s="16">
        <v>37074</v>
      </c>
      <c r="AQ18" s="18">
        <v>47517</v>
      </c>
      <c r="AR18" s="1">
        <v>42</v>
      </c>
      <c r="AS18" s="1">
        <v>32.5</v>
      </c>
      <c r="AT18" s="1">
        <v>8.5</v>
      </c>
      <c r="AU18" s="1">
        <v>2.7</v>
      </c>
      <c r="AV18" s="1">
        <v>3.9</v>
      </c>
      <c r="AW18" s="1">
        <f t="shared" si="1"/>
        <v>1</v>
      </c>
    </row>
    <row r="19" spans="1:49" x14ac:dyDescent="0.45">
      <c r="A19" s="1">
        <f t="shared" si="0"/>
        <v>20</v>
      </c>
      <c r="B19" s="14" t="s">
        <v>15</v>
      </c>
      <c r="C19" s="15">
        <v>135.69999999999999</v>
      </c>
      <c r="D19" s="16">
        <v>8.59</v>
      </c>
      <c r="E19" s="16">
        <v>26.91</v>
      </c>
      <c r="F19" s="17">
        <v>100.2</v>
      </c>
      <c r="G19" s="16">
        <v>0</v>
      </c>
      <c r="H19" s="16">
        <v>0</v>
      </c>
      <c r="I19" s="16">
        <v>0</v>
      </c>
      <c r="J19" s="16">
        <v>10137</v>
      </c>
      <c r="K19" s="16">
        <v>102.87</v>
      </c>
      <c r="L19" s="16">
        <v>6.29</v>
      </c>
      <c r="M19" s="16">
        <v>8.57</v>
      </c>
      <c r="N19" s="16">
        <v>88.01</v>
      </c>
      <c r="O19" s="16">
        <v>0</v>
      </c>
      <c r="P19" s="16">
        <v>0</v>
      </c>
      <c r="Q19" s="16">
        <v>0</v>
      </c>
      <c r="R19" s="16">
        <v>11509</v>
      </c>
      <c r="S19" s="15">
        <v>95.4</v>
      </c>
      <c r="T19" s="16">
        <v>5.14</v>
      </c>
      <c r="U19" s="16">
        <v>7.43</v>
      </c>
      <c r="V19" s="17">
        <v>82.83</v>
      </c>
      <c r="W19" s="16">
        <v>0</v>
      </c>
      <c r="X19" s="16">
        <v>0</v>
      </c>
      <c r="Y19" s="16">
        <v>0</v>
      </c>
      <c r="Z19" s="16">
        <v>11299</v>
      </c>
      <c r="AA19" s="16">
        <v>103.38</v>
      </c>
      <c r="AB19" s="16">
        <v>5.71</v>
      </c>
      <c r="AC19" s="16">
        <v>8.57</v>
      </c>
      <c r="AD19" s="16">
        <v>89.1</v>
      </c>
      <c r="AE19" s="16">
        <v>0</v>
      </c>
      <c r="AF19" s="16">
        <v>0</v>
      </c>
      <c r="AG19" s="16">
        <v>0</v>
      </c>
      <c r="AH19" s="16">
        <v>10731</v>
      </c>
      <c r="AI19" s="15">
        <v>112.08</v>
      </c>
      <c r="AJ19" s="16">
        <v>5.72</v>
      </c>
      <c r="AK19" s="16">
        <v>22.87</v>
      </c>
      <c r="AL19" s="17">
        <v>83.49</v>
      </c>
      <c r="AM19" s="17">
        <v>0</v>
      </c>
      <c r="AN19" s="17">
        <v>0</v>
      </c>
      <c r="AO19" s="17">
        <v>0</v>
      </c>
      <c r="AP19" s="16">
        <v>8714</v>
      </c>
      <c r="AQ19" s="18">
        <v>47700</v>
      </c>
      <c r="AR19" s="1">
        <v>1</v>
      </c>
      <c r="AS19" s="1">
        <v>0.7</v>
      </c>
      <c r="AT19" s="1">
        <v>0.7</v>
      </c>
      <c r="AU19" s="1">
        <v>0.5</v>
      </c>
      <c r="AV19" s="1">
        <v>0.2</v>
      </c>
      <c r="AW19" s="1">
        <f t="shared" si="1"/>
        <v>0</v>
      </c>
    </row>
    <row r="20" spans="1:49" x14ac:dyDescent="0.45">
      <c r="A20" s="1">
        <f t="shared" si="0"/>
        <v>9</v>
      </c>
      <c r="B20" s="14" t="s">
        <v>16</v>
      </c>
      <c r="C20" s="15">
        <v>254.48000000000002</v>
      </c>
      <c r="D20" s="16">
        <v>28.1</v>
      </c>
      <c r="E20" s="16">
        <v>81.48</v>
      </c>
      <c r="F20" s="17">
        <v>144.9</v>
      </c>
      <c r="G20" s="16">
        <v>237.60000000000002</v>
      </c>
      <c r="H20" s="16">
        <v>147.77000000000001</v>
      </c>
      <c r="I20" s="16">
        <v>89.83</v>
      </c>
      <c r="J20" s="16">
        <v>46255</v>
      </c>
      <c r="K20" s="16">
        <v>265.39</v>
      </c>
      <c r="L20" s="16">
        <v>36.99</v>
      </c>
      <c r="M20" s="16">
        <v>84.85</v>
      </c>
      <c r="N20" s="16">
        <v>143.55000000000001</v>
      </c>
      <c r="O20" s="16">
        <v>237.88</v>
      </c>
      <c r="P20" s="16">
        <v>156.94999999999999</v>
      </c>
      <c r="Q20" s="16">
        <v>80.930000000000007</v>
      </c>
      <c r="R20" s="16">
        <v>46842</v>
      </c>
      <c r="S20" s="15">
        <v>253.89</v>
      </c>
      <c r="T20" s="16">
        <v>41.91</v>
      </c>
      <c r="U20" s="16">
        <v>71.33</v>
      </c>
      <c r="V20" s="17">
        <v>140.65</v>
      </c>
      <c r="W20" s="16">
        <v>217.60000000000002</v>
      </c>
      <c r="X20" s="16">
        <v>144.36000000000001</v>
      </c>
      <c r="Y20" s="16">
        <v>73.239999999999995</v>
      </c>
      <c r="Z20" s="16">
        <v>47998</v>
      </c>
      <c r="AA20" s="16">
        <v>237.68</v>
      </c>
      <c r="AB20" s="16">
        <v>39.61</v>
      </c>
      <c r="AC20" s="16">
        <v>59.42</v>
      </c>
      <c r="AD20" s="16">
        <v>138.65</v>
      </c>
      <c r="AE20" s="16">
        <v>181.56</v>
      </c>
      <c r="AF20" s="16">
        <v>96.19</v>
      </c>
      <c r="AG20" s="16">
        <v>85.37</v>
      </c>
      <c r="AH20" s="16">
        <v>44587</v>
      </c>
      <c r="AI20" s="15">
        <v>240.60999999999999</v>
      </c>
      <c r="AJ20" s="16">
        <v>41.39</v>
      </c>
      <c r="AK20" s="16">
        <v>60.05</v>
      </c>
      <c r="AL20" s="17">
        <v>139.16999999999999</v>
      </c>
      <c r="AM20" s="17">
        <v>194.52999999999997</v>
      </c>
      <c r="AN20" s="17">
        <v>106.32</v>
      </c>
      <c r="AO20" s="17">
        <v>88.21</v>
      </c>
      <c r="AP20" s="16">
        <v>42150</v>
      </c>
      <c r="AQ20" s="18">
        <v>75000</v>
      </c>
      <c r="AR20" s="1">
        <v>51.4</v>
      </c>
      <c r="AS20" s="1">
        <v>24.8</v>
      </c>
      <c r="AT20" s="1">
        <v>5.2</v>
      </c>
      <c r="AU20" s="1">
        <v>1.9</v>
      </c>
      <c r="AV20" s="1">
        <v>3.8</v>
      </c>
      <c r="AW20" s="1">
        <f t="shared" si="1"/>
        <v>1</v>
      </c>
    </row>
    <row r="21" spans="1:49" x14ac:dyDescent="0.45">
      <c r="A21" s="1">
        <f t="shared" si="0"/>
        <v>20</v>
      </c>
      <c r="B21" s="14" t="s">
        <v>17</v>
      </c>
      <c r="C21" s="15">
        <v>225.67</v>
      </c>
      <c r="D21" s="16">
        <v>43.4</v>
      </c>
      <c r="E21" s="16">
        <v>121.51</v>
      </c>
      <c r="F21" s="17">
        <v>60.76</v>
      </c>
      <c r="G21" s="16">
        <v>276.62</v>
      </c>
      <c r="H21" s="16">
        <v>164.4</v>
      </c>
      <c r="I21" s="16">
        <v>112.22</v>
      </c>
      <c r="J21" s="16">
        <v>22955</v>
      </c>
      <c r="K21" s="16">
        <v>272.23</v>
      </c>
      <c r="L21" s="16">
        <v>52.21</v>
      </c>
      <c r="M21" s="16">
        <v>151.65</v>
      </c>
      <c r="N21" s="16">
        <v>68.37</v>
      </c>
      <c r="O21" s="16">
        <v>284.23</v>
      </c>
      <c r="P21" s="16">
        <v>150.41999999999999</v>
      </c>
      <c r="Q21" s="16">
        <v>133.81</v>
      </c>
      <c r="R21" s="16">
        <v>23684</v>
      </c>
      <c r="S21" s="15">
        <v>204.66000000000003</v>
      </c>
      <c r="T21" s="16">
        <v>46.17</v>
      </c>
      <c r="U21" s="16">
        <v>81.12</v>
      </c>
      <c r="V21" s="17">
        <v>77.37</v>
      </c>
      <c r="W21" s="16">
        <v>295.02999999999997</v>
      </c>
      <c r="X21" s="16">
        <v>153.94</v>
      </c>
      <c r="Y21" s="16">
        <v>141.09</v>
      </c>
      <c r="Z21" s="16">
        <v>23443</v>
      </c>
      <c r="AA21" s="16">
        <v>247.92000000000002</v>
      </c>
      <c r="AB21" s="16">
        <v>55.09</v>
      </c>
      <c r="AC21" s="16">
        <v>123.96</v>
      </c>
      <c r="AD21" s="16">
        <v>68.87</v>
      </c>
      <c r="AE21" s="16">
        <v>231.32</v>
      </c>
      <c r="AF21" s="16">
        <v>133.09</v>
      </c>
      <c r="AG21" s="16">
        <v>98.23</v>
      </c>
      <c r="AH21" s="16">
        <v>20657</v>
      </c>
      <c r="AI21" s="15">
        <v>200.87</v>
      </c>
      <c r="AJ21" s="16">
        <v>35.15</v>
      </c>
      <c r="AK21" s="16">
        <v>104.2</v>
      </c>
      <c r="AL21" s="17">
        <v>61.52</v>
      </c>
      <c r="AM21" s="17">
        <v>213.41</v>
      </c>
      <c r="AN21" s="17">
        <v>137.75</v>
      </c>
      <c r="AO21" s="17">
        <v>75.66</v>
      </c>
      <c r="AP21" s="16">
        <v>18594</v>
      </c>
      <c r="AQ21" s="18">
        <v>47299</v>
      </c>
      <c r="AR21" s="1">
        <v>4.0999999999999996</v>
      </c>
      <c r="AS21" s="1">
        <v>1.8</v>
      </c>
      <c r="AT21" s="1">
        <v>1.9</v>
      </c>
      <c r="AU21" s="1">
        <v>0.1</v>
      </c>
      <c r="AV21" s="1" t="s">
        <v>33</v>
      </c>
      <c r="AW21" s="1">
        <f t="shared" si="1"/>
        <v>0</v>
      </c>
    </row>
    <row r="22" spans="1:49" x14ac:dyDescent="0.45">
      <c r="A22" s="1">
        <f t="shared" si="0"/>
        <v>20</v>
      </c>
      <c r="B22" s="14" t="s">
        <v>18</v>
      </c>
      <c r="C22" s="15">
        <v>253.39</v>
      </c>
      <c r="D22" s="16">
        <v>18.72</v>
      </c>
      <c r="E22" s="16">
        <v>182.84</v>
      </c>
      <c r="F22" s="17">
        <v>51.83</v>
      </c>
      <c r="G22" s="16">
        <v>226.46</v>
      </c>
      <c r="H22" s="16">
        <v>180.62</v>
      </c>
      <c r="I22" s="16">
        <v>45.84</v>
      </c>
      <c r="J22" s="16">
        <v>48635</v>
      </c>
      <c r="K22" s="16">
        <v>299.26</v>
      </c>
      <c r="L22" s="16">
        <v>23.13</v>
      </c>
      <c r="M22" s="16">
        <v>209.63</v>
      </c>
      <c r="N22" s="16">
        <v>66.5</v>
      </c>
      <c r="O22" s="16">
        <v>255.31</v>
      </c>
      <c r="P22" s="16">
        <v>199.61</v>
      </c>
      <c r="Q22" s="16">
        <v>55.7</v>
      </c>
      <c r="R22" s="16">
        <v>50165</v>
      </c>
      <c r="S22" s="15">
        <v>265.74</v>
      </c>
      <c r="T22" s="16">
        <v>27.59</v>
      </c>
      <c r="U22" s="16">
        <v>177.16</v>
      </c>
      <c r="V22" s="17">
        <v>60.99</v>
      </c>
      <c r="W22" s="16">
        <v>229.89000000000001</v>
      </c>
      <c r="X22" s="16">
        <v>176.3</v>
      </c>
      <c r="Y22" s="16">
        <v>53.59</v>
      </c>
      <c r="Z22" s="16">
        <v>51513</v>
      </c>
      <c r="AA22" s="16">
        <v>291.84999999999997</v>
      </c>
      <c r="AB22" s="16">
        <v>27.73</v>
      </c>
      <c r="AC22" s="16">
        <v>214.51</v>
      </c>
      <c r="AD22" s="16">
        <v>49.61</v>
      </c>
      <c r="AE22" s="16">
        <v>159.65</v>
      </c>
      <c r="AF22" s="16">
        <v>121.13</v>
      </c>
      <c r="AG22" s="16">
        <v>38.520000000000003</v>
      </c>
      <c r="AH22" s="16">
        <v>47359</v>
      </c>
      <c r="AI22" s="15">
        <v>211.59</v>
      </c>
      <c r="AJ22" s="16">
        <v>22.04</v>
      </c>
      <c r="AK22" s="16">
        <v>142.53</v>
      </c>
      <c r="AL22" s="17">
        <v>47.02</v>
      </c>
      <c r="AM22" s="17">
        <v>157.37</v>
      </c>
      <c r="AN22" s="17">
        <v>125.35</v>
      </c>
      <c r="AO22" s="17">
        <v>32.020000000000003</v>
      </c>
      <c r="AP22" s="16">
        <v>45322</v>
      </c>
      <c r="AQ22" s="18">
        <v>28276</v>
      </c>
      <c r="AR22" s="1">
        <v>4.5999999999999996</v>
      </c>
      <c r="AS22" s="1">
        <v>2.6</v>
      </c>
      <c r="AT22" s="1">
        <v>1.7</v>
      </c>
      <c r="AU22" s="1">
        <v>0.2</v>
      </c>
      <c r="AV22" s="1">
        <v>0.3</v>
      </c>
      <c r="AW22" s="1">
        <f t="shared" si="1"/>
        <v>0</v>
      </c>
    </row>
    <row r="23" spans="1:49" x14ac:dyDescent="0.45">
      <c r="A23" s="1">
        <f t="shared" si="0"/>
        <v>5</v>
      </c>
      <c r="B23" s="14" t="s">
        <v>19</v>
      </c>
      <c r="C23" s="15">
        <v>332.71000000000004</v>
      </c>
      <c r="D23" s="16">
        <v>49.4</v>
      </c>
      <c r="E23" s="16">
        <v>138.68</v>
      </c>
      <c r="F23" s="17">
        <v>144.63</v>
      </c>
      <c r="G23" s="16">
        <v>272.53999999999996</v>
      </c>
      <c r="H23" s="16">
        <v>188.79</v>
      </c>
      <c r="I23" s="16">
        <v>83.75</v>
      </c>
      <c r="J23" s="16">
        <v>22198</v>
      </c>
      <c r="K23" s="16">
        <v>360.76</v>
      </c>
      <c r="L23" s="16">
        <v>56.65</v>
      </c>
      <c r="M23" s="16">
        <v>178.29</v>
      </c>
      <c r="N23" s="16">
        <v>125.82</v>
      </c>
      <c r="O23" s="16">
        <v>258.05</v>
      </c>
      <c r="P23" s="16">
        <v>188.68</v>
      </c>
      <c r="Q23" s="16">
        <v>69.37</v>
      </c>
      <c r="R23" s="16">
        <v>23354</v>
      </c>
      <c r="S23" s="15">
        <v>306.57</v>
      </c>
      <c r="T23" s="16">
        <v>54.87</v>
      </c>
      <c r="U23" s="16">
        <v>149.71</v>
      </c>
      <c r="V23" s="17">
        <v>101.99</v>
      </c>
      <c r="W23" s="16">
        <v>196.63</v>
      </c>
      <c r="X23" s="16">
        <v>144.58000000000001</v>
      </c>
      <c r="Y23" s="16">
        <v>52.05</v>
      </c>
      <c r="Z23" s="16">
        <v>23575</v>
      </c>
      <c r="AA23" s="16">
        <v>253.08</v>
      </c>
      <c r="AB23" s="16">
        <v>47.64</v>
      </c>
      <c r="AC23" s="16">
        <v>108.97</v>
      </c>
      <c r="AD23" s="16">
        <v>96.47</v>
      </c>
      <c r="AE23" s="16">
        <v>178.13</v>
      </c>
      <c r="AF23" s="16">
        <v>125.46</v>
      </c>
      <c r="AG23" s="16">
        <v>52.67</v>
      </c>
      <c r="AH23" s="16">
        <v>21459</v>
      </c>
      <c r="AI23" s="15">
        <v>239.99</v>
      </c>
      <c r="AJ23" s="16">
        <v>45.15</v>
      </c>
      <c r="AK23" s="16">
        <v>99.8</v>
      </c>
      <c r="AL23" s="17">
        <v>95.04</v>
      </c>
      <c r="AM23" s="17">
        <v>196.38</v>
      </c>
      <c r="AN23" s="17">
        <v>155.94</v>
      </c>
      <c r="AO23" s="17">
        <v>40.44</v>
      </c>
      <c r="AP23" s="16">
        <v>19998</v>
      </c>
      <c r="AQ23" s="18">
        <v>52871</v>
      </c>
      <c r="AR23" s="1">
        <v>37.1</v>
      </c>
      <c r="AS23" s="1">
        <v>29.4</v>
      </c>
      <c r="AT23" s="1">
        <v>16.2</v>
      </c>
      <c r="AU23" s="1">
        <v>5.4</v>
      </c>
      <c r="AV23" s="1">
        <v>3.6</v>
      </c>
      <c r="AW23" s="1">
        <f t="shared" si="1"/>
        <v>1</v>
      </c>
    </row>
    <row r="24" spans="1:49" x14ac:dyDescent="0.45">
      <c r="A24" s="1">
        <f t="shared" si="0"/>
        <v>12</v>
      </c>
      <c r="B24" s="14" t="s">
        <v>20</v>
      </c>
      <c r="C24" s="15">
        <v>335.38</v>
      </c>
      <c r="D24" s="16">
        <v>42.15</v>
      </c>
      <c r="E24" s="16">
        <v>155.78</v>
      </c>
      <c r="F24" s="17">
        <v>137.44999999999999</v>
      </c>
      <c r="G24" s="16">
        <v>304.66000000000003</v>
      </c>
      <c r="H24" s="16">
        <v>180.52</v>
      </c>
      <c r="I24" s="16">
        <v>124.14</v>
      </c>
      <c r="J24" s="16">
        <v>14148</v>
      </c>
      <c r="K24" s="16">
        <v>339.37</v>
      </c>
      <c r="L24" s="16">
        <v>54.74</v>
      </c>
      <c r="M24" s="16">
        <v>152.35</v>
      </c>
      <c r="N24" s="16">
        <v>132.28</v>
      </c>
      <c r="O24" s="16">
        <v>326.82</v>
      </c>
      <c r="P24" s="16">
        <v>183.01</v>
      </c>
      <c r="Q24" s="16">
        <v>143.81</v>
      </c>
      <c r="R24" s="16">
        <v>15327</v>
      </c>
      <c r="S24" s="15">
        <v>287.59000000000003</v>
      </c>
      <c r="T24" s="16">
        <v>51.71</v>
      </c>
      <c r="U24" s="16">
        <v>110.68</v>
      </c>
      <c r="V24" s="17">
        <v>125.2</v>
      </c>
      <c r="W24" s="16">
        <v>311.86</v>
      </c>
      <c r="X24" s="16">
        <v>158.36000000000001</v>
      </c>
      <c r="Y24" s="16">
        <v>153.5</v>
      </c>
      <c r="Z24" s="16">
        <v>15243</v>
      </c>
      <c r="AA24" s="16">
        <v>299.43</v>
      </c>
      <c r="AB24" s="16">
        <v>53.05</v>
      </c>
      <c r="AC24" s="16">
        <v>113.3</v>
      </c>
      <c r="AD24" s="16">
        <v>133.08000000000001</v>
      </c>
      <c r="AE24" s="16">
        <v>275.43</v>
      </c>
      <c r="AF24" s="16">
        <v>149.80000000000001</v>
      </c>
      <c r="AG24" s="16">
        <v>125.63</v>
      </c>
      <c r="AH24" s="16">
        <v>13643</v>
      </c>
      <c r="AI24" s="15">
        <v>252.32</v>
      </c>
      <c r="AJ24" s="16">
        <v>54.2</v>
      </c>
      <c r="AK24" s="16">
        <v>73.739999999999995</v>
      </c>
      <c r="AL24" s="17">
        <v>124.38</v>
      </c>
      <c r="AM24" s="17">
        <v>243.02</v>
      </c>
      <c r="AN24" s="17">
        <v>155.05000000000001</v>
      </c>
      <c r="AO24" s="17">
        <v>87.97</v>
      </c>
      <c r="AP24" s="16">
        <v>12540</v>
      </c>
      <c r="AQ24" s="18">
        <v>81154</v>
      </c>
      <c r="AR24" s="1">
        <v>15.1</v>
      </c>
      <c r="AS24" s="1">
        <v>12.1</v>
      </c>
      <c r="AT24" s="1">
        <v>3.7</v>
      </c>
      <c r="AU24" s="1">
        <v>0.7</v>
      </c>
      <c r="AV24" s="1">
        <v>1.4</v>
      </c>
      <c r="AW24" s="1">
        <f t="shared" si="1"/>
        <v>0</v>
      </c>
    </row>
    <row r="25" spans="1:49" x14ac:dyDescent="0.45">
      <c r="A25" s="1">
        <f t="shared" si="0"/>
        <v>7</v>
      </c>
      <c r="B25" s="14" t="s">
        <v>21</v>
      </c>
      <c r="C25" s="15">
        <v>433.65</v>
      </c>
      <c r="D25" s="16">
        <v>57.33</v>
      </c>
      <c r="E25" s="16">
        <v>192.32</v>
      </c>
      <c r="F25" s="17">
        <v>184</v>
      </c>
      <c r="G25" s="16">
        <v>358.9</v>
      </c>
      <c r="H25" s="16">
        <v>240.75</v>
      </c>
      <c r="I25" s="16">
        <v>118.15</v>
      </c>
      <c r="J25" s="16">
        <v>61124</v>
      </c>
      <c r="K25" s="16">
        <v>475.72</v>
      </c>
      <c r="L25" s="16">
        <v>70.48</v>
      </c>
      <c r="M25" s="16">
        <v>210.5</v>
      </c>
      <c r="N25" s="16">
        <v>194.74</v>
      </c>
      <c r="O25" s="16">
        <v>424.08000000000004</v>
      </c>
      <c r="P25" s="16">
        <v>297.85000000000002</v>
      </c>
      <c r="Q25" s="16">
        <v>126.23</v>
      </c>
      <c r="R25" s="16">
        <v>59836</v>
      </c>
      <c r="S25" s="15">
        <v>470.90999999999997</v>
      </c>
      <c r="T25" s="16">
        <v>77.239999999999995</v>
      </c>
      <c r="U25" s="16">
        <v>214.98</v>
      </c>
      <c r="V25" s="17">
        <v>178.69</v>
      </c>
      <c r="W25" s="16">
        <v>354.56</v>
      </c>
      <c r="X25" s="16">
        <v>248.88</v>
      </c>
      <c r="Y25" s="16">
        <v>105.68</v>
      </c>
      <c r="Z25" s="16">
        <v>61654</v>
      </c>
      <c r="AA25" s="16">
        <v>400.3</v>
      </c>
      <c r="AB25" s="16">
        <v>71.08</v>
      </c>
      <c r="AC25" s="16">
        <v>176.77</v>
      </c>
      <c r="AD25" s="16">
        <v>152.44999999999999</v>
      </c>
      <c r="AE25" s="16">
        <v>297.14</v>
      </c>
      <c r="AF25" s="16">
        <v>212.79</v>
      </c>
      <c r="AG25" s="16">
        <v>84.35</v>
      </c>
      <c r="AH25" s="16">
        <v>57668</v>
      </c>
      <c r="AI25" s="15">
        <v>420.77</v>
      </c>
      <c r="AJ25" s="16">
        <v>87.54</v>
      </c>
      <c r="AK25" s="16">
        <v>179.79</v>
      </c>
      <c r="AL25" s="17">
        <v>153.44</v>
      </c>
      <c r="AM25" s="17">
        <v>377.56</v>
      </c>
      <c r="AN25" s="17">
        <v>266.79000000000002</v>
      </c>
      <c r="AO25" s="17">
        <v>110.77</v>
      </c>
      <c r="AP25" s="16">
        <v>54719</v>
      </c>
      <c r="AQ25" s="18">
        <v>40564</v>
      </c>
      <c r="AR25" s="1">
        <v>48.6</v>
      </c>
      <c r="AS25" s="1">
        <v>24.8</v>
      </c>
      <c r="AT25" s="1">
        <v>15.8</v>
      </c>
      <c r="AU25" s="1">
        <v>2.5</v>
      </c>
      <c r="AV25" s="1">
        <v>1.5</v>
      </c>
      <c r="AW25" s="1">
        <f t="shared" si="1"/>
        <v>1</v>
      </c>
    </row>
    <row r="26" spans="1:49" x14ac:dyDescent="0.45">
      <c r="A26" s="1">
        <f t="shared" si="0"/>
        <v>2</v>
      </c>
      <c r="B26" s="14" t="s">
        <v>22</v>
      </c>
      <c r="C26" s="15">
        <v>441.52000000000004</v>
      </c>
      <c r="D26" s="16">
        <v>78.040000000000006</v>
      </c>
      <c r="E26" s="16">
        <v>153.43</v>
      </c>
      <c r="F26" s="17">
        <v>210.05</v>
      </c>
      <c r="G26" s="16">
        <v>435.28000000000003</v>
      </c>
      <c r="H26" s="16">
        <v>303.42</v>
      </c>
      <c r="I26" s="16">
        <v>131.86000000000001</v>
      </c>
      <c r="J26" s="16">
        <v>27090</v>
      </c>
      <c r="K26" s="16">
        <v>521.65000000000009</v>
      </c>
      <c r="L26" s="16">
        <v>98.62</v>
      </c>
      <c r="M26" s="16">
        <v>184.84</v>
      </c>
      <c r="N26" s="16">
        <v>238.19</v>
      </c>
      <c r="O26" s="16">
        <v>449.75</v>
      </c>
      <c r="P26" s="16">
        <v>300.64</v>
      </c>
      <c r="Q26" s="16">
        <v>149.11000000000001</v>
      </c>
      <c r="R26" s="16">
        <v>29585</v>
      </c>
      <c r="S26" s="15">
        <v>431.7</v>
      </c>
      <c r="T26" s="16">
        <v>90.59</v>
      </c>
      <c r="U26" s="16">
        <v>139.32</v>
      </c>
      <c r="V26" s="17">
        <v>201.79</v>
      </c>
      <c r="W26" s="16">
        <v>453.06000000000006</v>
      </c>
      <c r="X26" s="16">
        <v>317.60000000000002</v>
      </c>
      <c r="Y26" s="16">
        <v>135.46</v>
      </c>
      <c r="Z26" s="16">
        <v>30380</v>
      </c>
      <c r="AA26" s="16">
        <v>407.23</v>
      </c>
      <c r="AB26" s="16">
        <v>87.22</v>
      </c>
      <c r="AC26" s="16">
        <v>134.91</v>
      </c>
      <c r="AD26" s="16">
        <v>185.1</v>
      </c>
      <c r="AE26" s="16">
        <v>295.58000000000004</v>
      </c>
      <c r="AF26" s="16">
        <v>232.49</v>
      </c>
      <c r="AG26" s="16">
        <v>63.09</v>
      </c>
      <c r="AH26" s="16">
        <v>28129</v>
      </c>
      <c r="AI26" s="15">
        <v>389.95</v>
      </c>
      <c r="AJ26" s="16">
        <v>76.099999999999994</v>
      </c>
      <c r="AK26" s="16">
        <v>127.68</v>
      </c>
      <c r="AL26" s="17">
        <v>186.17</v>
      </c>
      <c r="AM26" s="17">
        <v>315.36</v>
      </c>
      <c r="AN26" s="17">
        <v>252.69</v>
      </c>
      <c r="AO26" s="17">
        <v>62.67</v>
      </c>
      <c r="AP26" s="16">
        <v>26532</v>
      </c>
      <c r="AQ26" s="18">
        <v>72400</v>
      </c>
      <c r="AR26" s="1">
        <v>103.2</v>
      </c>
      <c r="AS26" s="1">
        <v>92.5</v>
      </c>
      <c r="AT26" s="1">
        <v>35</v>
      </c>
      <c r="AU26" s="1">
        <v>10.7</v>
      </c>
      <c r="AV26" s="1">
        <v>6.6</v>
      </c>
      <c r="AW26" s="1">
        <f t="shared" si="1"/>
        <v>1</v>
      </c>
    </row>
    <row r="27" spans="1:49" x14ac:dyDescent="0.45">
      <c r="A27" s="1">
        <f t="shared" si="0"/>
        <v>10</v>
      </c>
      <c r="B27" s="14" t="s">
        <v>23</v>
      </c>
      <c r="C27" s="15">
        <v>216.25</v>
      </c>
      <c r="D27" s="16">
        <v>52.37</v>
      </c>
      <c r="E27" s="16">
        <v>75.150000000000006</v>
      </c>
      <c r="F27" s="17">
        <v>88.73</v>
      </c>
      <c r="G27" s="16">
        <v>173.92000000000002</v>
      </c>
      <c r="H27" s="16">
        <v>91.44</v>
      </c>
      <c r="I27" s="16">
        <v>82.48</v>
      </c>
      <c r="J27" s="16">
        <v>15737</v>
      </c>
      <c r="K27" s="16">
        <v>252.99</v>
      </c>
      <c r="L27" s="16">
        <v>45.07</v>
      </c>
      <c r="M27" s="16">
        <v>134.25</v>
      </c>
      <c r="N27" s="16">
        <v>73.67</v>
      </c>
      <c r="O27" s="16">
        <v>141.73000000000002</v>
      </c>
      <c r="P27" s="16">
        <v>84.53</v>
      </c>
      <c r="Q27" s="16">
        <v>57.2</v>
      </c>
      <c r="R27" s="16">
        <v>15748</v>
      </c>
      <c r="S27" s="15">
        <v>207.87</v>
      </c>
      <c r="T27" s="16">
        <v>41.19</v>
      </c>
      <c r="U27" s="16">
        <v>109.99</v>
      </c>
      <c r="V27" s="17">
        <v>56.69</v>
      </c>
      <c r="W27" s="16">
        <v>102.82</v>
      </c>
      <c r="X27" s="16">
        <v>61.45</v>
      </c>
      <c r="Y27" s="16">
        <v>41.37</v>
      </c>
      <c r="Z27" s="16">
        <v>15484</v>
      </c>
      <c r="AA27" s="16">
        <v>174.44</v>
      </c>
      <c r="AB27" s="16">
        <v>27.62</v>
      </c>
      <c r="AC27" s="16">
        <v>106.12</v>
      </c>
      <c r="AD27" s="16">
        <v>40.700000000000003</v>
      </c>
      <c r="AE27" s="16">
        <v>108.59</v>
      </c>
      <c r="AF27" s="16">
        <v>58.68</v>
      </c>
      <c r="AG27" s="16">
        <v>49.91</v>
      </c>
      <c r="AH27" s="16">
        <v>13879</v>
      </c>
      <c r="AI27" s="15">
        <v>136.17000000000002</v>
      </c>
      <c r="AJ27" s="16">
        <v>26.65</v>
      </c>
      <c r="AK27" s="16">
        <v>71.72</v>
      </c>
      <c r="AL27" s="17">
        <v>37.799999999999997</v>
      </c>
      <c r="AM27" s="17">
        <v>91.02</v>
      </c>
      <c r="AN27" s="17">
        <v>60.03</v>
      </c>
      <c r="AO27" s="17">
        <v>30.99</v>
      </c>
      <c r="AP27" s="16">
        <v>12460</v>
      </c>
      <c r="AQ27" s="18">
        <v>61146</v>
      </c>
      <c r="AR27" s="1">
        <v>19.600000000000001</v>
      </c>
      <c r="AS27" s="1">
        <v>9.6</v>
      </c>
      <c r="AT27" s="1">
        <v>5.4</v>
      </c>
      <c r="AU27" s="1">
        <v>1.6</v>
      </c>
      <c r="AV27" s="1">
        <v>1.4</v>
      </c>
      <c r="AW27" s="1">
        <f t="shared" si="1"/>
        <v>1</v>
      </c>
    </row>
    <row r="28" spans="1:49" x14ac:dyDescent="0.45">
      <c r="A28" s="1">
        <f t="shared" si="0"/>
        <v>8</v>
      </c>
      <c r="B28" s="14" t="s">
        <v>24</v>
      </c>
      <c r="C28" s="15">
        <v>385.77</v>
      </c>
      <c r="D28" s="16">
        <v>65.73</v>
      </c>
      <c r="E28" s="16">
        <v>106.24</v>
      </c>
      <c r="F28" s="17">
        <v>213.8</v>
      </c>
      <c r="G28" s="16">
        <v>263.37</v>
      </c>
      <c r="H28" s="16">
        <v>205.26</v>
      </c>
      <c r="I28" s="16">
        <v>58.11</v>
      </c>
      <c r="J28" s="16">
        <v>41965</v>
      </c>
      <c r="K28" s="16">
        <v>475.63</v>
      </c>
      <c r="L28" s="16">
        <v>80.83</v>
      </c>
      <c r="M28" s="16">
        <v>183.04</v>
      </c>
      <c r="N28" s="16">
        <v>211.76</v>
      </c>
      <c r="O28" s="16">
        <v>269.37</v>
      </c>
      <c r="P28" s="16">
        <v>198.78</v>
      </c>
      <c r="Q28" s="16">
        <v>70.59</v>
      </c>
      <c r="R28" s="16">
        <v>43969</v>
      </c>
      <c r="S28" s="15">
        <v>447.46000000000004</v>
      </c>
      <c r="T28" s="16">
        <v>80.62</v>
      </c>
      <c r="U28" s="16">
        <v>154.53</v>
      </c>
      <c r="V28" s="17">
        <v>212.31</v>
      </c>
      <c r="W28" s="16">
        <v>289.37</v>
      </c>
      <c r="X28" s="16">
        <v>198.93</v>
      </c>
      <c r="Y28" s="16">
        <v>90.44</v>
      </c>
      <c r="Z28" s="16">
        <v>44504</v>
      </c>
      <c r="AA28" s="16">
        <v>457.14</v>
      </c>
      <c r="AB28" s="16">
        <v>84.53</v>
      </c>
      <c r="AC28" s="16">
        <v>152.83000000000001</v>
      </c>
      <c r="AD28" s="16">
        <v>219.78</v>
      </c>
      <c r="AE28" s="16">
        <v>251.51</v>
      </c>
      <c r="AF28" s="16">
        <v>179.98</v>
      </c>
      <c r="AG28" s="16">
        <v>71.53</v>
      </c>
      <c r="AH28" s="16">
        <v>41720</v>
      </c>
      <c r="AI28" s="15">
        <v>469.29</v>
      </c>
      <c r="AJ28" s="16">
        <v>93.31</v>
      </c>
      <c r="AK28" s="16">
        <v>128.05000000000001</v>
      </c>
      <c r="AL28" s="17">
        <v>247.93</v>
      </c>
      <c r="AM28" s="17">
        <v>284.22000000000003</v>
      </c>
      <c r="AN28" s="17">
        <v>188.05</v>
      </c>
      <c r="AO28" s="17">
        <v>96.17</v>
      </c>
      <c r="AP28" s="16">
        <v>42473</v>
      </c>
      <c r="AQ28" s="18">
        <v>73956</v>
      </c>
      <c r="AR28" s="1">
        <v>73.400000000000006</v>
      </c>
      <c r="AS28" s="1">
        <v>38.5</v>
      </c>
      <c r="AT28" s="1">
        <v>24.1</v>
      </c>
      <c r="AU28" s="1">
        <v>3.6</v>
      </c>
      <c r="AV28" s="1">
        <v>1.2</v>
      </c>
      <c r="AW28" s="1">
        <f t="shared" si="1"/>
        <v>1</v>
      </c>
    </row>
    <row r="29" spans="1:49" x14ac:dyDescent="0.45">
      <c r="A29" s="1">
        <f t="shared" si="0"/>
        <v>11</v>
      </c>
      <c r="B29" s="14" t="s">
        <v>25</v>
      </c>
      <c r="C29" s="15">
        <v>269.14</v>
      </c>
      <c r="D29" s="16">
        <v>62.43</v>
      </c>
      <c r="E29" s="16">
        <v>94.34</v>
      </c>
      <c r="F29" s="17">
        <v>112.37</v>
      </c>
      <c r="G29" s="16">
        <v>246.46</v>
      </c>
      <c r="H29" s="16">
        <v>182.11</v>
      </c>
      <c r="I29" s="16">
        <v>64.349999999999994</v>
      </c>
      <c r="J29" s="16">
        <v>87184</v>
      </c>
      <c r="K29" s="16">
        <v>311.59000000000003</v>
      </c>
      <c r="L29" s="16">
        <v>76.150000000000006</v>
      </c>
      <c r="M29" s="16">
        <v>147.41</v>
      </c>
      <c r="N29" s="16">
        <v>88.03</v>
      </c>
      <c r="O29" s="16">
        <v>250.09</v>
      </c>
      <c r="P29" s="16">
        <v>167.49</v>
      </c>
      <c r="Q29" s="16">
        <v>82.6</v>
      </c>
      <c r="R29" s="16">
        <v>85420</v>
      </c>
      <c r="S29" s="15">
        <v>309.60000000000002</v>
      </c>
      <c r="T29" s="16">
        <v>78.81</v>
      </c>
      <c r="U29" s="16">
        <v>145.65</v>
      </c>
      <c r="V29" s="17">
        <v>85.14</v>
      </c>
      <c r="W29" s="16">
        <v>271.10000000000002</v>
      </c>
      <c r="X29" s="16">
        <v>192.46</v>
      </c>
      <c r="Y29" s="16">
        <v>78.64</v>
      </c>
      <c r="Z29" s="16">
        <v>86475</v>
      </c>
      <c r="AA29" s="16">
        <v>345.92</v>
      </c>
      <c r="AB29" s="16">
        <v>82.23</v>
      </c>
      <c r="AC29" s="16">
        <v>166.58</v>
      </c>
      <c r="AD29" s="16">
        <v>97.11</v>
      </c>
      <c r="AE29" s="16">
        <v>221.72</v>
      </c>
      <c r="AF29" s="16">
        <v>148.47</v>
      </c>
      <c r="AG29" s="16">
        <v>73.25</v>
      </c>
      <c r="AH29" s="16">
        <v>83435</v>
      </c>
      <c r="AI29" s="15">
        <v>335.55</v>
      </c>
      <c r="AJ29" s="16">
        <v>95.87</v>
      </c>
      <c r="AK29" s="16">
        <v>137.37</v>
      </c>
      <c r="AL29" s="17">
        <v>102.31</v>
      </c>
      <c r="AM29" s="17">
        <v>270.63</v>
      </c>
      <c r="AN29" s="17">
        <v>195.4</v>
      </c>
      <c r="AO29" s="17">
        <v>75.23</v>
      </c>
      <c r="AP29" s="16">
        <v>83156</v>
      </c>
      <c r="AQ29" s="18">
        <v>60282</v>
      </c>
      <c r="AR29" s="1">
        <v>37.9</v>
      </c>
      <c r="AS29" s="1">
        <v>18.8</v>
      </c>
      <c r="AT29" s="1">
        <v>16.8</v>
      </c>
      <c r="AU29" s="1">
        <v>2.2000000000000002</v>
      </c>
      <c r="AV29" s="1">
        <v>0.7</v>
      </c>
      <c r="AW29" s="1">
        <f t="shared" si="1"/>
        <v>0</v>
      </c>
    </row>
    <row r="30" spans="1:49" x14ac:dyDescent="0.45">
      <c r="A30" s="1">
        <f t="shared" si="0"/>
        <v>20</v>
      </c>
      <c r="B30" s="14" t="s">
        <v>26</v>
      </c>
      <c r="C30" s="15">
        <v>163.13</v>
      </c>
      <c r="D30" s="16">
        <v>24.63</v>
      </c>
      <c r="E30" s="16">
        <v>63.44</v>
      </c>
      <c r="F30" s="17">
        <v>75.06</v>
      </c>
      <c r="G30" s="16">
        <v>148.69</v>
      </c>
      <c r="H30" s="16">
        <v>98.25</v>
      </c>
      <c r="I30" s="16">
        <v>50.44</v>
      </c>
      <c r="J30" s="16">
        <v>23863</v>
      </c>
      <c r="K30" s="16">
        <v>183.93</v>
      </c>
      <c r="L30" s="16">
        <v>29.89</v>
      </c>
      <c r="M30" s="16">
        <v>78.61</v>
      </c>
      <c r="N30" s="16">
        <v>75.430000000000007</v>
      </c>
      <c r="O30" s="16">
        <v>150.61000000000001</v>
      </c>
      <c r="P30" s="16">
        <v>97.78</v>
      </c>
      <c r="Q30" s="16">
        <v>52.83</v>
      </c>
      <c r="R30" s="16">
        <v>24880</v>
      </c>
      <c r="S30" s="15">
        <v>163.81</v>
      </c>
      <c r="T30" s="16">
        <v>28.54</v>
      </c>
      <c r="U30" s="16">
        <v>65.41</v>
      </c>
      <c r="V30" s="17">
        <v>69.86</v>
      </c>
      <c r="W30" s="16">
        <v>141.74</v>
      </c>
      <c r="X30" s="16">
        <v>93.8</v>
      </c>
      <c r="Y30" s="16">
        <v>47.94</v>
      </c>
      <c r="Z30" s="16">
        <v>23820</v>
      </c>
      <c r="AA30" s="16">
        <v>155.81</v>
      </c>
      <c r="AB30" s="16">
        <v>27.05</v>
      </c>
      <c r="AC30" s="16">
        <v>64.260000000000005</v>
      </c>
      <c r="AD30" s="16">
        <v>64.5</v>
      </c>
      <c r="AE30" s="16">
        <v>114.56</v>
      </c>
      <c r="AF30" s="16">
        <v>76.45</v>
      </c>
      <c r="AG30" s="16">
        <v>38.11</v>
      </c>
      <c r="AH30" s="16">
        <v>23047</v>
      </c>
      <c r="AI30" s="15">
        <v>146.24</v>
      </c>
      <c r="AJ30" s="16">
        <v>27.22</v>
      </c>
      <c r="AK30" s="16">
        <v>56.27</v>
      </c>
      <c r="AL30" s="17">
        <v>62.75</v>
      </c>
      <c r="AM30" s="17">
        <v>115.84</v>
      </c>
      <c r="AN30" s="17">
        <v>79.34</v>
      </c>
      <c r="AO30" s="17">
        <v>36.5</v>
      </c>
      <c r="AP30" s="16">
        <v>21646</v>
      </c>
      <c r="AQ30" s="18">
        <v>28067</v>
      </c>
      <c r="AR30" s="1">
        <v>17</v>
      </c>
      <c r="AS30" s="1">
        <v>11.8</v>
      </c>
      <c r="AT30" s="1">
        <v>5</v>
      </c>
      <c r="AU30" s="1">
        <v>1.1000000000000001</v>
      </c>
      <c r="AV30" s="1">
        <v>1</v>
      </c>
      <c r="AW30" s="1">
        <f t="shared" si="1"/>
        <v>0</v>
      </c>
    </row>
    <row r="31" spans="1:49" x14ac:dyDescent="0.45">
      <c r="A31" s="1">
        <f t="shared" si="0"/>
        <v>3</v>
      </c>
      <c r="B31" s="14" t="s">
        <v>27</v>
      </c>
      <c r="C31" s="15">
        <v>438.70000000000005</v>
      </c>
      <c r="D31" s="16">
        <v>46.29</v>
      </c>
      <c r="E31" s="16">
        <v>184.08</v>
      </c>
      <c r="F31" s="17">
        <v>208.33</v>
      </c>
      <c r="G31" s="16">
        <v>361.98</v>
      </c>
      <c r="H31" s="16">
        <v>246.11</v>
      </c>
      <c r="I31" s="16">
        <v>115.87</v>
      </c>
      <c r="J31" s="16">
        <v>31746</v>
      </c>
      <c r="K31" s="16">
        <v>506.65999999999997</v>
      </c>
      <c r="L31" s="16">
        <v>72.540000000000006</v>
      </c>
      <c r="M31" s="16">
        <v>229.7</v>
      </c>
      <c r="N31" s="16">
        <v>204.42</v>
      </c>
      <c r="O31" s="16">
        <v>418.63</v>
      </c>
      <c r="P31" s="16">
        <v>301.54000000000002</v>
      </c>
      <c r="Q31" s="16">
        <v>117.09</v>
      </c>
      <c r="R31" s="16">
        <v>33675</v>
      </c>
      <c r="S31" s="15">
        <v>428.06</v>
      </c>
      <c r="T31" s="16">
        <v>55.41</v>
      </c>
      <c r="U31" s="16">
        <v>217.29</v>
      </c>
      <c r="V31" s="17">
        <v>155.36000000000001</v>
      </c>
      <c r="W31" s="16">
        <v>342.01</v>
      </c>
      <c r="X31" s="16">
        <v>246.2</v>
      </c>
      <c r="Y31" s="16">
        <v>95.81</v>
      </c>
      <c r="Z31" s="16">
        <v>34640</v>
      </c>
      <c r="AA31" s="16">
        <v>441.34000000000003</v>
      </c>
      <c r="AB31" s="16">
        <v>56.39</v>
      </c>
      <c r="AC31" s="16">
        <v>253.74</v>
      </c>
      <c r="AD31" s="16">
        <v>131.21</v>
      </c>
      <c r="AE31" s="16">
        <v>313.62</v>
      </c>
      <c r="AF31" s="16">
        <v>227.3</v>
      </c>
      <c r="AG31" s="16">
        <v>86.32</v>
      </c>
      <c r="AH31" s="16">
        <v>32359</v>
      </c>
      <c r="AI31" s="15">
        <v>368.13</v>
      </c>
      <c r="AJ31" s="16">
        <v>47.64</v>
      </c>
      <c r="AK31" s="16">
        <v>212.22</v>
      </c>
      <c r="AL31" s="17">
        <v>108.27</v>
      </c>
      <c r="AM31" s="17">
        <v>259.58</v>
      </c>
      <c r="AN31" s="17">
        <v>195.63</v>
      </c>
      <c r="AO31" s="17">
        <v>63.95</v>
      </c>
      <c r="AP31" s="16">
        <v>30971</v>
      </c>
      <c r="AQ31" s="18">
        <v>39777</v>
      </c>
      <c r="AR31" s="1">
        <v>43.5</v>
      </c>
      <c r="AS31" s="1">
        <v>45.6</v>
      </c>
      <c r="AT31" s="1">
        <v>8.6999999999999993</v>
      </c>
      <c r="AU31" s="1">
        <v>3.1</v>
      </c>
      <c r="AV31" s="1">
        <v>2</v>
      </c>
      <c r="AW31" s="1">
        <f t="shared" si="1"/>
        <v>1</v>
      </c>
    </row>
    <row r="32" spans="1:49" x14ac:dyDescent="0.45">
      <c r="A32" s="1">
        <f t="shared" si="0"/>
        <v>4</v>
      </c>
      <c r="B32" s="14" t="s">
        <v>28</v>
      </c>
      <c r="C32" s="15">
        <v>444.16999999999996</v>
      </c>
      <c r="D32" s="16">
        <v>69.319999999999993</v>
      </c>
      <c r="E32" s="16">
        <v>143.78</v>
      </c>
      <c r="F32" s="17">
        <v>231.07</v>
      </c>
      <c r="G32" s="16">
        <v>395.71000000000004</v>
      </c>
      <c r="H32" s="16">
        <v>214.06</v>
      </c>
      <c r="I32" s="16">
        <v>181.65</v>
      </c>
      <c r="J32" s="16">
        <v>45205</v>
      </c>
      <c r="K32" s="16">
        <v>489.37</v>
      </c>
      <c r="L32" s="16">
        <v>93.61</v>
      </c>
      <c r="M32" s="16">
        <v>166.57</v>
      </c>
      <c r="N32" s="16">
        <v>229.19</v>
      </c>
      <c r="O32" s="16">
        <v>364.98</v>
      </c>
      <c r="P32" s="16">
        <v>209.26</v>
      </c>
      <c r="Q32" s="16">
        <v>155.72</v>
      </c>
      <c r="R32" s="16">
        <v>46638</v>
      </c>
      <c r="S32" s="15">
        <v>486.83000000000004</v>
      </c>
      <c r="T32" s="16">
        <v>92.82</v>
      </c>
      <c r="U32" s="16">
        <v>162.93</v>
      </c>
      <c r="V32" s="17">
        <v>231.08</v>
      </c>
      <c r="W32" s="16">
        <v>447.76</v>
      </c>
      <c r="X32" s="16">
        <v>307.54000000000002</v>
      </c>
      <c r="Y32" s="16">
        <v>140.22</v>
      </c>
      <c r="Z32" s="16">
        <v>47567</v>
      </c>
      <c r="AA32" s="16">
        <v>439.49</v>
      </c>
      <c r="AB32" s="16">
        <v>88.68</v>
      </c>
      <c r="AC32" s="16">
        <v>154.54</v>
      </c>
      <c r="AD32" s="16">
        <v>196.27</v>
      </c>
      <c r="AE32" s="16">
        <v>348.71</v>
      </c>
      <c r="AF32" s="16">
        <v>225.22</v>
      </c>
      <c r="AG32" s="16">
        <v>123.49</v>
      </c>
      <c r="AH32" s="16">
        <v>44133</v>
      </c>
      <c r="AI32" s="15">
        <v>405.85</v>
      </c>
      <c r="AJ32" s="16">
        <v>84.44</v>
      </c>
      <c r="AK32" s="16">
        <v>149.25</v>
      </c>
      <c r="AL32" s="17">
        <v>172.16</v>
      </c>
      <c r="AM32" s="17">
        <v>300.81</v>
      </c>
      <c r="AN32" s="17">
        <v>170.32</v>
      </c>
      <c r="AO32" s="17">
        <v>130.49</v>
      </c>
      <c r="AP32" s="16">
        <v>42026</v>
      </c>
      <c r="AQ32" s="18">
        <v>66984</v>
      </c>
      <c r="AR32" s="1">
        <v>110.9</v>
      </c>
      <c r="AS32" s="1">
        <v>94.5</v>
      </c>
      <c r="AT32" s="1">
        <v>35.700000000000003</v>
      </c>
      <c r="AU32" s="1">
        <v>6.2</v>
      </c>
      <c r="AV32" s="1">
        <v>4.2</v>
      </c>
      <c r="AW32" s="1">
        <f t="shared" si="1"/>
        <v>1</v>
      </c>
    </row>
    <row r="33" spans="1:49" x14ac:dyDescent="0.45">
      <c r="A33" s="1">
        <f t="shared" si="0"/>
        <v>15</v>
      </c>
      <c r="B33" s="14" t="s">
        <v>29</v>
      </c>
      <c r="C33" s="15">
        <v>164.82999999999998</v>
      </c>
      <c r="D33" s="16">
        <v>26.61</v>
      </c>
      <c r="E33" s="16">
        <v>70.22</v>
      </c>
      <c r="F33" s="17">
        <v>68</v>
      </c>
      <c r="G33" s="16">
        <v>132.93</v>
      </c>
      <c r="H33" s="16">
        <v>70.400000000000006</v>
      </c>
      <c r="I33" s="16">
        <v>62.53</v>
      </c>
      <c r="J33" s="16">
        <v>6086</v>
      </c>
      <c r="K33" s="16">
        <v>238.75</v>
      </c>
      <c r="L33" s="16">
        <v>39.67</v>
      </c>
      <c r="M33" s="16">
        <v>118.27</v>
      </c>
      <c r="N33" s="16">
        <v>80.81</v>
      </c>
      <c r="O33" s="16">
        <v>160.18</v>
      </c>
      <c r="P33" s="16">
        <v>74.12</v>
      </c>
      <c r="Q33" s="16">
        <v>86.06</v>
      </c>
      <c r="R33" s="16">
        <v>6126</v>
      </c>
      <c r="S33" s="15">
        <v>178.01</v>
      </c>
      <c r="T33" s="16">
        <v>34.29</v>
      </c>
      <c r="U33" s="16">
        <v>66.39</v>
      </c>
      <c r="V33" s="17">
        <v>77.33</v>
      </c>
      <c r="W33" s="16">
        <v>168.96</v>
      </c>
      <c r="X33" s="16">
        <v>81.17</v>
      </c>
      <c r="Y33" s="16">
        <v>87.79</v>
      </c>
      <c r="Z33" s="16">
        <v>6076</v>
      </c>
      <c r="AA33" s="16">
        <v>166.41000000000003</v>
      </c>
      <c r="AB33" s="16">
        <v>38.35</v>
      </c>
      <c r="AC33" s="16">
        <v>59.33</v>
      </c>
      <c r="AD33" s="16">
        <v>68.73</v>
      </c>
      <c r="AE33" s="16">
        <v>145.32</v>
      </c>
      <c r="AF33" s="16">
        <v>73.7</v>
      </c>
      <c r="AG33" s="16">
        <v>71.62</v>
      </c>
      <c r="AH33" s="16">
        <v>5400</v>
      </c>
      <c r="AI33" s="15">
        <v>160.41000000000003</v>
      </c>
      <c r="AJ33" s="16">
        <v>36.520000000000003</v>
      </c>
      <c r="AK33" s="16">
        <v>53.71</v>
      </c>
      <c r="AL33" s="17">
        <v>70.180000000000007</v>
      </c>
      <c r="AM33" s="17">
        <v>139.26</v>
      </c>
      <c r="AN33" s="17">
        <v>63.14</v>
      </c>
      <c r="AO33" s="17">
        <v>76.12</v>
      </c>
      <c r="AP33" s="16">
        <v>5000</v>
      </c>
      <c r="AQ33" s="18">
        <v>61211</v>
      </c>
      <c r="AR33" s="1">
        <v>2.9</v>
      </c>
      <c r="AS33" s="1">
        <v>0.9</v>
      </c>
      <c r="AT33" s="1">
        <v>0.7</v>
      </c>
      <c r="AU33" s="1">
        <v>0.1</v>
      </c>
      <c r="AV33" s="1">
        <v>0.1</v>
      </c>
      <c r="AW33" s="1">
        <f t="shared" si="1"/>
        <v>0</v>
      </c>
    </row>
    <row r="34" spans="1:49" x14ac:dyDescent="0.45">
      <c r="A34" s="1">
        <f t="shared" si="0"/>
        <v>13</v>
      </c>
      <c r="B34" s="14" t="s">
        <v>30</v>
      </c>
      <c r="C34" s="15">
        <v>200.35</v>
      </c>
      <c r="D34" s="16">
        <v>30.17</v>
      </c>
      <c r="E34" s="16">
        <v>120.09</v>
      </c>
      <c r="F34" s="17">
        <v>50.09</v>
      </c>
      <c r="G34" s="16">
        <v>196.41000000000003</v>
      </c>
      <c r="H34" s="16">
        <v>131.62</v>
      </c>
      <c r="I34" s="16">
        <v>64.790000000000006</v>
      </c>
      <c r="J34" s="16">
        <v>52327</v>
      </c>
      <c r="K34" s="16">
        <v>223.67</v>
      </c>
      <c r="L34" s="16">
        <v>35.86</v>
      </c>
      <c r="M34" s="16">
        <v>127.03</v>
      </c>
      <c r="N34" s="16">
        <v>60.78</v>
      </c>
      <c r="O34" s="16">
        <v>190.45</v>
      </c>
      <c r="P34" s="16">
        <v>121.82</v>
      </c>
      <c r="Q34" s="16">
        <v>68.63</v>
      </c>
      <c r="R34" s="16">
        <v>51991</v>
      </c>
      <c r="S34" s="15">
        <v>186.66</v>
      </c>
      <c r="T34" s="16">
        <v>35</v>
      </c>
      <c r="U34" s="16">
        <v>97.01</v>
      </c>
      <c r="V34" s="17">
        <v>54.65</v>
      </c>
      <c r="W34" s="16">
        <v>195.75</v>
      </c>
      <c r="X34" s="16">
        <v>118.68</v>
      </c>
      <c r="Y34" s="16">
        <v>77.069999999999993</v>
      </c>
      <c r="Z34" s="16">
        <v>54644</v>
      </c>
      <c r="AA34" s="16">
        <v>169.58</v>
      </c>
      <c r="AB34" s="16">
        <v>25.47</v>
      </c>
      <c r="AC34" s="16">
        <v>100.01</v>
      </c>
      <c r="AD34" s="16">
        <v>44.1</v>
      </c>
      <c r="AE34" s="16">
        <v>134.84</v>
      </c>
      <c r="AF34" s="16">
        <v>84.89</v>
      </c>
      <c r="AG34" s="16">
        <v>49.95</v>
      </c>
      <c r="AH34" s="16">
        <v>53845</v>
      </c>
      <c r="AI34" s="15">
        <v>143.56</v>
      </c>
      <c r="AJ34" s="16">
        <v>22.67</v>
      </c>
      <c r="AK34" s="16">
        <v>87.52</v>
      </c>
      <c r="AL34" s="17">
        <v>33.369999999999997</v>
      </c>
      <c r="AM34" s="17">
        <v>112.78</v>
      </c>
      <c r="AN34" s="17">
        <v>84.69</v>
      </c>
      <c r="AO34" s="17">
        <v>28.09</v>
      </c>
      <c r="AP34" s="16">
        <v>52017</v>
      </c>
      <c r="AQ34" s="18">
        <v>57098</v>
      </c>
      <c r="AR34" s="1">
        <v>13.7</v>
      </c>
      <c r="AS34" s="1">
        <v>10.8</v>
      </c>
      <c r="AT34" s="1">
        <v>4.8</v>
      </c>
      <c r="AU34" s="1">
        <v>0.3</v>
      </c>
      <c r="AV34" s="1">
        <v>2</v>
      </c>
      <c r="AW34" s="1">
        <f t="shared" si="1"/>
        <v>0</v>
      </c>
    </row>
    <row r="35" spans="1:49" x14ac:dyDescent="0.45">
      <c r="C35" s="1">
        <f>AVERAGEIFS(C14:C34, $A$14:$A$34, "&lt; 11")</f>
        <v>354.08299999999997</v>
      </c>
      <c r="D35" s="1">
        <f t="shared" ref="D35:AV35" si="2">AVERAGEIFS(D14:D34, $A$14:$A$34, "&lt; 11")</f>
        <v>52.25</v>
      </c>
      <c r="E35" s="1">
        <f t="shared" si="2"/>
        <v>127.51900000000001</v>
      </c>
      <c r="F35" s="1">
        <f t="shared" si="2"/>
        <v>174.31399999999999</v>
      </c>
      <c r="G35" s="1">
        <f t="shared" si="2"/>
        <v>301.82100000000003</v>
      </c>
      <c r="H35" s="1">
        <f t="shared" si="2"/>
        <v>202.45999999999998</v>
      </c>
      <c r="I35" s="1">
        <f t="shared" si="2"/>
        <v>99.361000000000004</v>
      </c>
      <c r="J35" s="1">
        <f t="shared" si="2"/>
        <v>38283.9</v>
      </c>
      <c r="K35" s="1">
        <f t="shared" si="2"/>
        <v>402.84699999999992</v>
      </c>
      <c r="L35" s="1">
        <f t="shared" si="2"/>
        <v>65.164000000000001</v>
      </c>
      <c r="M35" s="1">
        <f t="shared" si="2"/>
        <v>161.53699999999998</v>
      </c>
      <c r="N35" s="1">
        <f t="shared" si="2"/>
        <v>176.14600000000002</v>
      </c>
      <c r="O35" s="1">
        <f t="shared" si="2"/>
        <v>309.15100000000001</v>
      </c>
      <c r="P35" s="1">
        <f t="shared" si="2"/>
        <v>208.86199999999999</v>
      </c>
      <c r="Q35" s="1">
        <f t="shared" si="2"/>
        <v>100.28900000000002</v>
      </c>
      <c r="R35" s="1">
        <f t="shared" si="2"/>
        <v>39279.5</v>
      </c>
      <c r="S35" s="1">
        <f t="shared" si="2"/>
        <v>364.29199999999997</v>
      </c>
      <c r="T35" s="1">
        <f t="shared" si="2"/>
        <v>62.487000000000009</v>
      </c>
      <c r="U35" s="1">
        <f t="shared" si="2"/>
        <v>142.22499999999999</v>
      </c>
      <c r="V35" s="1">
        <f t="shared" si="2"/>
        <v>159.57999999999998</v>
      </c>
      <c r="W35" s="1">
        <f t="shared" si="2"/>
        <v>284.48200000000008</v>
      </c>
      <c r="X35" s="1">
        <f t="shared" si="2"/>
        <v>198.29400000000004</v>
      </c>
      <c r="Y35" s="1">
        <f t="shared" si="2"/>
        <v>86.187999999999988</v>
      </c>
      <c r="Z35" s="1">
        <f t="shared" si="2"/>
        <v>40048.800000000003</v>
      </c>
      <c r="AA35" s="1">
        <f t="shared" si="2"/>
        <v>336.96800000000002</v>
      </c>
      <c r="AB35" s="1">
        <f t="shared" si="2"/>
        <v>58.514999999999986</v>
      </c>
      <c r="AC35" s="1">
        <f t="shared" si="2"/>
        <v>134.607</v>
      </c>
      <c r="AD35" s="1">
        <f t="shared" si="2"/>
        <v>143.84600000000003</v>
      </c>
      <c r="AE35" s="1">
        <f t="shared" si="2"/>
        <v>234.43399999999997</v>
      </c>
      <c r="AF35" s="1">
        <f t="shared" si="2"/>
        <v>163.44199999999998</v>
      </c>
      <c r="AG35" s="1">
        <f t="shared" si="2"/>
        <v>70.992000000000004</v>
      </c>
      <c r="AH35" s="1">
        <f t="shared" si="2"/>
        <v>37126.199999999997</v>
      </c>
      <c r="AI35" s="1">
        <f t="shared" si="2"/>
        <v>324.96100000000001</v>
      </c>
      <c r="AJ35" s="1">
        <f t="shared" si="2"/>
        <v>59.219999999999992</v>
      </c>
      <c r="AK35" s="1">
        <f t="shared" si="2"/>
        <v>121.703</v>
      </c>
      <c r="AL35" s="1">
        <f t="shared" si="2"/>
        <v>144.03799999999998</v>
      </c>
      <c r="AM35" s="1">
        <f t="shared" si="2"/>
        <v>238.08200000000002</v>
      </c>
      <c r="AN35" s="1">
        <f t="shared" si="2"/>
        <v>167.09700000000001</v>
      </c>
      <c r="AO35" s="1">
        <f t="shared" si="2"/>
        <v>70.984999999999999</v>
      </c>
      <c r="AP35" s="1">
        <f t="shared" si="2"/>
        <v>35445.699999999997</v>
      </c>
      <c r="AQ35" s="1">
        <f t="shared" si="2"/>
        <v>58448.4</v>
      </c>
      <c r="AR35" s="1">
        <f>AVERAGEIFS(AR14:AR34, $A$14:$A$34, "&lt; 11")</f>
        <v>56.96</v>
      </c>
      <c r="AS35" s="1">
        <f t="shared" si="2"/>
        <v>41.42</v>
      </c>
      <c r="AT35" s="1">
        <f t="shared" si="2"/>
        <v>16.350000000000001</v>
      </c>
      <c r="AU35" s="1">
        <f t="shared" si="2"/>
        <v>4.0600000000000005</v>
      </c>
      <c r="AV35" s="1">
        <f t="shared" si="2"/>
        <v>3.0399999999999996</v>
      </c>
    </row>
    <row r="36" spans="1:49" x14ac:dyDescent="0.45">
      <c r="C36" s="36">
        <f>C35-C30</f>
        <v>190.95299999999997</v>
      </c>
      <c r="D36" s="36">
        <f t="shared" ref="D36:AP36" si="3">D35-D30</f>
        <v>27.62</v>
      </c>
      <c r="E36" s="36">
        <f t="shared" si="3"/>
        <v>64.079000000000008</v>
      </c>
      <c r="F36" s="36">
        <f t="shared" si="3"/>
        <v>99.253999999999991</v>
      </c>
      <c r="G36" s="36">
        <f t="shared" si="3"/>
        <v>153.13100000000003</v>
      </c>
      <c r="H36" s="36">
        <f t="shared" si="3"/>
        <v>104.20999999999998</v>
      </c>
      <c r="I36" s="36">
        <f t="shared" si="3"/>
        <v>48.921000000000006</v>
      </c>
      <c r="J36" s="36">
        <f t="shared" si="3"/>
        <v>14420.900000000001</v>
      </c>
      <c r="K36" s="36">
        <f t="shared" si="3"/>
        <v>218.91699999999992</v>
      </c>
      <c r="L36" s="36">
        <f t="shared" si="3"/>
        <v>35.274000000000001</v>
      </c>
      <c r="M36" s="36">
        <f t="shared" si="3"/>
        <v>82.926999999999978</v>
      </c>
      <c r="N36" s="36">
        <f t="shared" si="3"/>
        <v>100.71600000000001</v>
      </c>
      <c r="O36" s="36">
        <f t="shared" si="3"/>
        <v>158.541</v>
      </c>
      <c r="P36" s="36">
        <f t="shared" si="3"/>
        <v>111.08199999999999</v>
      </c>
      <c r="Q36" s="36">
        <f t="shared" si="3"/>
        <v>47.459000000000017</v>
      </c>
      <c r="R36" s="36">
        <f t="shared" si="3"/>
        <v>14399.5</v>
      </c>
      <c r="S36" s="36">
        <f t="shared" si="3"/>
        <v>200.48199999999997</v>
      </c>
      <c r="T36" s="36">
        <f t="shared" si="3"/>
        <v>33.94700000000001</v>
      </c>
      <c r="U36" s="36">
        <f t="shared" si="3"/>
        <v>76.814999999999998</v>
      </c>
      <c r="V36" s="36">
        <f t="shared" si="3"/>
        <v>89.719999999999985</v>
      </c>
      <c r="W36" s="36">
        <f t="shared" si="3"/>
        <v>142.74200000000008</v>
      </c>
      <c r="X36" s="36">
        <f t="shared" si="3"/>
        <v>104.49400000000004</v>
      </c>
      <c r="Y36" s="36">
        <f t="shared" si="3"/>
        <v>38.24799999999999</v>
      </c>
      <c r="Z36" s="36">
        <f t="shared" si="3"/>
        <v>16228.800000000003</v>
      </c>
      <c r="AA36" s="36">
        <f t="shared" si="3"/>
        <v>181.15800000000002</v>
      </c>
      <c r="AB36" s="36">
        <f t="shared" si="3"/>
        <v>31.464999999999986</v>
      </c>
      <c r="AC36" s="36">
        <f t="shared" si="3"/>
        <v>70.346999999999994</v>
      </c>
      <c r="AD36" s="36">
        <f t="shared" si="3"/>
        <v>79.346000000000032</v>
      </c>
      <c r="AE36" s="36">
        <f t="shared" si="3"/>
        <v>119.87399999999997</v>
      </c>
      <c r="AF36" s="36">
        <f t="shared" si="3"/>
        <v>86.991999999999976</v>
      </c>
      <c r="AG36" s="36">
        <f t="shared" si="3"/>
        <v>32.882000000000005</v>
      </c>
      <c r="AH36" s="36">
        <f t="shared" si="3"/>
        <v>14079.199999999997</v>
      </c>
      <c r="AI36" s="36">
        <f t="shared" si="3"/>
        <v>178.721</v>
      </c>
      <c r="AJ36" s="36">
        <f t="shared" si="3"/>
        <v>31.999999999999993</v>
      </c>
      <c r="AK36" s="36">
        <f t="shared" si="3"/>
        <v>65.432999999999993</v>
      </c>
      <c r="AL36" s="36">
        <f t="shared" si="3"/>
        <v>81.287999999999982</v>
      </c>
      <c r="AM36" s="36">
        <f t="shared" si="3"/>
        <v>122.24200000000002</v>
      </c>
      <c r="AN36" s="36">
        <f t="shared" si="3"/>
        <v>87.757000000000005</v>
      </c>
      <c r="AO36" s="36">
        <f t="shared" si="3"/>
        <v>34.484999999999999</v>
      </c>
      <c r="AP36" s="36">
        <f t="shared" si="3"/>
        <v>13799.699999999997</v>
      </c>
      <c r="AQ36" s="36">
        <f>AQ35-AQ30</f>
        <v>30381.4</v>
      </c>
      <c r="AR36" s="36">
        <f>AR35-AR30</f>
        <v>39.96</v>
      </c>
      <c r="AS36" s="36">
        <f>AS35-AS30</f>
        <v>29.62</v>
      </c>
      <c r="AT36" s="36">
        <f t="shared" ref="AT36" si="4">AT35-AT30</f>
        <v>11.350000000000001</v>
      </c>
      <c r="AU36" s="36">
        <f t="shared" ref="AU36" si="5">AU35-AU30</f>
        <v>2.9600000000000004</v>
      </c>
      <c r="AV36" s="36">
        <f t="shared" ref="AV36" si="6">AV35-AV30</f>
        <v>2.0399999999999996</v>
      </c>
    </row>
    <row r="37" spans="1:49" ht="15.75" x14ac:dyDescent="0.5">
      <c r="B37" s="8" t="s">
        <v>31</v>
      </c>
      <c r="C37" s="19" t="s">
        <v>32</v>
      </c>
    </row>
    <row r="38" spans="1:49" x14ac:dyDescent="0.45">
      <c r="B38" s="20">
        <v>1</v>
      </c>
      <c r="C38" s="21" t="s">
        <v>14</v>
      </c>
    </row>
    <row r="39" spans="1:49" x14ac:dyDescent="0.45">
      <c r="B39" s="20">
        <v>2</v>
      </c>
      <c r="C39" s="21" t="s">
        <v>22</v>
      </c>
      <c r="E39" s="1">
        <f>C35-G35</f>
        <v>52.261999999999944</v>
      </c>
    </row>
    <row r="40" spans="1:49" x14ac:dyDescent="0.45">
      <c r="B40" s="20">
        <v>3</v>
      </c>
      <c r="C40" s="21" t="s">
        <v>27</v>
      </c>
      <c r="E40" s="39">
        <f>C30-G30</f>
        <v>14.439999999999998</v>
      </c>
      <c r="F40" s="1">
        <f>E39/E40</f>
        <v>3.6192520775623236</v>
      </c>
    </row>
    <row r="41" spans="1:49" x14ac:dyDescent="0.45">
      <c r="B41" s="20">
        <v>4</v>
      </c>
      <c r="C41" s="21" t="s">
        <v>28</v>
      </c>
    </row>
    <row r="42" spans="1:49" x14ac:dyDescent="0.45">
      <c r="B42" s="20">
        <v>5</v>
      </c>
      <c r="C42" s="21" t="s">
        <v>19</v>
      </c>
      <c r="E42" s="1">
        <f>E39/J30</f>
        <v>2.1900850689351692E-3</v>
      </c>
    </row>
    <row r="43" spans="1:49" x14ac:dyDescent="0.45">
      <c r="B43" s="20">
        <v>6</v>
      </c>
      <c r="C43" s="21" t="s">
        <v>11</v>
      </c>
    </row>
    <row r="44" spans="1:49" x14ac:dyDescent="0.45">
      <c r="B44" s="20">
        <v>7</v>
      </c>
      <c r="C44" s="21" t="s">
        <v>21</v>
      </c>
    </row>
    <row r="45" spans="1:49" x14ac:dyDescent="0.45">
      <c r="B45" s="20">
        <v>8</v>
      </c>
      <c r="C45" s="21" t="s">
        <v>24</v>
      </c>
    </row>
    <row r="46" spans="1:49" x14ac:dyDescent="0.45">
      <c r="B46" s="20">
        <v>9</v>
      </c>
      <c r="C46" s="21" t="s">
        <v>16</v>
      </c>
    </row>
    <row r="47" spans="1:49" x14ac:dyDescent="0.45">
      <c r="B47" s="20">
        <v>10</v>
      </c>
      <c r="C47" s="21" t="s">
        <v>23</v>
      </c>
    </row>
    <row r="48" spans="1:49" x14ac:dyDescent="0.45">
      <c r="B48" s="20">
        <v>11</v>
      </c>
      <c r="C48" s="21" t="s">
        <v>25</v>
      </c>
    </row>
    <row r="49" spans="2:3" x14ac:dyDescent="0.45">
      <c r="B49" s="20">
        <v>12</v>
      </c>
      <c r="C49" s="21" t="s">
        <v>20</v>
      </c>
    </row>
    <row r="50" spans="2:3" x14ac:dyDescent="0.45">
      <c r="B50" s="20">
        <v>13</v>
      </c>
      <c r="C50" s="21" t="s">
        <v>30</v>
      </c>
    </row>
    <row r="51" spans="2:3" x14ac:dyDescent="0.45">
      <c r="B51" s="20">
        <v>14</v>
      </c>
      <c r="C51" s="21" t="s">
        <v>10</v>
      </c>
    </row>
    <row r="52" spans="2:3" x14ac:dyDescent="0.45">
      <c r="B52" s="20">
        <v>15</v>
      </c>
      <c r="C52" s="21" t="s">
        <v>29</v>
      </c>
    </row>
    <row r="53" spans="2:3" x14ac:dyDescent="0.45">
      <c r="B53" s="20">
        <v>16</v>
      </c>
      <c r="C53" s="21" t="s">
        <v>12</v>
      </c>
    </row>
  </sheetData>
  <conditionalFormatting sqref="B14:K14 B15:F32 K15:K32 G15:J34">
    <cfRule type="expression" dxfId="18" priority="19">
      <formula>ISODD(ROW())</formula>
    </cfRule>
  </conditionalFormatting>
  <conditionalFormatting sqref="B33:F33 K33">
    <cfRule type="expression" dxfId="17" priority="18">
      <formula>ISODD(ROW())</formula>
    </cfRule>
  </conditionalFormatting>
  <conditionalFormatting sqref="B34:F34 K34">
    <cfRule type="expression" dxfId="16" priority="17">
      <formula>ISODD(ROW())</formula>
    </cfRule>
  </conditionalFormatting>
  <conditionalFormatting sqref="L14:R14 L15:N32 O15:R34">
    <cfRule type="expression" dxfId="15" priority="16">
      <formula>ISODD(ROW())</formula>
    </cfRule>
  </conditionalFormatting>
  <conditionalFormatting sqref="L33:N33">
    <cfRule type="expression" dxfId="14" priority="15">
      <formula>ISODD(ROW())</formula>
    </cfRule>
  </conditionalFormatting>
  <conditionalFormatting sqref="L34:N34">
    <cfRule type="expression" dxfId="13" priority="14">
      <formula>ISODD(ROW())</formula>
    </cfRule>
  </conditionalFormatting>
  <conditionalFormatting sqref="AA14:AC32">
    <cfRule type="expression" dxfId="12" priority="13">
      <formula>ISODD(ROW())</formula>
    </cfRule>
  </conditionalFormatting>
  <conditionalFormatting sqref="AA33:AC33">
    <cfRule type="expression" dxfId="11" priority="12">
      <formula>ISODD(ROW())</formula>
    </cfRule>
  </conditionalFormatting>
  <conditionalFormatting sqref="AA34:AC34">
    <cfRule type="expression" dxfId="10" priority="11">
      <formula>ISODD(ROW())</formula>
    </cfRule>
  </conditionalFormatting>
  <conditionalFormatting sqref="AD14:AH14 AD15:AD32 AE15:AH34">
    <cfRule type="expression" dxfId="9" priority="10">
      <formula>ISODD(ROW())</formula>
    </cfRule>
  </conditionalFormatting>
  <conditionalFormatting sqref="AD33">
    <cfRule type="expression" dxfId="8" priority="9">
      <formula>ISODD(ROW())</formula>
    </cfRule>
  </conditionalFormatting>
  <conditionalFormatting sqref="AD34">
    <cfRule type="expression" dxfId="7" priority="8">
      <formula>ISODD(ROW())</formula>
    </cfRule>
  </conditionalFormatting>
  <conditionalFormatting sqref="S14:Z14 S15:V32 W15:Z34">
    <cfRule type="expression" dxfId="6" priority="7">
      <formula>ISODD(ROW())</formula>
    </cfRule>
  </conditionalFormatting>
  <conditionalFormatting sqref="S33:V33">
    <cfRule type="expression" dxfId="5" priority="6">
      <formula>ISODD(ROW())</formula>
    </cfRule>
  </conditionalFormatting>
  <conditionalFormatting sqref="S34:V34">
    <cfRule type="expression" dxfId="4" priority="5">
      <formula>ISODD(ROW())</formula>
    </cfRule>
  </conditionalFormatting>
  <conditionalFormatting sqref="AI14:AP14 AI15:AL32 AM15:AP34">
    <cfRule type="expression" dxfId="3" priority="4">
      <formula>ISODD(ROW())</formula>
    </cfRule>
  </conditionalFormatting>
  <conditionalFormatting sqref="AI33:AL33">
    <cfRule type="expression" dxfId="2" priority="3">
      <formula>ISODD(ROW())</formula>
    </cfRule>
  </conditionalFormatting>
  <conditionalFormatting sqref="AI34:AL34">
    <cfRule type="expression" dxfId="1" priority="2">
      <formula>ISODD(ROW())</formula>
    </cfRule>
  </conditionalFormatting>
  <conditionalFormatting sqref="B39:C53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C50A-E7A4-4025-AFDF-478BDAFC665D}">
  <dimension ref="D1:AF56"/>
  <sheetViews>
    <sheetView tabSelected="1" zoomScale="60" zoomScaleNormal="60" workbookViewId="0">
      <selection activeCell="H56" sqref="H56"/>
    </sheetView>
  </sheetViews>
  <sheetFormatPr defaultRowHeight="14.25" x14ac:dyDescent="0.45"/>
  <cols>
    <col min="4" max="4" width="31.265625" bestFit="1" customWidth="1"/>
    <col min="5" max="5" width="21.73046875" customWidth="1"/>
    <col min="6" max="6" width="17.796875" bestFit="1" customWidth="1"/>
    <col min="7" max="7" width="26" bestFit="1" customWidth="1"/>
    <col min="8" max="8" width="35.53125" bestFit="1" customWidth="1"/>
    <col min="9" max="15" width="17.796875" bestFit="1" customWidth="1"/>
    <col min="16" max="16" width="16.9296875" bestFit="1" customWidth="1"/>
    <col min="17" max="23" width="15.3984375" bestFit="1" customWidth="1"/>
  </cols>
  <sheetData>
    <row r="1" spans="4:15" x14ac:dyDescent="0.45">
      <c r="E1" t="s">
        <v>40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</row>
    <row r="2" spans="4:15" x14ac:dyDescent="0.45">
      <c r="D2" t="s">
        <v>50</v>
      </c>
      <c r="F2" s="22">
        <v>995000000</v>
      </c>
    </row>
    <row r="4" spans="4:15" x14ac:dyDescent="0.45">
      <c r="D4" t="s">
        <v>5</v>
      </c>
      <c r="E4" s="24">
        <v>354.08299999999997</v>
      </c>
      <c r="F4" s="24">
        <f>E4*(1+Assumptions!B3)*(1+Assumptions!C3)*Assumptions!B5*Assumptions!B6</f>
        <v>4848679046.4711895</v>
      </c>
      <c r="G4" s="34">
        <f>F4*(1+Assumptions!D$3)*(Assumptions!$B$5)</f>
        <v>5020733695.1333628</v>
      </c>
      <c r="H4" s="34">
        <f>G4*(1+Assumptions!E$3)*(Assumptions!$B$5)</f>
        <v>5185278727.7010069</v>
      </c>
      <c r="I4" s="34">
        <f>H4*(1+Assumptions!F$3)*(Assumptions!$B$5)</f>
        <v>5355216411.8982191</v>
      </c>
      <c r="J4" s="34">
        <f>I4*(1+Assumptions!G$3)*(Assumptions!$B$5)</f>
        <v>5530723481.6630831</v>
      </c>
      <c r="K4" s="34">
        <f>J4*(1+Assumptions!H$3)*(Assumptions!$B$5)</f>
        <v>5711982463.0535927</v>
      </c>
      <c r="L4" s="34">
        <f>K4*(1+Assumptions!I$3)*(Assumptions!$B$5)</f>
        <v>5899181864.0734072</v>
      </c>
      <c r="M4" s="34">
        <f>L4*(1+Assumptions!J$3)*(Assumptions!$B$5)</f>
        <v>6092516370.7187815</v>
      </c>
      <c r="N4" s="34">
        <f>M4*(1+Assumptions!K$3)*(Assumptions!$B$5)</f>
        <v>6292187049.4505682</v>
      </c>
      <c r="O4" s="34">
        <f>N4*(1+Assumptions!L$3)*(Assumptions!$B$5)</f>
        <v>6498401556.3018522</v>
      </c>
    </row>
    <row r="5" spans="4:15" x14ac:dyDescent="0.45">
      <c r="D5" t="s">
        <v>6</v>
      </c>
      <c r="E5" s="22">
        <v>52.25</v>
      </c>
      <c r="F5" s="22">
        <f>E5*Assumptions!$B$5*Assumptions!$B$6*(1+Assumptions!$B$3)</f>
        <v>685402617.08560753</v>
      </c>
      <c r="G5" s="35">
        <f>F5*(1+Assumptions!D$3)*(Assumptions!$B$5)</f>
        <v>709724026.14249778</v>
      </c>
      <c r="H5" s="35">
        <f>G5*(1+Assumptions!E$3)*(Assumptions!$B$5)</f>
        <v>732983886.17228866</v>
      </c>
      <c r="I5" s="35">
        <f>H5*(1+Assumptions!F$3)*(Assumptions!$B$5)</f>
        <v>757006044.03712118</v>
      </c>
      <c r="J5" s="35">
        <f>I5*(1+Assumptions!G$3)*(Assumptions!$B$5)</f>
        <v>781815482.60398448</v>
      </c>
      <c r="K5" s="35">
        <f>J5*(1+Assumptions!H$3)*(Assumptions!$B$5)</f>
        <v>807438003.50599062</v>
      </c>
      <c r="L5" s="35">
        <f>K5*(1+Assumptions!I$3)*(Assumptions!$B$5)</f>
        <v>833900253.97588289</v>
      </c>
      <c r="M5" s="35">
        <f>L5*(1+Assumptions!J$3)*(Assumptions!$B$5)</f>
        <v>861229754.55896127</v>
      </c>
      <c r="N5" s="35">
        <f>M5*(1+Assumptions!K$3)*(Assumptions!$B$5)</f>
        <v>889454927.73424637</v>
      </c>
      <c r="O5" s="35">
        <f>N5*(1+Assumptions!L$3)*(Assumptions!$B$5)</f>
        <v>918605127.47364831</v>
      </c>
    </row>
    <row r="6" spans="4:15" x14ac:dyDescent="0.45">
      <c r="D6" t="s">
        <v>7</v>
      </c>
      <c r="E6" s="22">
        <v>127.51900000000001</v>
      </c>
      <c r="F6" s="22">
        <f>E6*Assumptions!$B$5*Assumptions!$B$6*(1+Assumptions!$B$3)</f>
        <v>1672762800.5385568</v>
      </c>
      <c r="G6" s="35">
        <f>F6*(1+Assumptions!D$3)*(Assumptions!$B$5)</f>
        <v>1732120537.6012475</v>
      </c>
      <c r="H6" s="35">
        <f>G6*(1+Assumptions!E$3)*(Assumptions!$B$5)</f>
        <v>1788887505.85271</v>
      </c>
      <c r="I6" s="35">
        <f>H6*(1+Assumptions!F$3)*(Assumptions!$B$5)</f>
        <v>1847514903.9152093</v>
      </c>
      <c r="J6" s="35">
        <f>I6*(1+Assumptions!G$3)*(Assumptions!$B$5)</f>
        <v>1908063703.8502874</v>
      </c>
      <c r="K6" s="35">
        <f>J6*(1+Assumptions!H$3)*(Assumptions!$B$5)</f>
        <v>1970596875.9632618</v>
      </c>
      <c r="L6" s="35">
        <f>K6*(1+Assumptions!I$3)*(Assumptions!$B$5)</f>
        <v>2035179454.291878</v>
      </c>
      <c r="M6" s="35">
        <f>L6*(1+Assumptions!J$3)*(Assumptions!$B$5)</f>
        <v>2101878604.2412286</v>
      </c>
      <c r="N6" s="35">
        <f>M6*(1+Assumptions!K$3)*(Assumptions!$B$5)</f>
        <v>2170763692.4352798</v>
      </c>
      <c r="O6" s="35">
        <f>N6*(1+Assumptions!L$3)*(Assumptions!$B$5)</f>
        <v>2241906358.8576488</v>
      </c>
    </row>
    <row r="7" spans="4:15" x14ac:dyDescent="0.45">
      <c r="D7" t="s">
        <v>8</v>
      </c>
      <c r="E7" s="22">
        <v>174.31399999999999</v>
      </c>
      <c r="F7" s="22">
        <f>E7*Assumptions!$B$5*Assumptions!$B$6*(1+Assumptions!$B$3)</f>
        <v>2286608072.625083</v>
      </c>
      <c r="G7" s="35">
        <f>F7*(1+Assumptions!D$3)*(Assumptions!$B$5)</f>
        <v>2367748017.0909734</v>
      </c>
      <c r="H7" s="35">
        <f>G7*(1+Assumptions!E$3)*(Assumptions!$B$5)</f>
        <v>2445346471.4686379</v>
      </c>
      <c r="I7" s="35">
        <f>H7*(1+Assumptions!F$3)*(Assumptions!$B$5)</f>
        <v>2525488068.1394591</v>
      </c>
      <c r="J7" s="35">
        <f>I7*(1+Assumptions!G$3)*(Assumptions!$B$5)</f>
        <v>2608256153.772841</v>
      </c>
      <c r="K7" s="35">
        <f>J7*(1+Assumptions!H$3)*(Assumptions!$B$5)</f>
        <v>2693736806.5673347</v>
      </c>
      <c r="L7" s="35">
        <f>K7*(1+Assumptions!I$3)*(Assumptions!$B$5)</f>
        <v>2782018925.7713308</v>
      </c>
      <c r="M7" s="35">
        <f>L7*(1+Assumptions!J$3)*(Assumptions!$B$5)</f>
        <v>2873194324.1376219</v>
      </c>
      <c r="N7" s="35">
        <f>M7*(1+Assumptions!K$3)*(Assumptions!$B$5)</f>
        <v>2967357823.4079881</v>
      </c>
      <c r="O7" s="35">
        <f>N7*(1+Assumptions!L$3)*(Assumptions!$B$5)</f>
        <v>3064607352.9271102</v>
      </c>
    </row>
    <row r="8" spans="4:15" x14ac:dyDescent="0.45">
      <c r="D8" t="s">
        <v>34</v>
      </c>
      <c r="E8" s="25">
        <v>301.82100000000003</v>
      </c>
      <c r="F8" s="25">
        <f>E8*Assumptions!$B$5*Assumptions!$B$6*(1+Assumptions!$B$3)</f>
        <v>3959213460.122395</v>
      </c>
      <c r="G8" s="33">
        <f>F8*(1+Assumptions!D$3)*(Assumptions!$B$5)</f>
        <v>4099705555.8728194</v>
      </c>
      <c r="H8" s="33">
        <f>G8*(1+Assumptions!E$3)*(Assumptions!$B$5)</f>
        <v>4234065636.5245228</v>
      </c>
      <c r="I8" s="33">
        <f>H8*(1+Assumptions!F$3)*(Assumptions!$B$5)</f>
        <v>4372829114.2072334</v>
      </c>
      <c r="J8" s="33">
        <f>I8*(1+Assumptions!G$3)*(Assumptions!$B$5)</f>
        <v>4516140301.9142046</v>
      </c>
      <c r="K8" s="33">
        <f>J8*(1+Assumptions!H$3)*(Assumptions!$B$5)</f>
        <v>4664148242.2235708</v>
      </c>
      <c r="L8" s="33">
        <f>K8*(1+Assumptions!I$3)*(Assumptions!$B$5)</f>
        <v>4817006862.3015289</v>
      </c>
      <c r="M8" s="33">
        <f>L8*(1+Assumptions!J$3)*(Assumptions!$B$5)</f>
        <v>4974875133.9854584</v>
      </c>
      <c r="N8" s="33">
        <f>M8*(1+Assumptions!K$3)*(Assumptions!$B$5)</f>
        <v>5137917239.1134529</v>
      </c>
      <c r="O8" s="33">
        <f>N8*(1+Assumptions!L$3)*(Assumptions!$B$5)</f>
        <v>5306302740.2722292</v>
      </c>
    </row>
    <row r="9" spans="4:15" x14ac:dyDescent="0.45">
      <c r="D9" t="s">
        <v>35</v>
      </c>
      <c r="E9" s="23">
        <v>202.45999999999998</v>
      </c>
      <c r="F9" s="23">
        <f>E9*Assumptions!$B$5*Assumptions!$B$6*(1+Assumptions!$B$3)</f>
        <v>2655820360.8641548</v>
      </c>
      <c r="G9" s="32">
        <f>F9*(1+Assumptions!D$3)*(Assumptions!$B$5)</f>
        <v>2750061747.9963651</v>
      </c>
      <c r="H9" s="32">
        <f>G9*(1+Assumptions!E$3)*(Assumptions!$B$5)</f>
        <v>2840189810.4199338</v>
      </c>
      <c r="I9" s="32">
        <f>H9*(1+Assumptions!F$3)*(Assumptions!$B$5)</f>
        <v>2933271649.2967563</v>
      </c>
      <c r="J9" s="32">
        <f>I9*(1+Assumptions!G$3)*(Assumptions!$B$5)</f>
        <v>3029404069.0526819</v>
      </c>
      <c r="K9" s="32">
        <f>J9*(1+Assumptions!H$3)*(Assumptions!$B$5)</f>
        <v>3128687046.6951733</v>
      </c>
      <c r="L9" s="32">
        <f>K9*(1+Assumptions!I$3)*(Assumptions!$B$5)</f>
        <v>3231223835.7886543</v>
      </c>
      <c r="M9" s="32">
        <f>L9*(1+Assumptions!J$3)*(Assumptions!$B$5)</f>
        <v>3337121073.8374586</v>
      </c>
      <c r="N9" s="32">
        <f>M9*(1+Assumptions!K$3)*(Assumptions!$B$5)</f>
        <v>3446488893.1880469</v>
      </c>
      <c r="O9" s="32">
        <f>N9*(1+Assumptions!L$3)*(Assumptions!$B$5)</f>
        <v>3559441035.5658331</v>
      </c>
    </row>
    <row r="10" spans="4:15" x14ac:dyDescent="0.45">
      <c r="D10" t="s">
        <v>36</v>
      </c>
      <c r="E10" s="23">
        <v>99.361000000000004</v>
      </c>
      <c r="F10" s="23">
        <f>E10*Assumptions!$B$5*Assumptions!$B$6*(1+Assumptions!$B$3)</f>
        <v>1303393099.2582402</v>
      </c>
      <c r="G10" s="32">
        <f>F10*(1+Assumptions!D$3)*(Assumptions!$B$5)</f>
        <v>1349643807.8764541</v>
      </c>
      <c r="H10" s="32">
        <f>G10*(1+Assumptions!E$3)*(Assumptions!$B$5)</f>
        <v>1393875826.1045892</v>
      </c>
      <c r="I10" s="32">
        <f>H10*(1+Assumptions!F$3)*(Assumptions!$B$5)</f>
        <v>1439557464.9104767</v>
      </c>
      <c r="J10" s="32">
        <f>I10*(1+Assumptions!G$3)*(Assumptions!$B$5)</f>
        <v>1486736232.8615217</v>
      </c>
      <c r="K10" s="32">
        <f>J10*(1+Assumptions!H$3)*(Assumptions!$B$5)</f>
        <v>1535461195.5283968</v>
      </c>
      <c r="L10" s="32">
        <f>K10*(1+Assumptions!I$3)*(Assumptions!$B$5)</f>
        <v>1585783026.5128746</v>
      </c>
      <c r="M10" s="32">
        <f>L10*(1+Assumptions!J$3)*(Assumptions!$B$5)</f>
        <v>1637754060.147999</v>
      </c>
      <c r="N10" s="32">
        <f>M10*(1+Assumptions!K$3)*(Assumptions!$B$5)</f>
        <v>1691428345.9254057</v>
      </c>
      <c r="O10" s="32">
        <f>N10*(1+Assumptions!L$3)*(Assumptions!$B$5)</f>
        <v>1746861704.7063954</v>
      </c>
    </row>
    <row r="12" spans="4:15" x14ac:dyDescent="0.45">
      <c r="D12" s="40" t="s">
        <v>41</v>
      </c>
      <c r="E12" s="40"/>
      <c r="F12" s="41">
        <f>F4-F8</f>
        <v>889465586.34879446</v>
      </c>
      <c r="G12" s="41">
        <f t="shared" ref="G12:O12" si="0">G4-G8</f>
        <v>921028139.26054335</v>
      </c>
      <c r="H12" s="41">
        <f t="shared" si="0"/>
        <v>951213091.17648411</v>
      </c>
      <c r="I12" s="41">
        <f t="shared" si="0"/>
        <v>982387297.69098568</v>
      </c>
      <c r="J12" s="41">
        <f t="shared" si="0"/>
        <v>1014583179.7488785</v>
      </c>
      <c r="K12" s="41">
        <f t="shared" si="0"/>
        <v>1047834220.8300219</v>
      </c>
      <c r="L12" s="41">
        <f t="shared" si="0"/>
        <v>1082175001.7718782</v>
      </c>
      <c r="M12" s="41">
        <f t="shared" si="0"/>
        <v>1117641236.7333231</v>
      </c>
      <c r="N12" s="41">
        <f t="shared" si="0"/>
        <v>1154269810.3371153</v>
      </c>
      <c r="O12" s="41">
        <f t="shared" si="0"/>
        <v>1192098816.029623</v>
      </c>
    </row>
    <row r="14" spans="4:15" x14ac:dyDescent="0.45">
      <c r="D14" t="s">
        <v>45</v>
      </c>
    </row>
    <row r="15" spans="4:15" x14ac:dyDescent="0.45">
      <c r="D15" t="s">
        <v>44</v>
      </c>
      <c r="F15">
        <f>Assumptions!C8</f>
        <v>81380356.200000003</v>
      </c>
      <c r="G15">
        <f>Assumptions!D8</f>
        <v>83903147.242200002</v>
      </c>
      <c r="H15">
        <f>Assumptions!E8</f>
        <v>86277606.309154257</v>
      </c>
      <c r="I15">
        <f>Assumptions!F8</f>
        <v>88719262.567703322</v>
      </c>
      <c r="J15">
        <f>Assumptions!G8</f>
        <v>91230017.698369324</v>
      </c>
      <c r="K15">
        <f>Assumptions!G9</f>
        <v>51124525.811188854</v>
      </c>
      <c r="L15">
        <f>Assumptions!H9</f>
        <v>52571349.891645499</v>
      </c>
      <c r="M15">
        <f>Assumptions!I9</f>
        <v>54059119.093579069</v>
      </c>
      <c r="N15">
        <f>Assumptions!J9</f>
        <v>55588992.163927354</v>
      </c>
      <c r="O15">
        <f>Assumptions!K9</f>
        <v>57162160.642166495</v>
      </c>
    </row>
    <row r="16" spans="4:15" x14ac:dyDescent="0.45">
      <c r="D16" t="s">
        <v>46</v>
      </c>
      <c r="F16">
        <f>Assumptions!C11</f>
        <v>260788141.90000001</v>
      </c>
      <c r="G16">
        <f>Assumptions!D11</f>
        <v>268872574.29890001</v>
      </c>
      <c r="H16">
        <f>Assumptions!E11</f>
        <v>276481668.15155888</v>
      </c>
      <c r="I16">
        <f>Assumptions!F11</f>
        <v>284306099.36024797</v>
      </c>
      <c r="J16">
        <f>Assumptions!G11</f>
        <v>292351961.97214299</v>
      </c>
      <c r="K16">
        <f>Assumptions!H11</f>
        <v>300625522.49595463</v>
      </c>
      <c r="L16">
        <f>Assumptions!I11</f>
        <v>309133224.78259015</v>
      </c>
      <c r="M16">
        <f>Assumptions!J11</f>
        <v>317881695.04393744</v>
      </c>
      <c r="N16">
        <f>Assumptions!K11</f>
        <v>326877747.01368088</v>
      </c>
      <c r="O16">
        <f>Assumptions!L11</f>
        <v>336128387.25416803</v>
      </c>
    </row>
    <row r="18" spans="4:32" x14ac:dyDescent="0.45">
      <c r="D18" t="s">
        <v>48</v>
      </c>
      <c r="F18" s="23">
        <f>F15-F16</f>
        <v>-179407785.69999999</v>
      </c>
      <c r="G18" s="23">
        <f t="shared" ref="G18:O18" si="1">G15-G16</f>
        <v>-184969427.05669999</v>
      </c>
      <c r="H18" s="23">
        <f t="shared" si="1"/>
        <v>-190204061.8424046</v>
      </c>
      <c r="I18" s="23">
        <f t="shared" si="1"/>
        <v>-195586836.79254466</v>
      </c>
      <c r="J18" s="23">
        <f t="shared" si="1"/>
        <v>-201121944.27377367</v>
      </c>
      <c r="K18" s="23">
        <f t="shared" si="1"/>
        <v>-249500996.68476579</v>
      </c>
      <c r="L18" s="23">
        <f t="shared" si="1"/>
        <v>-256561874.89094466</v>
      </c>
      <c r="M18" s="23">
        <f t="shared" si="1"/>
        <v>-263822575.95035839</v>
      </c>
      <c r="N18" s="23">
        <f t="shared" si="1"/>
        <v>-271288754.8497535</v>
      </c>
      <c r="O18" s="23">
        <f t="shared" si="1"/>
        <v>-278966226.61200154</v>
      </c>
    </row>
    <row r="20" spans="4:32" x14ac:dyDescent="0.45">
      <c r="D20" t="s">
        <v>53</v>
      </c>
      <c r="F20" s="37"/>
    </row>
    <row r="22" spans="4:32" x14ac:dyDescent="0.45">
      <c r="D22" t="s">
        <v>54</v>
      </c>
      <c r="F22" s="31"/>
    </row>
    <row r="23" spans="4:32" x14ac:dyDescent="0.45">
      <c r="D23" t="s">
        <v>55</v>
      </c>
      <c r="F23" s="23">
        <v>30000000</v>
      </c>
      <c r="G23" s="23">
        <v>30000000</v>
      </c>
      <c r="H23" s="23">
        <v>20000000</v>
      </c>
      <c r="I23" s="23">
        <v>20000000</v>
      </c>
      <c r="J23" s="23">
        <v>20000000</v>
      </c>
      <c r="K23" s="23">
        <v>10000000</v>
      </c>
      <c r="L23" s="23">
        <v>10000000</v>
      </c>
      <c r="M23" s="23">
        <v>10000000</v>
      </c>
      <c r="N23" s="23">
        <v>10000000</v>
      </c>
      <c r="O23" s="23">
        <v>10000000</v>
      </c>
    </row>
    <row r="24" spans="4:32" x14ac:dyDescent="0.45">
      <c r="D24" t="s">
        <v>56</v>
      </c>
      <c r="F24" s="23">
        <f>Assumptions!B6*Assumptions!B5*50</f>
        <v>631207460.16000009</v>
      </c>
      <c r="G24" s="32">
        <f>F24*(1+Assumptions!D3)</f>
        <v>650774891.42496002</v>
      </c>
      <c r="H24" s="32">
        <f>G24*(1+Assumptions!E3)</f>
        <v>669191820.85228634</v>
      </c>
      <c r="I24" s="32">
        <f>H24*(1+Assumptions!F3)</f>
        <v>688129949.382406</v>
      </c>
      <c r="J24" s="32">
        <f>I24*(1+Assumptions!G3)/2</f>
        <v>353802013.47496402</v>
      </c>
      <c r="K24" s="32">
        <f>J24*(1+Assumptions!H3)</f>
        <v>363814610.4563055</v>
      </c>
      <c r="L24" s="32">
        <f>K24*(1+Assumptions!I3)</f>
        <v>374110563.93221897</v>
      </c>
      <c r="M24" s="32">
        <f>L24*(1+Assumptions!J3)</f>
        <v>384697892.89150077</v>
      </c>
      <c r="N24" s="32">
        <f>M24*(1+Assumptions!K3)</f>
        <v>395584843.26033026</v>
      </c>
      <c r="O24" s="32">
        <f>N24*(1+Assumptions!L3)</f>
        <v>406779894.3245976</v>
      </c>
    </row>
    <row r="25" spans="4:32" x14ac:dyDescent="0.45">
      <c r="D25" s="40" t="s">
        <v>71</v>
      </c>
      <c r="E25" s="40"/>
      <c r="F25" s="42">
        <f>-SUM(F23:F24)</f>
        <v>-661207460.16000009</v>
      </c>
      <c r="G25" s="42">
        <f t="shared" ref="G25:O25" si="2">-SUM(G23:G24)</f>
        <v>-680774891.42496002</v>
      </c>
      <c r="H25" s="42">
        <f t="shared" si="2"/>
        <v>-689191820.85228634</v>
      </c>
      <c r="I25" s="42">
        <f t="shared" si="2"/>
        <v>-708129949.382406</v>
      </c>
      <c r="J25" s="42">
        <f t="shared" si="2"/>
        <v>-373802013.47496402</v>
      </c>
      <c r="K25" s="42">
        <f t="shared" si="2"/>
        <v>-373814610.4563055</v>
      </c>
      <c r="L25" s="42">
        <f t="shared" si="2"/>
        <v>-384110563.93221897</v>
      </c>
      <c r="M25" s="42">
        <f t="shared" si="2"/>
        <v>-394697892.89150077</v>
      </c>
      <c r="N25" s="42">
        <f t="shared" si="2"/>
        <v>-405584843.26033026</v>
      </c>
      <c r="O25" s="42">
        <f t="shared" si="2"/>
        <v>-416779894.3245976</v>
      </c>
    </row>
    <row r="26" spans="4:32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4:32" x14ac:dyDescent="0.45">
      <c r="D27" t="s">
        <v>63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4:32" x14ac:dyDescent="0.45">
      <c r="D28" t="s">
        <v>66</v>
      </c>
      <c r="F28" s="32"/>
      <c r="G28" s="38">
        <f>F43*(1+Assumptions!B14)</f>
        <v>528553619.906501</v>
      </c>
      <c r="H28" s="32"/>
      <c r="I28" s="32"/>
      <c r="J28" s="32"/>
      <c r="K28" s="32"/>
      <c r="L28" s="32"/>
      <c r="M28" s="32"/>
      <c r="N28" s="32"/>
      <c r="O28" s="32"/>
      <c r="P28" t="s">
        <v>70</v>
      </c>
    </row>
    <row r="29" spans="4:32" x14ac:dyDescent="0.45">
      <c r="D29" t="s">
        <v>58</v>
      </c>
      <c r="F29" s="32"/>
      <c r="G29" s="32"/>
      <c r="H29" s="38">
        <f>F44+(1+Assumptions!$B$15)^2</f>
        <v>130481293.58909251</v>
      </c>
      <c r="I29" s="38">
        <f>G44+(1+Assumptions!$B$15)^2</f>
        <v>145959361.19933927</v>
      </c>
      <c r="J29" s="38">
        <f>H44+(1+Assumptions!$B$15)^2</f>
        <v>50574626.545714624</v>
      </c>
      <c r="K29" s="38">
        <f>I44+(1+Assumptions!$B$15)^2</f>
        <v>56157469.206836797</v>
      </c>
      <c r="L29" s="38">
        <f>J44+(1+Assumptions!$B$15)^2</f>
        <v>158215194.24260029</v>
      </c>
      <c r="M29" s="38">
        <f>K44+(1+Assumptions!$B$15)^2</f>
        <v>160055457.20804578</v>
      </c>
      <c r="N29" s="38">
        <f>L44+(1+Assumptions!$B$15)^2</f>
        <v>202609711.88314718</v>
      </c>
      <c r="O29" s="38">
        <f>M44+(1+Assumptions!$B$15)^2</f>
        <v>213609606.90374133</v>
      </c>
      <c r="P29" s="38">
        <f>N44+(1+Assumptions!$B$15)^2</f>
        <v>271386845.33178121</v>
      </c>
      <c r="Q29" s="38">
        <f>O44+(1+Assumptions!$B$15)^2</f>
        <v>286152692.14903176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4:32" x14ac:dyDescent="0.45">
      <c r="D30" t="s">
        <v>59</v>
      </c>
      <c r="F30" s="32"/>
      <c r="G30" s="32"/>
      <c r="H30" s="32"/>
      <c r="I30" s="32"/>
      <c r="J30" s="38">
        <f>F45*(1+Assumptions!$B$16)^4</f>
        <v>142626924.31257299</v>
      </c>
      <c r="K30" s="38">
        <f>G45*(1+Assumptions!$B$16)^4</f>
        <v>159545741.82442304</v>
      </c>
      <c r="L30" s="38">
        <f>H45*(1+Assumptions!$B$16)^4</f>
        <v>55282279.507424921</v>
      </c>
      <c r="M30" s="38">
        <f>I45*(1+Assumptions!$B$16)^4</f>
        <v>61384791.691721506</v>
      </c>
      <c r="N30" s="38">
        <f>J45*(1+Assumptions!$B$16)^4</f>
        <v>172942388.48187545</v>
      </c>
      <c r="O30" s="38">
        <f>K45*(1+Assumptions!$B$16)^4</f>
        <v>174953949.2315892</v>
      </c>
      <c r="P30" s="38">
        <f>L45*(1+Assumptions!$B$16)^4</f>
        <v>221469295.16044402</v>
      </c>
      <c r="Q30" s="38">
        <f>M45*(1+Assumptions!$B$16)^4</f>
        <v>233493096.91588634</v>
      </c>
      <c r="R30" s="38">
        <f>N45*(1+Assumptions!$B$16)^4</f>
        <v>296648432.4472751</v>
      </c>
      <c r="S30" s="38">
        <f>O45*(1+Assumptions!$B$16)^4</f>
        <v>312788733.29100627</v>
      </c>
      <c r="T30" s="38">
        <f>P45*(1+Assumptions!$B$16)^4</f>
        <v>0</v>
      </c>
      <c r="U30" s="38">
        <f>Q45*(1+Assumptions!$B$16)^4</f>
        <v>0</v>
      </c>
      <c r="V30" s="38">
        <f>R45*(1+Assumptions!$B$16)^4</f>
        <v>0</v>
      </c>
      <c r="W30" s="38">
        <f>S45*(1+Assumptions!$B$16)^4</f>
        <v>0</v>
      </c>
      <c r="X30" s="38"/>
      <c r="Y30" s="38"/>
      <c r="Z30" s="38"/>
      <c r="AA30" s="38"/>
      <c r="AB30" s="38"/>
      <c r="AC30" s="38"/>
      <c r="AD30" s="38"/>
      <c r="AE30" s="38"/>
      <c r="AF30" s="38"/>
    </row>
    <row r="31" spans="4:32" x14ac:dyDescent="0.45">
      <c r="D31" t="s">
        <v>65</v>
      </c>
      <c r="F31" s="32"/>
      <c r="G31" s="32"/>
      <c r="H31" s="32"/>
      <c r="I31" s="32"/>
      <c r="J31" s="32"/>
      <c r="K31" s="32"/>
      <c r="L31" s="38">
        <f>F46*(1+Assumptions!$B$17)^6</f>
        <v>155438806.7218762</v>
      </c>
      <c r="M31" s="38">
        <f>G46*(1+Assumptions!$B$17)^6</f>
        <v>173877406.7117613</v>
      </c>
      <c r="N31" s="38">
        <f>H46*(1+Assumptions!$B$17)^6</f>
        <v>60248172.642827295</v>
      </c>
      <c r="O31" s="38">
        <f>I46*(1+Assumptions!$B$17)^6</f>
        <v>66898860.908767506</v>
      </c>
      <c r="P31" s="38">
        <f>J46*(1+Assumptions!$B$17)^6</f>
        <v>188477446.50470695</v>
      </c>
      <c r="Q31" s="38">
        <f>K46*(1+Assumptions!$B$17)^6</f>
        <v>190669701.60724866</v>
      </c>
      <c r="R31" s="38">
        <f>L46*(1+Assumptions!$B$17)^6</f>
        <v>241363425.11201265</v>
      </c>
      <c r="S31" s="38">
        <f>M46*(1+Assumptions!$B$17)^6</f>
        <v>254467300.1772173</v>
      </c>
      <c r="T31" s="38">
        <f>N46*(1+Assumptions!$B$17)^6</f>
        <v>323295749.22660482</v>
      </c>
      <c r="U31" s="38">
        <f>O46*(1+Assumptions!$B$17)^6</f>
        <v>340885900.0019483</v>
      </c>
      <c r="V31" s="38">
        <f>P46*(1+Assumptions!$B$17)^6</f>
        <v>0</v>
      </c>
      <c r="W31" s="38">
        <f>Q46*(1+Assumptions!$B$17)^6</f>
        <v>0</v>
      </c>
      <c r="X31" s="38"/>
      <c r="Y31" s="38"/>
      <c r="Z31" s="38"/>
      <c r="AA31" s="38"/>
      <c r="AB31" s="38"/>
      <c r="AC31" s="38"/>
      <c r="AD31" s="38"/>
      <c r="AE31" s="38"/>
      <c r="AF31" s="38"/>
    </row>
    <row r="32" spans="4:32" x14ac:dyDescent="0.45">
      <c r="D32" t="s">
        <v>61</v>
      </c>
      <c r="N32" s="31">
        <f>F47*(1+Assumptions!$B$18)^8</f>
        <v>172350891.98027062</v>
      </c>
      <c r="O32" s="31">
        <f>G47*(1+Assumptions!$B$18)^8</f>
        <v>192795652.34703207</v>
      </c>
      <c r="P32" s="31">
        <f>H47*(1+Assumptions!$B$18)^8</f>
        <v>66803306.807110347</v>
      </c>
      <c r="Q32" s="31">
        <f>I47*(1+Assumptions!$B$18)^8</f>
        <v>74177604.635891825</v>
      </c>
      <c r="R32" s="31">
        <f>J47*(1+Assumptions!$B$18)^8</f>
        <v>208984208.69489473</v>
      </c>
      <c r="S32" s="31">
        <f>K47*(1+Assumptions!$B$18)^8</f>
        <v>211414985.99137399</v>
      </c>
      <c r="T32" s="31">
        <f>L47*(1+Assumptions!$B$18)^8</f>
        <v>267624298.50546467</v>
      </c>
      <c r="U32" s="31">
        <f>M47*(1+Assumptions!$B$18)^8</f>
        <v>282153904.10084909</v>
      </c>
      <c r="V32" s="31">
        <f>N47*(1+Assumptions!$B$18)^8</f>
        <v>358471040.32607859</v>
      </c>
      <c r="W32" s="31">
        <f>O47*(1+Assumptions!$B$18)^8</f>
        <v>377975038.33104545</v>
      </c>
      <c r="X32" s="31"/>
      <c r="Y32" s="31"/>
      <c r="Z32" s="31"/>
      <c r="AA32" s="31"/>
      <c r="AB32" s="31"/>
      <c r="AC32" s="31"/>
      <c r="AD32" s="31"/>
      <c r="AE32" s="31"/>
      <c r="AF32" s="31"/>
    </row>
    <row r="34" spans="4:15" x14ac:dyDescent="0.45">
      <c r="D34" s="40" t="s">
        <v>57</v>
      </c>
      <c r="E34" s="40"/>
      <c r="F34" s="41">
        <f>F12+F18+F25+F2</f>
        <v>1043850340.4887943</v>
      </c>
      <c r="G34" s="41">
        <f>G12+G18+G25+SUM(G28:G32)</f>
        <v>583837440.68538427</v>
      </c>
      <c r="H34" s="41">
        <f t="shared" ref="H34:O34" si="3">H12+H18+H25+SUM(H28:H32)</f>
        <v>202298502.07088566</v>
      </c>
      <c r="I34" s="41">
        <f t="shared" si="3"/>
        <v>224629872.71537435</v>
      </c>
      <c r="J34" s="41">
        <f t="shared" si="3"/>
        <v>632860772.85842836</v>
      </c>
      <c r="K34" s="41">
        <f t="shared" si="3"/>
        <v>640221824.72021031</v>
      </c>
      <c r="L34" s="41">
        <f t="shared" si="3"/>
        <v>810438843.42061591</v>
      </c>
      <c r="M34" s="41">
        <f t="shared" si="3"/>
        <v>854438423.50299251</v>
      </c>
      <c r="N34" s="41">
        <f t="shared" si="3"/>
        <v>1085547377.215152</v>
      </c>
      <c r="O34" s="41">
        <f t="shared" si="3"/>
        <v>1144610764.4841542</v>
      </c>
    </row>
    <row r="36" spans="4:15" x14ac:dyDescent="0.45">
      <c r="D36" t="s">
        <v>63</v>
      </c>
    </row>
    <row r="37" spans="4:15" x14ac:dyDescent="0.45">
      <c r="D37" t="s">
        <v>66</v>
      </c>
      <c r="G37" s="31"/>
    </row>
    <row r="38" spans="4:15" x14ac:dyDescent="0.45">
      <c r="D38" t="s">
        <v>58</v>
      </c>
    </row>
    <row r="39" spans="4:15" x14ac:dyDescent="0.45">
      <c r="D39" t="s">
        <v>60</v>
      </c>
    </row>
    <row r="40" spans="4:15" x14ac:dyDescent="0.45">
      <c r="D40" t="s">
        <v>62</v>
      </c>
    </row>
    <row r="42" spans="4:15" x14ac:dyDescent="0.45">
      <c r="D42" t="s">
        <v>64</v>
      </c>
    </row>
    <row r="43" spans="4:15" x14ac:dyDescent="0.45">
      <c r="D43" t="s">
        <v>66</v>
      </c>
      <c r="F43" s="31">
        <f>F34/2</f>
        <v>521925170.24439716</v>
      </c>
    </row>
    <row r="44" spans="4:15" x14ac:dyDescent="0.45">
      <c r="D44" t="s">
        <v>58</v>
      </c>
      <c r="F44" s="31">
        <f>F43/4</f>
        <v>130481292.56109929</v>
      </c>
      <c r="G44" s="31">
        <f>G34/4</f>
        <v>145959360.17134607</v>
      </c>
      <c r="H44" s="31">
        <f t="shared" ref="H44:O44" si="4">H34/4</f>
        <v>50574625.517721415</v>
      </c>
      <c r="I44" s="31">
        <f t="shared" si="4"/>
        <v>56157468.178843588</v>
      </c>
      <c r="J44" s="31">
        <f t="shared" si="4"/>
        <v>158215193.21460709</v>
      </c>
      <c r="K44" s="31">
        <f t="shared" si="4"/>
        <v>160055456.18005258</v>
      </c>
      <c r="L44" s="31">
        <f t="shared" si="4"/>
        <v>202609710.85515398</v>
      </c>
      <c r="M44" s="31">
        <f t="shared" si="4"/>
        <v>213609605.87574813</v>
      </c>
      <c r="N44" s="31">
        <f t="shared" si="4"/>
        <v>271386844.30378801</v>
      </c>
      <c r="O44" s="31">
        <f t="shared" si="4"/>
        <v>286152691.12103856</v>
      </c>
    </row>
    <row r="45" spans="4:15" x14ac:dyDescent="0.45">
      <c r="D45" t="s">
        <v>59</v>
      </c>
      <c r="F45" s="31">
        <f>F43/4</f>
        <v>130481292.56109929</v>
      </c>
      <c r="G45" s="31">
        <f>G34/4</f>
        <v>145959360.17134607</v>
      </c>
      <c r="H45" s="31">
        <f t="shared" ref="H45:O45" si="5">H34/4</f>
        <v>50574625.517721415</v>
      </c>
      <c r="I45" s="31">
        <f t="shared" si="5"/>
        <v>56157468.178843588</v>
      </c>
      <c r="J45" s="31">
        <f t="shared" si="5"/>
        <v>158215193.21460709</v>
      </c>
      <c r="K45" s="31">
        <f t="shared" si="5"/>
        <v>160055456.18005258</v>
      </c>
      <c r="L45" s="31">
        <f t="shared" si="5"/>
        <v>202609710.85515398</v>
      </c>
      <c r="M45" s="31">
        <f t="shared" si="5"/>
        <v>213609605.87574813</v>
      </c>
      <c r="N45" s="31">
        <f t="shared" si="5"/>
        <v>271386844.30378801</v>
      </c>
      <c r="O45" s="31">
        <f t="shared" si="5"/>
        <v>286152691.12103856</v>
      </c>
    </row>
    <row r="46" spans="4:15" x14ac:dyDescent="0.45">
      <c r="D46" t="s">
        <v>65</v>
      </c>
      <c r="F46" s="31">
        <f>F43/4</f>
        <v>130481292.56109929</v>
      </c>
      <c r="G46" s="31">
        <f>G34/4</f>
        <v>145959360.17134607</v>
      </c>
      <c r="H46" s="31">
        <f t="shared" ref="H46:O46" si="6">H34/4</f>
        <v>50574625.517721415</v>
      </c>
      <c r="I46" s="31">
        <f t="shared" si="6"/>
        <v>56157468.178843588</v>
      </c>
      <c r="J46" s="31">
        <f t="shared" si="6"/>
        <v>158215193.21460709</v>
      </c>
      <c r="K46" s="31">
        <f t="shared" si="6"/>
        <v>160055456.18005258</v>
      </c>
      <c r="L46" s="31">
        <f t="shared" si="6"/>
        <v>202609710.85515398</v>
      </c>
      <c r="M46" s="31">
        <f t="shared" si="6"/>
        <v>213609605.87574813</v>
      </c>
      <c r="N46" s="31">
        <f t="shared" si="6"/>
        <v>271386844.30378801</v>
      </c>
      <c r="O46" s="31">
        <f t="shared" si="6"/>
        <v>286152691.12103856</v>
      </c>
    </row>
    <row r="47" spans="4:15" x14ac:dyDescent="0.45">
      <c r="D47" t="s">
        <v>61</v>
      </c>
      <c r="F47" s="31">
        <f>F43/4</f>
        <v>130481292.56109929</v>
      </c>
      <c r="G47" s="31">
        <f>G34/4</f>
        <v>145959360.17134607</v>
      </c>
      <c r="H47" s="31">
        <f t="shared" ref="H47:O47" si="7">H34/4</f>
        <v>50574625.517721415</v>
      </c>
      <c r="I47" s="31">
        <f t="shared" si="7"/>
        <v>56157468.178843588</v>
      </c>
      <c r="J47" s="31">
        <f t="shared" si="7"/>
        <v>158215193.21460709</v>
      </c>
      <c r="K47" s="31">
        <f t="shared" si="7"/>
        <v>160055456.18005258</v>
      </c>
      <c r="L47" s="31">
        <f t="shared" si="7"/>
        <v>202609710.85515398</v>
      </c>
      <c r="M47" s="31">
        <f t="shared" si="7"/>
        <v>213609605.87574813</v>
      </c>
      <c r="N47" s="31">
        <f t="shared" si="7"/>
        <v>271386844.30378801</v>
      </c>
      <c r="O47" s="31">
        <f t="shared" si="7"/>
        <v>286152691.12103856</v>
      </c>
    </row>
    <row r="49" spans="4:23" x14ac:dyDescent="0.45">
      <c r="P49">
        <v>11</v>
      </c>
      <c r="Q49">
        <v>12</v>
      </c>
      <c r="R49">
        <v>13</v>
      </c>
      <c r="S49">
        <v>14</v>
      </c>
      <c r="T49">
        <v>15</v>
      </c>
      <c r="U49">
        <v>16</v>
      </c>
      <c r="V49">
        <v>17</v>
      </c>
      <c r="W49">
        <v>18</v>
      </c>
    </row>
    <row r="50" spans="4:23" x14ac:dyDescent="0.45">
      <c r="D50" t="s">
        <v>72</v>
      </c>
      <c r="E50" s="31"/>
      <c r="F50" s="31">
        <f>F34-SUM(F43:F47)</f>
        <v>0</v>
      </c>
      <c r="G50" s="31">
        <f t="shared" ref="G50:O50" si="8">G34-SUM(G43:G47)</f>
        <v>0</v>
      </c>
      <c r="H50" s="31">
        <f t="shared" si="8"/>
        <v>0</v>
      </c>
      <c r="I50" s="31">
        <f t="shared" si="8"/>
        <v>0</v>
      </c>
      <c r="J50" s="31">
        <f t="shared" si="8"/>
        <v>0</v>
      </c>
      <c r="K50" s="31">
        <f t="shared" si="8"/>
        <v>0</v>
      </c>
      <c r="L50" s="31">
        <f t="shared" si="8"/>
        <v>0</v>
      </c>
      <c r="M50" s="31">
        <f t="shared" si="8"/>
        <v>0</v>
      </c>
      <c r="N50" s="31">
        <f t="shared" si="8"/>
        <v>0</v>
      </c>
      <c r="O50" s="31">
        <f t="shared" si="8"/>
        <v>0</v>
      </c>
      <c r="P50" s="31">
        <f>SUM(P29:P32)/((1+P52)^P49)</f>
        <v>477660901.17851943</v>
      </c>
      <c r="Q50" s="31">
        <f t="shared" ref="Q50:W50" si="9">SUM(Q29:Q32)/((1+Q52)^Q49)</f>
        <v>472672150.22607762</v>
      </c>
      <c r="R50" s="31">
        <f t="shared" si="9"/>
        <v>424818623.75670481</v>
      </c>
      <c r="S50" s="31">
        <f t="shared" si="9"/>
        <v>418170481.84692168</v>
      </c>
      <c r="T50" s="31">
        <f t="shared" si="9"/>
        <v>299827961.13956976</v>
      </c>
      <c r="U50" s="31">
        <f t="shared" si="9"/>
        <v>297198354.52834928</v>
      </c>
      <c r="V50" s="31">
        <f t="shared" si="9"/>
        <v>161626867.33383086</v>
      </c>
      <c r="W50" s="31">
        <f t="shared" si="9"/>
        <v>161176056.29831994</v>
      </c>
    </row>
    <row r="52" spans="4:23" x14ac:dyDescent="0.45">
      <c r="P52">
        <v>4.1632857142857138E-2</v>
      </c>
      <c r="Q52">
        <v>4.3123571428571435E-2</v>
      </c>
      <c r="R52">
        <v>4.4371428571428569E-2</v>
      </c>
      <c r="S52">
        <v>4.5407857142857132E-2</v>
      </c>
      <c r="T52">
        <v>4.6269999999999992E-2</v>
      </c>
      <c r="U52">
        <v>4.7349999999999996E-2</v>
      </c>
      <c r="V52">
        <v>4.7971428571428568E-2</v>
      </c>
      <c r="W52">
        <v>4.8490714285714283E-2</v>
      </c>
    </row>
    <row r="56" spans="4:23" x14ac:dyDescent="0.45">
      <c r="P56" s="3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E697-3F14-4921-8DD3-67C62679C467}">
  <dimension ref="A2:L18"/>
  <sheetViews>
    <sheetView workbookViewId="0">
      <selection activeCell="B3" sqref="B3"/>
    </sheetView>
  </sheetViews>
  <sheetFormatPr defaultRowHeight="14.25" x14ac:dyDescent="0.45"/>
  <cols>
    <col min="1" max="1" width="26.06640625" bestFit="1" customWidth="1"/>
    <col min="2" max="2" width="10.86328125" bestFit="1" customWidth="1"/>
    <col min="3" max="3" width="11.73046875" bestFit="1" customWidth="1"/>
  </cols>
  <sheetData>
    <row r="2" spans="1:12" x14ac:dyDescent="0.45">
      <c r="A2" t="s">
        <v>37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</row>
    <row r="3" spans="1:12" x14ac:dyDescent="0.45">
      <c r="B3" s="27">
        <v>3.9100000000000003E-2</v>
      </c>
      <c r="C3" s="28">
        <v>4.3900000000000002E-2</v>
      </c>
      <c r="D3" s="28">
        <v>3.1E-2</v>
      </c>
      <c r="E3" s="29">
        <v>2.8299999999999999E-2</v>
      </c>
      <c r="F3" s="29">
        <v>2.8299999999999999E-2</v>
      </c>
      <c r="G3" s="29">
        <v>2.8299999999999999E-2</v>
      </c>
      <c r="H3" s="29">
        <v>2.8299999999999999E-2</v>
      </c>
      <c r="I3" s="29">
        <v>2.8299999999999999E-2</v>
      </c>
      <c r="J3" s="29">
        <v>2.8299999999999999E-2</v>
      </c>
      <c r="K3" s="29">
        <v>2.8299999999999999E-2</v>
      </c>
      <c r="L3" s="29">
        <v>2.8299999999999999E-2</v>
      </c>
    </row>
    <row r="5" spans="1:12" x14ac:dyDescent="0.45">
      <c r="A5" t="s">
        <v>38</v>
      </c>
      <c r="B5" s="26">
        <v>1.0043500000000001</v>
      </c>
    </row>
    <row r="6" spans="1:12" x14ac:dyDescent="0.45">
      <c r="A6" t="s">
        <v>39</v>
      </c>
      <c r="B6" s="30">
        <v>12569472</v>
      </c>
    </row>
    <row r="8" spans="1:12" x14ac:dyDescent="0.45">
      <c r="A8" t="s">
        <v>42</v>
      </c>
      <c r="B8">
        <v>77958000</v>
      </c>
      <c r="C8">
        <f>B8*(1+C3)</f>
        <v>81380356.200000003</v>
      </c>
      <c r="D8">
        <f t="shared" ref="D8:L8" si="0">C8*(1+D3)</f>
        <v>83903147.242200002</v>
      </c>
      <c r="E8">
        <f t="shared" si="0"/>
        <v>86277606.309154257</v>
      </c>
      <c r="F8">
        <f t="shared" si="0"/>
        <v>88719262.567703322</v>
      </c>
      <c r="G8">
        <f t="shared" si="0"/>
        <v>91230017.698369324</v>
      </c>
      <c r="H8">
        <f t="shared" si="0"/>
        <v>93811827.199233174</v>
      </c>
      <c r="I8">
        <f t="shared" si="0"/>
        <v>96466701.908971474</v>
      </c>
      <c r="J8">
        <f t="shared" si="0"/>
        <v>99196709.572995365</v>
      </c>
      <c r="K8">
        <f t="shared" si="0"/>
        <v>102003976.45391113</v>
      </c>
      <c r="L8">
        <f t="shared" si="0"/>
        <v>104890688.98755682</v>
      </c>
    </row>
    <row r="9" spans="1:12" x14ac:dyDescent="0.45">
      <c r="A9" t="s">
        <v>43</v>
      </c>
      <c r="B9">
        <v>43687000</v>
      </c>
      <c r="C9">
        <f>B9*(1+C3)</f>
        <v>45604859.300000004</v>
      </c>
      <c r="D9">
        <f t="shared" ref="D9:L9" si="1">C9*(1+D3)</f>
        <v>47018609.938299999</v>
      </c>
      <c r="E9">
        <f t="shared" si="1"/>
        <v>48349236.599553891</v>
      </c>
      <c r="F9">
        <f t="shared" si="1"/>
        <v>49717519.995321266</v>
      </c>
      <c r="G9">
        <f t="shared" si="1"/>
        <v>51124525.811188854</v>
      </c>
      <c r="H9">
        <f t="shared" si="1"/>
        <v>52571349.891645499</v>
      </c>
      <c r="I9">
        <f t="shared" si="1"/>
        <v>54059119.093579069</v>
      </c>
      <c r="J9">
        <f t="shared" si="1"/>
        <v>55588992.163927354</v>
      </c>
      <c r="K9">
        <f t="shared" si="1"/>
        <v>57162160.642166495</v>
      </c>
      <c r="L9">
        <f t="shared" si="1"/>
        <v>58779849.788339809</v>
      </c>
    </row>
    <row r="10" spans="1:12" x14ac:dyDescent="0.45">
      <c r="A10" t="s">
        <v>49</v>
      </c>
    </row>
    <row r="11" spans="1:12" x14ac:dyDescent="0.45">
      <c r="A11" t="s">
        <v>47</v>
      </c>
      <c r="B11">
        <v>249821000</v>
      </c>
      <c r="C11">
        <f>B11*(1+C3)</f>
        <v>260788141.90000001</v>
      </c>
      <c r="D11">
        <f t="shared" ref="D11:L11" si="2">C11*(1+D3)</f>
        <v>268872574.29890001</v>
      </c>
      <c r="E11">
        <f t="shared" si="2"/>
        <v>276481668.15155888</v>
      </c>
      <c r="F11">
        <f t="shared" si="2"/>
        <v>284306099.36024797</v>
      </c>
      <c r="G11">
        <f t="shared" si="2"/>
        <v>292351961.97214299</v>
      </c>
      <c r="H11">
        <f t="shared" si="2"/>
        <v>300625522.49595463</v>
      </c>
      <c r="I11">
        <f t="shared" si="2"/>
        <v>309133224.78259015</v>
      </c>
      <c r="J11">
        <f t="shared" si="2"/>
        <v>317881695.04393744</v>
      </c>
      <c r="K11">
        <f t="shared" si="2"/>
        <v>326877747.01368088</v>
      </c>
      <c r="L11">
        <f t="shared" si="2"/>
        <v>336128387.25416803</v>
      </c>
    </row>
    <row r="14" spans="1:12" x14ac:dyDescent="0.45">
      <c r="A14" t="s">
        <v>51</v>
      </c>
      <c r="B14" s="28">
        <v>1.2699999999999999E-2</v>
      </c>
    </row>
    <row r="15" spans="1:12" x14ac:dyDescent="0.45">
      <c r="A15" t="s">
        <v>52</v>
      </c>
      <c r="B15" s="28">
        <v>1.3899999999999999E-2</v>
      </c>
    </row>
    <row r="16" spans="1:12" x14ac:dyDescent="0.45">
      <c r="A16" t="s">
        <v>67</v>
      </c>
      <c r="B16" s="28">
        <v>2.2499999999999999E-2</v>
      </c>
    </row>
    <row r="17" spans="1:2" x14ac:dyDescent="0.45">
      <c r="A17" t="s">
        <v>68</v>
      </c>
      <c r="B17" s="28">
        <v>2.9600000000000001E-2</v>
      </c>
    </row>
    <row r="18" spans="1:2" x14ac:dyDescent="0.45">
      <c r="A18" t="s">
        <v>69</v>
      </c>
      <c r="B18" s="28">
        <v>3.5400000000000001E-2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Profit &amp; Loss Expectations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Bray</dc:creator>
  <cp:lastModifiedBy>Sam Bray</cp:lastModifiedBy>
  <dcterms:created xsi:type="dcterms:W3CDTF">2022-03-12T04:55:17Z</dcterms:created>
  <dcterms:modified xsi:type="dcterms:W3CDTF">2022-03-23T06:52:10Z</dcterms:modified>
</cp:coreProperties>
</file>