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mc:AlternateContent xmlns:mc="http://schemas.openxmlformats.org/markup-compatibility/2006">
    <mc:Choice Requires="x15">
      <x15ac:absPath xmlns:x15ac="http://schemas.microsoft.com/office/spreadsheetml/2010/11/ac" url="https://hanwash.sharepoint.com/sites/MattsonProposal/Shared Documents/Monitoring and Evaluation/M&amp;E system building/Mattson Program Baseline/"/>
    </mc:Choice>
  </mc:AlternateContent>
  <xr:revisionPtr revIDLastSave="0" documentId="8_{670D8316-7746-4C40-97D7-C6D8855A99BC}" xr6:coauthVersionLast="47" xr6:coauthVersionMax="47" xr10:uidLastSave="{00000000-0000-0000-0000-000000000000}"/>
  <bookViews>
    <workbookView xWindow="-110" yWindow="-110" windowWidth="19420" windowHeight="10300" xr2:uid="{BBD82ADF-3047-411B-8DF0-045D1582BA96}"/>
  </bookViews>
  <sheets>
    <sheet name="Stratified sample for HH" sheetId="1" r:id="rId1"/>
    <sheet name="Summary sample HH" sheetId="2" r:id="rId2"/>
    <sheet name="HH Survey planning" sheetId="3" r:id="rId3"/>
    <sheet name="KII &amp; WASH actors mapping plan" sheetId="4" r:id="rId4"/>
    <sheet name="School &amp; Health facilities surv" sheetId="5" r:id="rId5"/>
    <sheet name="Water facilities survey plan" sheetId="6" r:id="rId6"/>
    <sheet name="Total work day &amp; Tot enumerator"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7" i="3"/>
  <c r="B15" i="8" s="1"/>
  <c r="E2" i="3"/>
  <c r="E7" i="4"/>
  <c r="B6" i="4"/>
  <c r="E6" i="4" s="1"/>
  <c r="B5" i="4"/>
  <c r="E5" i="4" s="1"/>
  <c r="B4" i="4"/>
  <c r="E4" i="4" s="1"/>
  <c r="B3" i="4"/>
  <c r="E3" i="4" s="1"/>
  <c r="B2" i="4"/>
  <c r="E3" i="5"/>
  <c r="B8" i="8"/>
  <c r="B18" i="8"/>
  <c r="B17" i="8"/>
  <c r="E18" i="5"/>
  <c r="B16" i="8"/>
  <c r="K6" i="6"/>
  <c r="K5" i="6"/>
  <c r="K2" i="6"/>
  <c r="H5" i="6"/>
  <c r="H6" i="6"/>
  <c r="H2" i="6"/>
  <c r="G3" i="6"/>
  <c r="H3" i="6" s="1"/>
  <c r="F7" i="6"/>
  <c r="D7" i="6"/>
  <c r="C7" i="6"/>
  <c r="B7" i="6"/>
  <c r="G6" i="6"/>
  <c r="G5" i="6"/>
  <c r="G4" i="6"/>
  <c r="G2" i="6"/>
  <c r="B18" i="5"/>
  <c r="E17" i="5"/>
  <c r="E16" i="5"/>
  <c r="E15" i="5"/>
  <c r="E14" i="5"/>
  <c r="E13" i="5"/>
  <c r="B7" i="5"/>
  <c r="E6" i="5"/>
  <c r="E5" i="5"/>
  <c r="E4" i="5"/>
  <c r="E2" i="5"/>
  <c r="E2" i="4"/>
  <c r="E6" i="3"/>
  <c r="E5" i="3"/>
  <c r="E4" i="3"/>
  <c r="E3" i="3"/>
  <c r="G42" i="1"/>
  <c r="G43" i="1"/>
  <c r="G44" i="1"/>
  <c r="G45" i="1"/>
  <c r="G46" i="1"/>
  <c r="G47" i="1"/>
  <c r="G41" i="1"/>
  <c r="F42" i="1"/>
  <c r="F43" i="1"/>
  <c r="F44" i="1"/>
  <c r="F45" i="1"/>
  <c r="F46" i="1"/>
  <c r="F47" i="1"/>
  <c r="F41" i="1"/>
  <c r="G37" i="1"/>
  <c r="G38" i="1"/>
  <c r="G39" i="1"/>
  <c r="G40" i="1"/>
  <c r="G36" i="1"/>
  <c r="F37" i="1"/>
  <c r="F38" i="1"/>
  <c r="F39" i="1"/>
  <c r="F40" i="1"/>
  <c r="F36" i="1"/>
  <c r="G31" i="1"/>
  <c r="G32" i="1"/>
  <c r="G33" i="1"/>
  <c r="G34" i="1"/>
  <c r="G35" i="1"/>
  <c r="G30" i="1"/>
  <c r="F31" i="1"/>
  <c r="F32" i="1"/>
  <c r="F33" i="1"/>
  <c r="F34" i="1"/>
  <c r="F35" i="1"/>
  <c r="F30" i="1"/>
  <c r="E11" i="1"/>
  <c r="G11" i="1" s="1"/>
  <c r="G12" i="1"/>
  <c r="G13" i="1"/>
  <c r="G14" i="1"/>
  <c r="G15" i="1"/>
  <c r="G16" i="1"/>
  <c r="G17" i="1"/>
  <c r="G18" i="1"/>
  <c r="G19" i="1"/>
  <c r="G20" i="1"/>
  <c r="G21" i="1"/>
  <c r="G22" i="1"/>
  <c r="G23" i="1"/>
  <c r="G24" i="1"/>
  <c r="G25" i="1"/>
  <c r="G26" i="1"/>
  <c r="G27" i="1"/>
  <c r="G28" i="1"/>
  <c r="G29" i="1"/>
  <c r="F12" i="1"/>
  <c r="F13" i="1"/>
  <c r="F14" i="1"/>
  <c r="F15" i="1"/>
  <c r="F16" i="1"/>
  <c r="F17" i="1"/>
  <c r="F18" i="1"/>
  <c r="F19" i="1"/>
  <c r="F20" i="1"/>
  <c r="F21" i="1"/>
  <c r="F22" i="1"/>
  <c r="F23" i="1"/>
  <c r="F24" i="1"/>
  <c r="F25" i="1"/>
  <c r="F26" i="1"/>
  <c r="F27" i="1"/>
  <c r="F28" i="1"/>
  <c r="F29" i="1"/>
  <c r="G4" i="1"/>
  <c r="G5" i="1"/>
  <c r="G6" i="1"/>
  <c r="G7" i="1"/>
  <c r="G8" i="1"/>
  <c r="G9" i="1"/>
  <c r="G10" i="1"/>
  <c r="G3" i="1"/>
  <c r="F4" i="1"/>
  <c r="F5" i="1"/>
  <c r="F6" i="1"/>
  <c r="F7" i="1"/>
  <c r="F8" i="1"/>
  <c r="F9" i="1"/>
  <c r="F10" i="1"/>
  <c r="F3" i="1"/>
  <c r="D7" i="2"/>
  <c r="C7" i="2"/>
  <c r="B7" i="2"/>
  <c r="E42" i="1"/>
  <c r="E43" i="1"/>
  <c r="E44" i="1"/>
  <c r="E45" i="1"/>
  <c r="E46" i="1"/>
  <c r="E47" i="1"/>
  <c r="E41" i="1"/>
  <c r="E37" i="1"/>
  <c r="E38" i="1"/>
  <c r="E39" i="1"/>
  <c r="E40" i="1"/>
  <c r="E36" i="1"/>
  <c r="E31" i="1"/>
  <c r="E32" i="1"/>
  <c r="E33" i="1"/>
  <c r="E34" i="1"/>
  <c r="E35" i="1"/>
  <c r="E30" i="1"/>
  <c r="E12" i="1"/>
  <c r="E13" i="1"/>
  <c r="E14" i="1"/>
  <c r="E15" i="1"/>
  <c r="E16" i="1"/>
  <c r="E17" i="1"/>
  <c r="E18" i="1"/>
  <c r="E19" i="1"/>
  <c r="E20" i="1"/>
  <c r="E21" i="1"/>
  <c r="E22" i="1"/>
  <c r="E23" i="1"/>
  <c r="E24" i="1"/>
  <c r="E25" i="1"/>
  <c r="E26" i="1"/>
  <c r="E27" i="1"/>
  <c r="E28" i="1"/>
  <c r="E29" i="1"/>
  <c r="E5" i="1"/>
  <c r="E6" i="1"/>
  <c r="E7" i="1"/>
  <c r="E8" i="1"/>
  <c r="E9" i="1"/>
  <c r="E10" i="1"/>
  <c r="E3" i="1"/>
  <c r="B6" i="2"/>
  <c r="B5" i="2"/>
  <c r="B4" i="2"/>
  <c r="B3" i="2"/>
  <c r="B2" i="2"/>
  <c r="E7" i="5" l="1"/>
  <c r="B19" i="8" s="1"/>
  <c r="G7" i="6"/>
  <c r="H4" i="6"/>
  <c r="K4" i="6" s="1"/>
  <c r="K3" i="6"/>
  <c r="F11" i="1"/>
  <c r="K7" i="6" l="1"/>
  <c r="H7" i="6"/>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3" i="1"/>
  <c r="J1" i="1"/>
  <c r="B36" i="1"/>
  <c r="B30" i="1"/>
  <c r="B11" i="1"/>
  <c r="B3" i="1"/>
  <c r="B41" i="1"/>
  <c r="B42" i="1"/>
  <c r="B44" i="1"/>
  <c r="B39" i="1"/>
  <c r="B37" i="1"/>
  <c r="B33" i="1"/>
  <c r="B16" i="1"/>
  <c r="B12" i="1"/>
  <c r="B1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tc={7342B05C-D071-4498-83CF-D8EFAA26AC86}</author>
    <author>tc={9B84BF4F-1335-4D9B-87F6-844CEDCD79FB}</author>
    <author>tc={CB4BBBA1-AA68-4A37-94FE-5896E5961590}</author>
    <author>tc={01970CBB-A718-4887-9BCC-2C16E1DDB09E}</author>
    <author>tc={378FEB90-B2AB-42E7-B764-7BB3F7BCF5C4}</author>
    <author>tc={28CAFE9E-84C8-42DA-9931-CFB0281817F2}</author>
  </authors>
  <commentList>
    <comment ref="G1" authorId="0" shapeId="0" xr:uid="{7342B05C-D071-4498-83CF-D8EFAA26AC86}">
      <text>
        <t xml:space="preserve">[Threaded comment]
Your version of Excel allows you to read this threaded comment; however, any edits to it will get removed if the file is opened in a newer version of Excel. Learn more: https://go.microsoft.com/fwlink/?linkid=870924
Comment:
    Average Haitian population growth rate estimated by IHSI for the period 2020 to 2025. </t>
      </text>
    </comment>
    <comment ref="J1" authorId="1" shapeId="0" xr:uid="{9B84BF4F-1335-4D9B-87F6-844CEDCD79FB}">
      <text>
        <t xml:space="preserve">[Threaded comment]
Your version of Excel allows you to read this threaded comment; however, any edits to it will get removed if the file is opened in a newer version of Excel. Learn more: https://go.microsoft.com/fwlink/?linkid=870924
Comment:
    Number of years from 2015 to 2023. </t>
      </text>
    </comment>
    <comment ref="D2" authorId="2" shapeId="0" xr:uid="{CB4BBBA1-AA68-4A37-94FE-5896E5961590}">
      <text>
        <t>[Threaded comment]
Your version of Excel allows you to read this threaded comment; however, any edits to it will get removed if the file is opened in a newer version of Excel. Learn more: https://go.microsoft.com/fwlink/?linkid=870924
Comment:
    This is our statistical population.</t>
      </text>
    </comment>
    <comment ref="F2" authorId="3" shapeId="0" xr:uid="{01970CBB-A718-4887-9BCC-2C16E1DDB09E}">
      <text>
        <t xml:space="preserve">[Threaded comment]
Your version of Excel allows you to read this threaded comment; however, any edits to it will get removed if the file is opened in a newer version of Excel. Learn more: https://go.microsoft.com/fwlink/?linkid=870924
Comment:
    We used the Survey Monkey's sample calculator to calculate this sample. Confidence level = 95% and Margin of error = 2%. </t>
      </text>
    </comment>
    <comment ref="G2" authorId="4" shapeId="0" xr:uid="{378FEB90-B2AB-42E7-B764-7BB3F7BCF5C4}">
      <text>
        <t xml:space="preserve">[Threaded comment]
Your version of Excel allows you to read this threaded comment; however, any edits to it will get removed if the file is opened in a newer version of Excel. Learn more: https://go.microsoft.com/fwlink/?linkid=870924
Comment:
    We used the Survey Monkey's sample calculator to calculate this sample. Confidence level = 95% and Margin of error = 5%. </t>
      </text>
    </comment>
    <comment ref="A4" authorId="5" shapeId="0" xr:uid="{28CAFE9E-84C8-42DA-9931-CFB0281817F2}">
      <text>
        <t>[Threaded comment]
Your version of Excel allows you to read this threaded comment; however, any edits to it will get removed if the file is opened in a newer version of Excel. Learn more: https://go.microsoft.com/fwlink/?linkid=870924
Comment:
    2eme section Martineau (urbain)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tc={9D11798E-6803-4EFA-8EC4-4F2B465F8156}</author>
    <author>tc={E9205DC9-7CC1-4502-818D-C7C688BB5B4D}</author>
    <author>tc={1B6A1E94-CD4C-4F69-A339-3F19F5D46ED0}</author>
  </authors>
  <commentList>
    <comment ref="B1" authorId="0" shapeId="0" xr:uid="{9D11798E-6803-4EFA-8EC4-4F2B465F8156}">
      <text>
        <t>[Threaded comment]
Your version of Excel allows you to read this threaded comment; however, any edits to it will get removed if the file is opened in a newer version of Excel. Learn more: https://go.microsoft.com/fwlink/?linkid=870924
Comment:
    Total estimated number of households per commune. Considering an average of 5.5 people per household.</t>
      </text>
    </comment>
    <comment ref="C1" authorId="1" shapeId="0" xr:uid="{E9205DC9-7CC1-4502-818D-C7C688BB5B4D}">
      <text>
        <t xml:space="preserve">[Threaded comment]
Your version of Excel allows you to read this threaded comment; however, any edits to it will get removed if the file is opened in a newer version of Excel. Learn more: https://go.microsoft.com/fwlink/?linkid=870924
Comment:
    We used the Survey Monkey's sample calculator to calculate this sample. Confidence level = 95% and Margin of error = 2%. </t>
      </text>
    </comment>
    <comment ref="D1" authorId="2" shapeId="0" xr:uid="{1B6A1E94-CD4C-4F69-A339-3F19F5D46ED0}">
      <text>
        <t xml:space="preserve">[Threaded comment]
Your version of Excel allows you to read this threaded comment; however, any edits to it will get removed if the file is opened in a newer version of Excel. Learn more: https://go.microsoft.com/fwlink/?linkid=870924
Comment:
    We used the Survey Monkey's sample calculator to calculate this sample. Confidence level = 95% and Margin of error = 5%.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tc={7CBC104F-D158-4C00-BF63-9C951F2FF03D}</author>
    <author>tc={60F41B30-0653-49F8-A5F9-9F8B9D8AC7F6}</author>
  </authors>
  <commentList>
    <comment ref="B1" authorId="0" shapeId="0" xr:uid="{7CBC104F-D158-4C00-BF63-9C951F2FF03D}">
      <text>
        <t xml:space="preserve">[Threaded comment]
Your version of Excel allows you to read this threaded comment; however, any edits to it will get removed if the file is opened in a newer version of Excel. Learn more: https://go.microsoft.com/fwlink/?linkid=870924
Comment:
    Confidence level=95% and Margin of error =2%. </t>
      </text>
    </comment>
    <comment ref="D1" authorId="1" shapeId="0" xr:uid="{60F41B30-0653-49F8-A5F9-9F8B9D8AC7F6}">
      <text>
        <t xml:space="preserve">[Threaded comment]
Your version of Excel allows you to read this threaded comment; however, any edits to it will get removed if the file is opened in a newer version of Excel. Learn more: https://go.microsoft.com/fwlink/?linkid=870924
Comment:
    The enumerators will work simultaneously during 3 weeks.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tc={0E323D43-775D-47FF-8C7B-FB09723672AA}</author>
    <author>tc={2EB45B6F-E17A-4AD9-8A8C-FB5F99F51A72}</author>
    <author>tc={5C1BBA1D-11CA-448D-BE30-B802D89CED91}</author>
  </authors>
  <commentList>
    <comment ref="B1" authorId="0" shapeId="0" xr:uid="{0E323D43-775D-47FF-8C7B-FB09723672AA}">
      <text>
        <t>[Threaded comment]
Your version of Excel allows you to read this threaded comment; however, any edits to it will get removed if the file is opened in a newer version of Excel. Learn more: https://go.microsoft.com/fwlink/?linkid=870924
Comment:
    KI=Key Informant
Reply:
    KI includes: ASEC, CASEC, Mayor, TEPAC, OREPA Director, CPE leaders, Professional Operators, NGO involving in WASH, CBO involving in WASH, etc. 
Reply:
    For each commune, we made the assumption that we will interview every ASEC + a maximum of 10 other WASH actors.</t>
      </text>
    </comment>
    <comment ref="D1" authorId="1" shapeId="0" xr:uid="{2EB45B6F-E17A-4AD9-8A8C-FB5F99F51A72}">
      <text>
        <t xml:space="preserve">[Threaded comment]
Your version of Excel allows you to read this threaded comment; however, any edits to it will get removed if the file is opened in a newer version of Excel. Learn more: https://go.microsoft.com/fwlink/?linkid=870924
Comment:
    The enumerators will work simultaneously at the level of the 5 communes. 
Reply:
    The 5 days is broken down into 3 days for KIIs and 2 days for WASH actors mapping. </t>
      </text>
    </comment>
    <comment ref="E1" authorId="2" shapeId="0" xr:uid="{5C1BBA1D-11CA-448D-BE30-B802D89CED91}">
      <text>
        <t xml:space="preserve">[Threaded comment]
Your version of Excel allows you to read this threaded comment; however, any edits to it will get removed if the file is opened in a newer version of Excel. Learn more: https://go.microsoft.com/fwlink/?linkid=870924
Comment:
    We will had 1 more enumerator when the WASH actors mapping starts. So, in each commune, two enumerators will conduct the WASH actors mapping for two days. This task could be performed remotely via phone call if the Mayors or other local authorities provide the list of the actors with their phone numbers.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tc={0EB61692-265C-4E37-8114-3FEA13097A02}</author>
    <author>tc={F83B0BAC-9A3A-4D3A-B36A-6C72A7522C8F}</author>
    <author>tc={F4709A15-84C0-4199-8A23-B1DE03DC1EBE}</author>
    <author>tc={B983D5EF-01EE-40A5-8306-3F82DC2A069D}</author>
  </authors>
  <commentList>
    <comment ref="D1" authorId="0" shapeId="0" xr:uid="{0EB61692-265C-4E37-8114-3FEA13097A02}">
      <text>
        <t xml:space="preserve">[Threaded comment]
Your version of Excel allows you to read this threaded comment; however, any edits to it will get removed if the file is opened in a newer version of Excel. Learn more: https://go.microsoft.com/fwlink/?linkid=870924
Comment:
    The enumerators will work simultaneously at the level of the 5 communes. </t>
      </text>
    </comment>
    <comment ref="B3" authorId="1" shapeId="0" xr:uid="{F83B0BAC-9A3A-4D3A-B36A-6C72A7522C8F}">
      <text>
        <t>[Threaded comment]
Your version of Excel allows you to read this threaded comment; however, any edits to it will get removed if the file is opened in a newer version of Excel. Learn more: https://go.microsoft.com/fwlink/?linkid=870924
Comment:
    This an assumption. We don't have yet accurate data on the number of existing health facilities in Leogane.</t>
      </text>
    </comment>
    <comment ref="B12" authorId="2" shapeId="0" xr:uid="{F4709A15-84C0-4199-8A23-B1DE03DC1EBE}">
      <text>
        <t>[Threaded comment]
Your version of Excel allows you to read this threaded comment; however, any edits to it will get removed if the file is opened in a newer version of Excel. Learn more: https://go.microsoft.com/fwlink/?linkid=870924
Comment:
    Public and private schools</t>
      </text>
    </comment>
    <comment ref="D12" authorId="3" shapeId="0" xr:uid="{B983D5EF-01EE-40A5-8306-3F82DC2A069D}">
      <text>
        <t xml:space="preserve">[Threaded comment]
Your version of Excel allows you to read this threaded comment; however, any edits to it will get removed if the file is opened in a newer version of Excel. Learn more: https://go.microsoft.com/fwlink/?linkid=870924
Comment:
    The enumerators will work simultaneously at the level of the 5 communes.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tc={61D69DD2-F03D-4FBB-B7C0-BE95B12A79F5}</author>
    <author>tc={35BF72D5-1C3B-4ED7-88D7-6FF656F7F15A}</author>
    <author>tc={7EE85D07-E0F2-41AF-823E-F1DB5A2EBB01}</author>
    <author>tc={DB36E703-C92E-4A67-A3B9-2C921F1DFAFA}</author>
  </authors>
  <commentList>
    <comment ref="D1" authorId="0" shapeId="0" xr:uid="{61D69DD2-F03D-4FBB-B7C0-BE95B12A79F5}">
      <text>
        <t>[Threaded comment]
Your version of Excel allows you to read this threaded comment; however, any edits to it will get removed if the file is opened in a newer version of Excel. Learn more: https://go.microsoft.com/fwlink/?linkid=870924
Comment:
    Public wells</t>
      </text>
    </comment>
    <comment ref="E1" authorId="1" shapeId="0" xr:uid="{35BF72D5-1C3B-4ED7-88D7-6FF656F7F15A}">
      <text>
        <t>[Threaded comment]
Your version of Excel allows you to read this threaded comment; however, any edits to it will get removed if the file is opened in a newer version of Excel. Learn more: https://go.microsoft.com/fwlink/?linkid=870924
Comment:
    Out of scope</t>
      </text>
    </comment>
    <comment ref="H1" authorId="2" shapeId="0" xr:uid="{7EE85D07-E0F2-41AF-823E-F1DB5A2EBB01}">
      <text>
        <t>[Threaded comment]
Your version of Excel allows you to read this threaded comment; however, any edits to it will get removed if the file is opened in a newer version of Excel. Learn more: https://go.microsoft.com/fwlink/?linkid=870924
Comment:
    Here, we made the assumption that due to new constructions, the number of water infrastructures may have increased by 20% since the 2021 CAP.</t>
      </text>
    </comment>
    <comment ref="J1" authorId="3" shapeId="0" xr:uid="{DB36E703-C92E-4A67-A3B9-2C921F1DFAFA}">
      <text>
        <t xml:space="preserve">[Threaded comment]
Your version of Excel allows you to read this threaded comment; however, any edits to it will get removed if the file is opened in a newer version of Excel. Learn more: https://go.microsoft.com/fwlink/?linkid=870924
Comment:
    The enumerators will work simultaneously at the level of the 5 communes.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tc={60BB2F39-E4CA-432F-B1C2-DEC3F25E4150}</author>
  </authors>
  <commentList>
    <comment ref="A12" authorId="0" shapeId="0" xr:uid="{60BB2F39-E4CA-432F-B1C2-DEC3F25E4150}">
      <text>
        <t>[Threaded comment]
Your version of Excel allows you to read this threaded comment; however, any edits to it will get removed if the file is opened in a newer version of Excel. Learn more: https://go.microsoft.com/fwlink/?linkid=870924
Comment:
    Each data collection activity happens simultaneously at the level of the 5 target communes.</t>
      </text>
    </comment>
  </commentList>
</comments>
</file>

<file path=xl/sharedStrings.xml><?xml version="1.0" encoding="utf-8"?>
<sst xmlns="http://schemas.openxmlformats.org/spreadsheetml/2006/main" count="167" uniqueCount="104">
  <si>
    <t>Growth rate</t>
  </si>
  <si>
    <t>Number of years</t>
  </si>
  <si>
    <t>Nb people per households</t>
  </si>
  <si>
    <t>Communes</t>
  </si>
  <si>
    <t>estimated Population in 2015</t>
  </si>
  <si>
    <t>Estimated population in 2023</t>
  </si>
  <si>
    <t>Estimated number of households in 2023</t>
  </si>
  <si>
    <t>Proportion in communal nb of households</t>
  </si>
  <si>
    <t>Stratified sample (ME: 2%)</t>
  </si>
  <si>
    <t>Stratified sample (ME: 5%)</t>
  </si>
  <si>
    <t>Cavaillon</t>
  </si>
  <si>
    <t>Urban area</t>
  </si>
  <si>
    <t>Rural area</t>
  </si>
  <si>
    <t>1ere section Boileau</t>
  </si>
  <si>
    <t>2eme section Martineau</t>
  </si>
  <si>
    <t>3eme section Gros Marin</t>
  </si>
  <si>
    <t>4eme section Marre Henri</t>
  </si>
  <si>
    <t>5eme section Laroque</t>
  </si>
  <si>
    <t>Leogane</t>
  </si>
  <si>
    <t>1ere section Dessources</t>
  </si>
  <si>
    <t>2eme section Petite Riviere</t>
  </si>
  <si>
    <t>4eme section Fond de Boudin</t>
  </si>
  <si>
    <t>3eme section Grande Riviere</t>
  </si>
  <si>
    <t>5eme section Palmiste a Vin</t>
  </si>
  <si>
    <t>6eme section Orangers</t>
  </si>
  <si>
    <t>7eme section Parques</t>
  </si>
  <si>
    <t>8eme section Beausejour</t>
  </si>
  <si>
    <t>9eme section Citronniers</t>
  </si>
  <si>
    <t>10eme section Fond d'Oie</t>
  </si>
  <si>
    <t>11eme section Gros Morne</t>
  </si>
  <si>
    <t>12eme section Cormiers</t>
  </si>
  <si>
    <t>13eme Section Petit Harpon</t>
  </si>
  <si>
    <t>Pignon</t>
  </si>
  <si>
    <t>1ere section Savannette (Ville de Pignon)</t>
  </si>
  <si>
    <t>1ere section Savannette</t>
  </si>
  <si>
    <t>2eme section la Belle Mere</t>
  </si>
  <si>
    <t>Ferrier</t>
  </si>
  <si>
    <t>1ere section Bas Maribahoux (Ville de Ferrier)</t>
  </si>
  <si>
    <t>1ere section Bas Maribahoux (Rural)</t>
  </si>
  <si>
    <t>Terre-Neuve</t>
  </si>
  <si>
    <t>Ville de Terre-Neuve (2eme section Bois Neuf)</t>
  </si>
  <si>
    <t>1ere section Doland</t>
  </si>
  <si>
    <t>2eme Section Bois Neuf</t>
  </si>
  <si>
    <t>3eme section Lagon</t>
  </si>
  <si>
    <t>Population</t>
  </si>
  <si>
    <t>Sample size (scenario 1)</t>
  </si>
  <si>
    <t>Sample size (scenario 2)</t>
  </si>
  <si>
    <t>Total</t>
  </si>
  <si>
    <t>Sample size</t>
  </si>
  <si>
    <t>Nb HH/enumerator/day</t>
  </si>
  <si>
    <t>Nb days</t>
  </si>
  <si>
    <t>Nb enumerators</t>
  </si>
  <si>
    <t>Target nb KI</t>
  </si>
  <si>
    <t>Nb KI/enumerator/day</t>
  </si>
  <si>
    <t>Target nb Health facilities*</t>
  </si>
  <si>
    <t>Nb/enumerator/day</t>
  </si>
  <si>
    <t>*Source: Carte Sanitaire du MSPP: https://cartesanitaire.sisnu.net/cartographie#</t>
  </si>
  <si>
    <t>Target nb schools**</t>
  </si>
  <si>
    <r>
      <t>**Source: Minist</t>
    </r>
    <r>
      <rPr>
        <sz val="10"/>
        <color theme="1"/>
        <rFont val="Calibri"/>
        <family val="2"/>
      </rPr>
      <t>è</t>
    </r>
    <r>
      <rPr>
        <sz val="10"/>
        <color theme="1"/>
        <rFont val="Aptos Narrow"/>
        <family val="2"/>
      </rPr>
      <t xml:space="preserve">re de l'Éducation Nationale et de la Formation Professionnelle (MENFP) : https://sigeee.menfp.gouv.ht/census/dashboard/ecole </t>
    </r>
  </si>
  <si>
    <t>Water systems</t>
  </si>
  <si>
    <t>Water fountains</t>
  </si>
  <si>
    <t>Wells</t>
  </si>
  <si>
    <t>Private wells</t>
  </si>
  <si>
    <t>Protected spring</t>
  </si>
  <si>
    <t>Total target*</t>
  </si>
  <si>
    <t>Adjusted target</t>
  </si>
  <si>
    <t>Leogane**</t>
  </si>
  <si>
    <t>*Source: HANWASH-Commune Action Plan (on mWater)</t>
  </si>
  <si>
    <t xml:space="preserve">**Water systems and wells (public) at Leogane won't be surveyed because since the CAP data will be collected in 2024, they will be up to date at the time of the baseline study. </t>
  </si>
  <si>
    <t>Total enumerators to recruit</t>
  </si>
  <si>
    <t>Total work day VS total enumerators to be deployed</t>
  </si>
  <si>
    <t>Data collection activities</t>
  </si>
  <si>
    <t>Total nb of enumerators to be deployed</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</si>
  <si>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</si>
  <si>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</si>
  <si>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</si>
  <si>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</si>
  <si>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</si>
  <si>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</si>
  <si>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</si>
  <si>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</si>
  <si>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</si>
  <si>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</si>
  <si>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</si>
  <si>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</si>
  <si>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</si>
  <si>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</si>
  <si>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</si>
  <si>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</si>
  <si>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</si>
  <si>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</si>
  <si>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</si>
  <si>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</si>
  <si>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</si>
  <si>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</si>
  <si>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</si>
  <si>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</si>
  <si>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</si>
  <si>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Water facilities survey</t>
  </si>
  <si>
    <t>Household survey</t>
  </si>
  <si>
    <t>Key Informant Interview</t>
  </si>
  <si>
    <t>WASH actors mapping</t>
  </si>
  <si>
    <t>Schools' survey</t>
  </si>
  <si>
    <t>Healthcare facilities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</si>
</sst>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1"/>
      <color theme="1"/>
      <name val="Aptos Narrow"/>
      <family val="2"/>
      <scheme val="minor"/>
    </font>
    <font>
      <b/>
      <sz val="11"/>
      <color theme="1"/>
      <name val="Aptos Narrow"/>
      <family val="2"/>
      <scheme val="minor"/>
    </font>
    <font>
      <b/>
      <sz val="12"/>
      <color theme="1"/>
      <name val="Aptos Narrow"/>
      <family val="2"/>
      <scheme val="minor"/>
    </font>
    <font>
      <sz val="10"/>
      <color theme="1"/>
      <name val="Aptos Narrow"/>
      <family val="2"/>
      <scheme val="minor"/>
    </font>
    <font>
      <sz val="10"/>
      <color theme="1"/>
      <name val="Calibri"/>
      <family val="2"/>
    </font>
    <font>
      <sz val="10"/>
      <color theme="1"/>
      <name val="Aptos Narrow"/>
      <family val="2"/>
    </font>
    <font>
      <sz val="11"/>
      <color theme="0" tint="-0.34998626667073579"/>
      <name val="Aptos Narrow"/>
      <family val="2"/>
      <scheme val="minor"/>
    </font>
    <font>
      <sz val="11"/>
      <name val="Aptos Narrow"/>
      <family val="2"/>
      <scheme val="minor"/>
    </font>
    <font>
      <sz val="8"/>
      <name val="Aptos Narrow"/>
      <family val="2"/>
      <scheme val="minor"/>
    </font>
    <font>
      <b/>
      <sz val="10"/>
      <color theme="1"/>
      <name val="Aptos Narrow"/>
      <family val="2"/>
      <scheme val="minor"/>
    </font>
  </fonts>
  <fills count="7">
    <fill>
      <patternFill patternType="none"/>
    </fill>
    <fill>
      <patternFill patternType="gray125"/>
    </fill>
    <fill>
      <patternFill patternType="solid">
        <fgColor theme="2"/>
        <bgColor indexed="64"/>
      </patternFill>
    </fill>
    <fill>
      <patternFill patternType="solid">
        <fgColor theme="3" tint="0.749992370372631"/>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2" fillId="0" borderId="0" xfId="0" applyFont="1"/>
    <xf numFmtId="0" fontId="3" fillId="0" borderId="0" xfId="0" applyFont="1"/>
    <xf numFmtId="10" fontId="0" fillId="0" borderId="0" xfId="1" applyNumberFormat="1" applyFont="1"/>
    <xf numFmtId="1" fontId="0" fillId="0" borderId="0" xfId="0" applyNumberFormat="1"/>
    <xf numFmtId="1" fontId="3" fillId="0" borderId="0" xfId="0" applyNumberFormat="1" applyFont="1"/>
    <xf numFmtId="1" fontId="2" fillId="0" borderId="0" xfId="0" applyNumberFormat="1"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pplyAlignment="1">
      <alignment wrapText="1"/>
    </xf>
    <xf numFmtId="0" fontId="0" fillId="0" borderId="1" xfId="0" applyBorder="1"/>
    <xf numFmtId="1" fontId="0" fillId="0" borderId="1" xfId="0" applyNumberFormat="1" applyBorder="1"/>
    <xf numFmtId="0" fontId="2" fillId="0" borderId="1" xfId="0" applyFont="1" applyBorder="1" applyAlignment="1">
      <alignment wrapText="1"/>
    </xf>
    <xf numFmtId="0" fontId="2" fillId="0" borderId="1" xfId="0" applyFont="1" applyBorder="1" applyAlignment="1">
      <alignment horizontal="left" vertical="center"/>
    </xf>
    <xf numFmtId="0" fontId="2" fillId="0" borderId="1" xfId="0" applyFont="1" applyBorder="1"/>
    <xf numFmtId="0" fontId="2" fillId="0" borderId="1" xfId="0" applyFont="1" applyBorder="1" applyAlignment="1">
      <alignment horizontal="center"/>
    </xf>
    <xf numFmtId="1" fontId="2" fillId="0" borderId="1" xfId="0" applyNumberFormat="1" applyFont="1" applyBorder="1"/>
    <xf numFmtId="0" fontId="4" fillId="0" borderId="0" xfId="0" applyFont="1"/>
    <xf numFmtId="0" fontId="2" fillId="0" borderId="1" xfId="0" applyFont="1" applyBorder="1" applyAlignment="1">
      <alignment horizontal="center" wrapText="1"/>
    </xf>
    <xf numFmtId="0" fontId="7" fillId="0" borderId="1" xfId="0" applyFont="1" applyBorder="1"/>
    <xf numFmtId="0" fontId="8" fillId="0" borderId="1" xfId="0" applyFont="1" applyBorder="1"/>
    <xf numFmtId="1" fontId="2" fillId="0" borderId="2" xfId="0" applyNumberFormat="1" applyFont="1" applyBorder="1"/>
    <xf numFmtId="1" fontId="8" fillId="0" borderId="1" xfId="0" applyNumberFormat="1" applyFont="1" applyBorder="1"/>
    <xf numFmtId="0" fontId="10" fillId="0" borderId="1" xfId="0" applyFont="1" applyBorder="1"/>
    <xf numFmtId="0" fontId="10" fillId="0" borderId="1" xfId="0" applyFont="1" applyBorder="1" applyAlignment="1">
      <alignment horizontal="center" wrapText="1"/>
    </xf>
    <xf numFmtId="0" fontId="10" fillId="0" borderId="0" xfId="0" applyFont="1" applyAlignment="1">
      <alignment horizontal="center" wrapText="1"/>
    </xf>
    <xf numFmtId="0" fontId="4" fillId="0" borderId="1" xfId="0" applyFont="1" applyBorder="1"/>
    <xf numFmtId="1" fontId="4" fillId="0" borderId="0" xfId="0" applyNumberFormat="1" applyFont="1"/>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 fontId="4" fillId="0" borderId="1" xfId="0" applyNumberFormat="1" applyFont="1" applyBorder="1"/>
    <xf numFmtId="0" fontId="4" fillId="4" borderId="1" xfId="0" applyFont="1" applyFill="1" applyBorder="1"/>
    <xf numFmtId="0" fontId="4" fillId="5" borderId="1" xfId="0" applyFont="1"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0" fillId="6" borderId="0" xfId="0" applyFont="1" applyFill="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lex Bonhomme" id="{E9ADB06E-B16E-4F95-8742-B047294EEDB1}" userId="S::alex.bonhomme@hanwash.org::a713af9e-544c-48b3-87a5-ac7c47c2c71e"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5-02T03:06:17.89" personId="{E9ADB06E-B16E-4F95-8742-B047294EEDB1}" id="{7342B05C-D071-4498-83CF-D8EFAA26AC86}">
    <text xml:space="preserve">Average Haitian population growth rate estimated by IHSI for the period 2020 to 2025. </text>
  </threadedComment>
  <threadedComment ref="J1" dT="2024-05-02T03:06:55.78" personId="{E9ADB06E-B16E-4F95-8742-B047294EEDB1}" id="{9B84BF4F-1335-4D9B-87F6-844CEDCD79FB}">
    <text xml:space="preserve">Number of years from 2015 to 2023. </text>
  </threadedComment>
  <threadedComment ref="D2" dT="2024-04-30T20:28:29.94" personId="{E9ADB06E-B16E-4F95-8742-B047294EEDB1}" id="{CB4BBBA1-AA68-4A37-94FE-5896E5961590}">
    <text>This is our statistical population.</text>
  </threadedComment>
  <threadedComment ref="F2" dT="2024-05-02T03:33:35.63" personId="{E9ADB06E-B16E-4F95-8742-B047294EEDB1}" id="{01970CBB-A718-4887-9BCC-2C16E1DDB09E}">
    <text xml:space="preserve">We used the Survey Monkey's sample calculator to calculate this sample. Confidence level = 95% and Margin of error = 2%. </text>
  </threadedComment>
  <threadedComment ref="G2" dT="2024-05-02T03:34:03.02" personId="{E9ADB06E-B16E-4F95-8742-B047294EEDB1}" id="{378FEB90-B2AB-42E7-B764-7BB3F7BCF5C4}">
    <text xml:space="preserve">We used the Survey Monkey's sample calculator to calculate this sample. Confidence level = 95% and Margin of error = 5%. </text>
  </threadedComment>
  <threadedComment ref="A4" dT="2024-04-29T14:30:00.50" personId="{E9ADB06E-B16E-4F95-8742-B047294EEDB1}" id="{28CAFE9E-84C8-42DA-9931-CFB0281817F2}">
    <text>2eme section Martineau (urbain)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4-04-30T20:14:38.01" personId="{E9ADB06E-B16E-4F95-8742-B047294EEDB1}" id="{9D11798E-6803-4EFA-8EC4-4F2B465F8156}">
    <text>Total estimated number of households per commune. Considering an average of 5.5 people per household.</text>
  </threadedComment>
  <threadedComment ref="C1" dT="2024-05-02T03:05:17.42" personId="{E9ADB06E-B16E-4F95-8742-B047294EEDB1}" id="{E9205DC9-7CC1-4502-818D-C7C688BB5B4D}">
    <text xml:space="preserve">We used the Survey Monkey's sample calculator to calculate this sample. Confidence level = 95% and Margin of error = 2%. </text>
  </threadedComment>
  <threadedComment ref="D1" dT="2024-05-02T03:13:52.92" personId="{E9ADB06E-B16E-4F95-8742-B047294EEDB1}" id="{1B6A1E94-CD4C-4F69-A339-3F19F5D46ED0}">
    <text xml:space="preserve">We used the Survey Monkey's sample calculator to calculate this sample. Confidence level = 95% and Margin of error = 5%.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05-07T01:00:03.57" personId="{E9ADB06E-B16E-4F95-8742-B047294EEDB1}" id="{7CBC104F-D158-4C00-BF63-9C951F2FF03D}">
    <text xml:space="preserve">Confidence level=95% and Margin of error =2%. </text>
  </threadedComment>
  <threadedComment ref="D1" dT="2024-05-07T01:01:12.11" personId="{E9ADB06E-B16E-4F95-8742-B047294EEDB1}" id="{60F41B30-0653-49F8-A5F9-9F8B9D8AC7F6}">
    <text xml:space="preserve">The enumerators will work simultaneously during 3 weeks. </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4-05-07T01:07:44.52" personId="{E9ADB06E-B16E-4F95-8742-B047294EEDB1}" id="{0E323D43-775D-47FF-8C7B-FB09723672AA}">
    <text>KI=Key Informant</text>
  </threadedComment>
  <threadedComment ref="B1" dT="2024-05-16T17:49:17.98" personId="{E9ADB06E-B16E-4F95-8742-B047294EEDB1}" id="{0E9219C6-73D3-4C11-BAF2-16A80EB07E28}" parentId="{0E323D43-775D-47FF-8C7B-FB09723672AA}">
    <text xml:space="preserve">KI includes: ASEC, CASEC, Mayor, TEPAC, OREPA Director, CPE leaders, Professional Operators, NGO involving in WASH, CBO involving in WASH, etc. </text>
  </threadedComment>
  <threadedComment ref="B1" dT="2024-06-12T15:13:48.96" personId="{E9ADB06E-B16E-4F95-8742-B047294EEDB1}" id="{2D40A013-A1F2-42CA-AAC8-7FD133863BB9}" parentId="{0E323D43-775D-47FF-8C7B-FB09723672AA}">
    <text>For each commune, we made the assumption that we will interview every ASEC + a maximum of 10 other WASH actors.</text>
  </threadedComment>
  <threadedComment ref="D1" dT="2024-05-07T01:01:12.11" personId="{E9ADB06E-B16E-4F95-8742-B047294EEDB1}" id="{2EB45B6F-E17A-4AD9-8A8C-FB5F99F51A72}">
    <text xml:space="preserve">The enumerators will work simultaneously at the level of the 5 communes. </text>
  </threadedComment>
  <threadedComment ref="D1" dT="2024-05-16T17:52:34.22" personId="{E9ADB06E-B16E-4F95-8742-B047294EEDB1}" id="{6C5EC058-3279-4375-B5E9-0E727D1B090C}" parentId="{2EB45B6F-E17A-4AD9-8A8C-FB5F99F51A72}">
    <text xml:space="preserve">The 5 days is broken down into 3 days for KIIs and 2 days for WASH actors mapping. </text>
  </threadedComment>
  <threadedComment ref="E1" dT="2024-05-16T19:41:11.55" personId="{E9ADB06E-B16E-4F95-8742-B047294EEDB1}" id="{5C1BBA1D-11CA-448D-BE30-B802D89CED91}">
    <text xml:space="preserve">We will had 1 more enumerator when the WASH actors mapping starts. So, in each commune, two enumerators will conduct the WASH actors mapping for two days. This task could be performed remotely via phone call if the Mayors or other local authorities provide the list of the actors with their phone numbers. </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05-07T01:01:12.11" personId="{E9ADB06E-B16E-4F95-8742-B047294EEDB1}" id="{0EB61692-265C-4E37-8114-3FEA13097A02}">
    <text xml:space="preserve">The enumerators will work simultaneously at the level of the 5 communes. </text>
  </threadedComment>
  <threadedComment ref="B3" dT="2024-06-12T14:39:24.12" personId="{E9ADB06E-B16E-4F95-8742-B047294EEDB1}" id="{F83B0BAC-9A3A-4D3A-B36A-6C72A7522C8F}">
    <text>This an assumption. We don't have yet accurate data on the number of existing health facilities in Leogane.</text>
  </threadedComment>
  <threadedComment ref="B12" dT="2024-05-16T18:04:19.65" personId="{E9ADB06E-B16E-4F95-8742-B047294EEDB1}" id="{F4709A15-84C0-4199-8A23-B1DE03DC1EBE}">
    <text>Public and private schools</text>
  </threadedComment>
  <threadedComment ref="D12" dT="2024-05-07T01:01:12.11" personId="{E9ADB06E-B16E-4F95-8742-B047294EEDB1}" id="{B983D5EF-01EE-40A5-8306-3F82DC2A069D}">
    <text xml:space="preserve">The enumerators will work simultaneously at the level of the 5 communes. </text>
  </threadedComment>
</ThreadedComments>
</file>

<file path=xl/threadedComments/threadedComment6.xml><?xml version="1.0" encoding="utf-8"?>
<ThreadedComments xmlns="http://schemas.microsoft.com/office/spreadsheetml/2018/threadedcomments" xmlns:x="http://schemas.openxmlformats.org/spreadsheetml/2006/main">
  <threadedComment ref="D1" dT="2024-05-16T18:52:06.55" personId="{E9ADB06E-B16E-4F95-8742-B047294EEDB1}" id="{61D69DD2-F03D-4FBB-B7C0-BE95B12A79F5}">
    <text>Public wells</text>
  </threadedComment>
  <threadedComment ref="E1" dT="2024-06-12T14:35:40.28" personId="{E9ADB06E-B16E-4F95-8742-B047294EEDB1}" id="{35BF72D5-1C3B-4ED7-88D7-6FF656F7F15A}">
    <text>Out of scope</text>
  </threadedComment>
  <threadedComment ref="H1" dT="2024-05-16T18:50:19.38" personId="{E9ADB06E-B16E-4F95-8742-B047294EEDB1}" id="{7EE85D07-E0F2-41AF-823E-F1DB5A2EBB01}">
    <text>Here, we made the assumption that due to new constructions, the number of water infrastructures may have increased by 20% since the 2021 CAP.</text>
  </threadedComment>
  <threadedComment ref="J1" dT="2024-05-07T01:01:12.11" personId="{E9ADB06E-B16E-4F95-8742-B047294EEDB1}" id="{DB36E703-C92E-4A67-A3B9-2C921F1DFAFA}">
    <text xml:space="preserve">The enumerators will work simultaneously at the level of the 5 communes. </text>
  </threadedComment>
</ThreadedComments>
</file>

<file path=xl/threadedComments/threadedComment7.xml><?xml version="1.0" encoding="utf-8"?>
<ThreadedComments xmlns="http://schemas.microsoft.com/office/spreadsheetml/2018/threadedcomments" xmlns:x="http://schemas.openxmlformats.org/spreadsheetml/2006/main">
  <threadedComment ref="A12" dT="2024-05-16T20:00:10.35" personId="{E9ADB06E-B16E-4F95-8742-B047294EEDB1}" id="{60BB2F39-E4CA-432F-B1C2-DEC3F25E4150}">
    <text>Each data collection activity happens simultaneously at the level of the 5 target communes.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167F-4B03-4621-9156-C109DD0267B7}">
  <dimension ref="A1:M47"/>
  <sheetViews>
    <sheetView tabSelected="1" zoomScale="84" zoomScaleNormal="84" workbookViewId="0">
      <selection activeCell="E5" sqref="E5"/>
    </sheetView>
  </sheetViews>
  <sheetFormatPr defaultColWidth="11.42578125" defaultRowHeight="14.45"/>
  <cols>
    <col min="1" max="1" width="37.42578125" customWidth="1"/>
    <col min="2" max="2" width="16.7109375" customWidth="1"/>
    <col min="3" max="3" width="16.85546875" customWidth="1"/>
    <col min="4" max="4" width="18.5703125" customWidth="1"/>
    <col min="5" max="5" width="19.140625" customWidth="1"/>
    <col min="9" max="9" width="15.140625" customWidth="1"/>
    <col min="12" max="12" width="15.42578125" customWidth="1"/>
  </cols>
  <sheetData>
    <row r="1" spans="1:13" ht="29.1">
      <c r="F1" s="1" t="s">
        <v>0</v>
      </c>
      <c r="G1" s="3">
        <v>1.34E-2</v>
      </c>
      <c r="I1" s="1" t="s">
        <v>1</v>
      </c>
      <c r="J1">
        <f>2023-2015</f>
        <v>8</v>
      </c>
      <c r="L1" s="9" t="s">
        <v>2</v>
      </c>
      <c r="M1">
        <v>5.5</v>
      </c>
    </row>
    <row r="2" spans="1:13" ht="48.6" customHeight="1">
      <c r="A2" s="7" t="s">
        <v>3</v>
      </c>
      <c r="B2" s="8" t="s">
        <v>4</v>
      </c>
      <c r="C2" s="8" t="s">
        <v>5</v>
      </c>
      <c r="D2" s="8" t="s">
        <v>6</v>
      </c>
      <c r="E2" s="8" t="s">
        <v>7</v>
      </c>
      <c r="F2" s="8" t="s">
        <v>8</v>
      </c>
      <c r="G2" s="8" t="s">
        <v>9</v>
      </c>
    </row>
    <row r="3" spans="1:13" ht="15.95">
      <c r="A3" s="2" t="s">
        <v>10</v>
      </c>
      <c r="B3" s="2">
        <f>SUM(B5,B4)</f>
        <v>48687</v>
      </c>
      <c r="C3" s="5">
        <f>B3*(1+$G$1)^$J$1</f>
        <v>54157.700300147051</v>
      </c>
      <c r="D3" s="5">
        <f>C3/$M$1</f>
        <v>9846.8546000267361</v>
      </c>
      <c r="E3" s="2">
        <f>D3/'Summary sample HH'!$B$2</f>
        <v>0.99999999999999978</v>
      </c>
      <c r="F3" s="2">
        <f>E3*'Summary sample HH'!$C$2</f>
        <v>1930.9999999999995</v>
      </c>
      <c r="G3" s="2">
        <f>E3*'Summary sample HH'!$D$2</f>
        <v>369.99999999999994</v>
      </c>
    </row>
    <row r="4" spans="1:13">
      <c r="A4" s="1" t="s">
        <v>11</v>
      </c>
      <c r="B4" s="1">
        <v>2274</v>
      </c>
      <c r="C4" s="6">
        <f t="shared" ref="C4:C47" si="0">B4*(1+$G$1)^$J$1</f>
        <v>2529.5173348642224</v>
      </c>
      <c r="D4" s="6">
        <f t="shared" ref="D4:D47" si="1">C4/$M$1</f>
        <v>459.9122427025859</v>
      </c>
      <c r="E4" s="1">
        <f>D4/'Summary sample HH'!$B$2</f>
        <v>4.6706513032226255E-2</v>
      </c>
      <c r="F4" s="1">
        <f>E4*'Summary sample HH'!$C$2</f>
        <v>90.190276665228893</v>
      </c>
      <c r="G4" s="1">
        <f>E4*'Summary sample HH'!$D$2</f>
        <v>17.281409821923713</v>
      </c>
    </row>
    <row r="5" spans="1:13">
      <c r="A5" s="1" t="s">
        <v>12</v>
      </c>
      <c r="B5" s="1">
        <v>46413</v>
      </c>
      <c r="C5" s="6">
        <f t="shared" si="0"/>
        <v>51628.182965282831</v>
      </c>
      <c r="D5" s="6">
        <f t="shared" si="1"/>
        <v>9386.9423573241511</v>
      </c>
      <c r="E5" s="1">
        <f>D5/'Summary sample HH'!$B$2</f>
        <v>0.95329348696777361</v>
      </c>
      <c r="F5" s="1">
        <f>E5*'Summary sample HH'!$C$2</f>
        <v>1840.8097233347708</v>
      </c>
      <c r="G5" s="1">
        <f>E5*'Summary sample HH'!$D$2</f>
        <v>352.71859017807623</v>
      </c>
    </row>
    <row r="6" spans="1:13">
      <c r="A6" t="s">
        <v>13</v>
      </c>
      <c r="B6">
        <v>16604</v>
      </c>
      <c r="C6" s="4">
        <f t="shared" si="0"/>
        <v>18469.70353038063</v>
      </c>
      <c r="D6" s="4">
        <f t="shared" si="1"/>
        <v>3358.1279146146599</v>
      </c>
      <c r="E6">
        <f>D6/'Summary sample HH'!$B$2</f>
        <v>0.34103559471727563</v>
      </c>
      <c r="F6">
        <f>E6*'Summary sample HH'!$C$2</f>
        <v>658.53973339905929</v>
      </c>
      <c r="G6">
        <f>E6*'Summary sample HH'!$D$2</f>
        <v>126.18317004539198</v>
      </c>
    </row>
    <row r="7" spans="1:13">
      <c r="A7" t="s">
        <v>14</v>
      </c>
      <c r="B7">
        <v>11341</v>
      </c>
      <c r="C7" s="4">
        <f t="shared" si="0"/>
        <v>12615.328097931024</v>
      </c>
      <c r="D7" s="4">
        <f t="shared" si="1"/>
        <v>2293.6960178056406</v>
      </c>
      <c r="E7">
        <f>D7/'Summary sample HH'!$B$2</f>
        <v>0.23293692361410642</v>
      </c>
      <c r="F7">
        <f>E7*'Summary sample HH'!$C$2</f>
        <v>449.80119949883948</v>
      </c>
      <c r="G7">
        <f>E7*'Summary sample HH'!$D$2</f>
        <v>86.186661737219382</v>
      </c>
    </row>
    <row r="8" spans="1:13">
      <c r="A8" t="s">
        <v>15</v>
      </c>
      <c r="B8">
        <v>6588</v>
      </c>
      <c r="C8" s="4">
        <f t="shared" si="0"/>
        <v>7328.2586640657419</v>
      </c>
      <c r="D8" s="4">
        <f t="shared" si="1"/>
        <v>1332.4106661937712</v>
      </c>
      <c r="E8">
        <f>D8/'Summary sample HH'!$B$2</f>
        <v>0.13531332799309875</v>
      </c>
      <c r="F8">
        <f>E8*'Summary sample HH'!$C$2</f>
        <v>261.2900363546737</v>
      </c>
      <c r="G8">
        <f>E8*'Summary sample HH'!$D$2</f>
        <v>50.065931357446537</v>
      </c>
    </row>
    <row r="9" spans="1:13">
      <c r="A9" t="s">
        <v>16</v>
      </c>
      <c r="B9">
        <v>8204</v>
      </c>
      <c r="C9" s="4">
        <f t="shared" si="0"/>
        <v>9125.8400242858752</v>
      </c>
      <c r="D9" s="4">
        <f t="shared" si="1"/>
        <v>1659.24364077925</v>
      </c>
      <c r="E9">
        <f>D9/'Summary sample HH'!$B$2</f>
        <v>0.16850493971696753</v>
      </c>
      <c r="F9">
        <f>E9*'Summary sample HH'!$C$2</f>
        <v>325.38303859346433</v>
      </c>
      <c r="G9">
        <f>E9*'Summary sample HH'!$D$2</f>
        <v>62.346827695277987</v>
      </c>
    </row>
    <row r="10" spans="1:13">
      <c r="A10" t="s">
        <v>17</v>
      </c>
      <c r="B10">
        <v>3676</v>
      </c>
      <c r="C10" s="4">
        <f t="shared" si="0"/>
        <v>4089.0526486195613</v>
      </c>
      <c r="D10" s="4">
        <f t="shared" si="1"/>
        <v>743.46411793082927</v>
      </c>
      <c r="E10">
        <f>D10/'Summary sample HH'!$B$2</f>
        <v>7.55027009263253E-2</v>
      </c>
      <c r="F10">
        <f>E10*'Summary sample HH'!$C$2</f>
        <v>145.79571548873415</v>
      </c>
      <c r="G10">
        <f>E10*'Summary sample HH'!$D$2</f>
        <v>27.935999342740359</v>
      </c>
    </row>
    <row r="11" spans="1:13" ht="15.95">
      <c r="A11" s="2" t="s">
        <v>18</v>
      </c>
      <c r="B11" s="2">
        <f>SUM(B16,B12)</f>
        <v>199813</v>
      </c>
      <c r="C11" s="5">
        <f t="shared" si="0"/>
        <v>222264.92842182273</v>
      </c>
      <c r="D11" s="5">
        <f t="shared" si="1"/>
        <v>40411.805167604129</v>
      </c>
      <c r="E11" s="2">
        <f>D11/'Summary sample HH'!$B$3</f>
        <v>0.99999999999999978</v>
      </c>
      <c r="F11" s="2">
        <f>E11*'Summary sample HH'!$C$3</f>
        <v>2266.9999999999995</v>
      </c>
      <c r="G11" s="2">
        <f>'Stratified sample for HH'!E11*'Summary sample HH'!$D$3</f>
        <v>380.99999999999994</v>
      </c>
    </row>
    <row r="12" spans="1:13">
      <c r="A12" s="1" t="s">
        <v>11</v>
      </c>
      <c r="B12" s="1">
        <f>SUM(B13:B15)</f>
        <v>132927</v>
      </c>
      <c r="C12" s="6">
        <f t="shared" si="0"/>
        <v>147863.30288984015</v>
      </c>
      <c r="D12" s="6">
        <f t="shared" si="1"/>
        <v>26884.236889061845</v>
      </c>
      <c r="E12" s="1">
        <f>D12/'Summary sample HH'!$B$3</f>
        <v>0.66525701530931414</v>
      </c>
      <c r="F12" s="1">
        <f>E12*'Summary sample HH'!$C$3</f>
        <v>1508.1376537062151</v>
      </c>
      <c r="G12" s="1">
        <f>'Stratified sample for HH'!E12*'Summary sample HH'!$D$3</f>
        <v>253.46292283284868</v>
      </c>
    </row>
    <row r="13" spans="1:13">
      <c r="A13" t="s">
        <v>19</v>
      </c>
      <c r="B13">
        <v>93065</v>
      </c>
      <c r="C13" s="4">
        <f t="shared" si="0"/>
        <v>103522.22109460812</v>
      </c>
      <c r="D13" s="4">
        <f t="shared" si="1"/>
        <v>18822.222017201475</v>
      </c>
      <c r="E13">
        <f>D13/'Summary sample HH'!$B$3</f>
        <v>0.46576048605446085</v>
      </c>
      <c r="F13">
        <f>E13*'Summary sample HH'!$C$3</f>
        <v>1055.8790218854629</v>
      </c>
      <c r="G13">
        <f>'Stratified sample for HH'!E13*'Summary sample HH'!$D$3</f>
        <v>177.45474518674959</v>
      </c>
    </row>
    <row r="14" spans="1:13">
      <c r="A14" t="s">
        <v>20</v>
      </c>
      <c r="B14">
        <v>29585</v>
      </c>
      <c r="C14" s="4">
        <f t="shared" si="0"/>
        <v>32909.309741406345</v>
      </c>
      <c r="D14" s="4">
        <f t="shared" si="1"/>
        <v>5983.5108620738811</v>
      </c>
      <c r="E14">
        <f>D14/'Summary sample HH'!$B$3</f>
        <v>0.14806343931576024</v>
      </c>
      <c r="F14">
        <f>E14*'Summary sample HH'!$C$3</f>
        <v>335.65981692882849</v>
      </c>
      <c r="G14">
        <f>'Stratified sample for HH'!E14*'Summary sample HH'!$D$3</f>
        <v>56.412170379304655</v>
      </c>
    </row>
    <row r="15" spans="1:13">
      <c r="A15" t="s">
        <v>21</v>
      </c>
      <c r="B15">
        <v>10277</v>
      </c>
      <c r="C15" s="4">
        <f t="shared" si="0"/>
        <v>11431.772053825687</v>
      </c>
      <c r="D15" s="4">
        <f t="shared" si="1"/>
        <v>2078.5040097864885</v>
      </c>
      <c r="E15">
        <f>D15/'Summary sample HH'!$B$3</f>
        <v>5.1433089939093041E-2</v>
      </c>
      <c r="F15">
        <f>E15*'Summary sample HH'!$C$3</f>
        <v>116.59881489192392</v>
      </c>
      <c r="G15">
        <f>'Stratified sample for HH'!E15*'Summary sample HH'!$D$3</f>
        <v>19.596007266794448</v>
      </c>
    </row>
    <row r="16" spans="1:13">
      <c r="A16" s="1" t="s">
        <v>12</v>
      </c>
      <c r="B16" s="1">
        <f>SUM(B17:B29)</f>
        <v>66886</v>
      </c>
      <c r="C16" s="6">
        <f t="shared" si="0"/>
        <v>74401.625531982587</v>
      </c>
      <c r="D16" s="6">
        <f t="shared" si="1"/>
        <v>13527.568278542289</v>
      </c>
      <c r="E16" s="1">
        <f>D16/'Summary sample HH'!$B$3</f>
        <v>0.33474298469068581</v>
      </c>
      <c r="F16" s="1">
        <f>E16*'Summary sample HH'!$C$3</f>
        <v>758.86234629378475</v>
      </c>
      <c r="G16" s="1">
        <f>'Stratified sample for HH'!E16*'Summary sample HH'!$D$3</f>
        <v>127.5370771671513</v>
      </c>
    </row>
    <row r="17" spans="1:7">
      <c r="A17" t="s">
        <v>19</v>
      </c>
      <c r="B17">
        <v>14794</v>
      </c>
      <c r="C17" s="4">
        <f t="shared" si="0"/>
        <v>16456.323417757831</v>
      </c>
      <c r="D17" s="4">
        <f t="shared" si="1"/>
        <v>2992.0588032286964</v>
      </c>
      <c r="E17">
        <f>D17/'Summary sample HH'!$B$3</f>
        <v>7.4039226676942932E-2</v>
      </c>
      <c r="F17">
        <f>E17*'Summary sample HH'!$C$3</f>
        <v>167.84692687662962</v>
      </c>
      <c r="G17">
        <f>'Stratified sample for HH'!E17*'Summary sample HH'!$D$3</f>
        <v>28.208945363915259</v>
      </c>
    </row>
    <row r="18" spans="1:7">
      <c r="A18" t="s">
        <v>20</v>
      </c>
      <c r="B18">
        <v>14040</v>
      </c>
      <c r="C18" s="4">
        <f t="shared" si="0"/>
        <v>15617.600431615516</v>
      </c>
      <c r="D18" s="4">
        <f t="shared" si="1"/>
        <v>2839.5637148391847</v>
      </c>
      <c r="E18">
        <f>D18/'Summary sample HH'!$B$3</f>
        <v>7.0265698428030196E-2</v>
      </c>
      <c r="F18">
        <f>E18*'Summary sample HH'!$C$3</f>
        <v>159.29233833634444</v>
      </c>
      <c r="G18">
        <f>'Stratified sample for HH'!E18*'Summary sample HH'!$D$3</f>
        <v>26.771231101079504</v>
      </c>
    </row>
    <row r="19" spans="1:7">
      <c r="A19" t="s">
        <v>22</v>
      </c>
      <c r="B19">
        <v>14873</v>
      </c>
      <c r="C19" s="4">
        <f t="shared" si="0"/>
        <v>16544.200229303246</v>
      </c>
      <c r="D19" s="4">
        <f t="shared" si="1"/>
        <v>3008.0364053278627</v>
      </c>
      <c r="E19">
        <f>D19/'Summary sample HH'!$B$3</f>
        <v>7.443459634758498E-2</v>
      </c>
      <c r="F19">
        <f>E19*'Summary sample HH'!$C$3</f>
        <v>168.74322991997516</v>
      </c>
      <c r="G19">
        <f>'Stratified sample for HH'!E19*'Summary sample HH'!$D$3</f>
        <v>28.359581208429876</v>
      </c>
    </row>
    <row r="20" spans="1:7">
      <c r="A20" t="s">
        <v>21</v>
      </c>
      <c r="B20">
        <v>2520</v>
      </c>
      <c r="C20" s="4">
        <f t="shared" si="0"/>
        <v>2803.1590518284261</v>
      </c>
      <c r="D20" s="4">
        <f t="shared" si="1"/>
        <v>509.66528215062294</v>
      </c>
      <c r="E20">
        <f>D20/'Summary sample HH'!$B$3</f>
        <v>1.2611792025543883E-2</v>
      </c>
      <c r="F20">
        <f>E20*'Summary sample HH'!$C$3</f>
        <v>28.590932521907984</v>
      </c>
      <c r="G20">
        <f>'Stratified sample for HH'!E20*'Summary sample HH'!$D$3</f>
        <v>4.8050927617322197</v>
      </c>
    </row>
    <row r="21" spans="1:7">
      <c r="A21" t="s">
        <v>23</v>
      </c>
      <c r="B21">
        <v>4506</v>
      </c>
      <c r="C21" s="4">
        <f t="shared" si="0"/>
        <v>5012.3153521979712</v>
      </c>
      <c r="D21" s="4">
        <f t="shared" si="1"/>
        <v>911.33006403599472</v>
      </c>
      <c r="E21">
        <f>D21/'Summary sample HH'!$B$3</f>
        <v>2.2551085264722513E-2</v>
      </c>
      <c r="F21">
        <f>E21*'Summary sample HH'!$C$3</f>
        <v>51.12331029512594</v>
      </c>
      <c r="G21">
        <f>'Stratified sample for HH'!E21*'Summary sample HH'!$D$3</f>
        <v>8.5919634858592779</v>
      </c>
    </row>
    <row r="22" spans="1:7">
      <c r="A22" t="s">
        <v>24</v>
      </c>
      <c r="B22">
        <v>1474</v>
      </c>
      <c r="C22" s="4">
        <f t="shared" si="0"/>
        <v>1639.625572379008</v>
      </c>
      <c r="D22" s="4">
        <f t="shared" si="1"/>
        <v>298.11374043254688</v>
      </c>
      <c r="E22">
        <f>D22/'Summary sample HH'!$B$3</f>
        <v>7.3768973990681278E-3</v>
      </c>
      <c r="F22">
        <f>E22*'Summary sample HH'!$C$3</f>
        <v>16.723426403687444</v>
      </c>
      <c r="G22">
        <f>'Stratified sample for HH'!E22*'Summary sample HH'!$D$3</f>
        <v>2.8105979090449567</v>
      </c>
    </row>
    <row r="23" spans="1:7">
      <c r="A23" t="s">
        <v>25</v>
      </c>
      <c r="B23">
        <v>1640</v>
      </c>
      <c r="C23" s="4">
        <f t="shared" si="0"/>
        <v>1824.2781130946898</v>
      </c>
      <c r="D23" s="4">
        <f t="shared" si="1"/>
        <v>331.68692965357997</v>
      </c>
      <c r="E23">
        <f>D23/'Summary sample HH'!$B$3</f>
        <v>8.2076741753539552E-3</v>
      </c>
      <c r="F23">
        <f>E23*'Summary sample HH'!$C$3</f>
        <v>18.606797355527416</v>
      </c>
      <c r="G23">
        <f>'Stratified sample for HH'!E23*'Summary sample HH'!$D$3</f>
        <v>3.1271238608098568</v>
      </c>
    </row>
    <row r="24" spans="1:7">
      <c r="A24" t="s">
        <v>26</v>
      </c>
      <c r="B24">
        <v>1616</v>
      </c>
      <c r="C24" s="4">
        <f t="shared" si="0"/>
        <v>1797.5813602201335</v>
      </c>
      <c r="D24" s="4">
        <f t="shared" si="1"/>
        <v>326.83297458547884</v>
      </c>
      <c r="E24">
        <f>D24/'Summary sample HH'!$B$3</f>
        <v>8.0875618703487757E-3</v>
      </c>
      <c r="F24">
        <f>E24*'Summary sample HH'!$C$3</f>
        <v>18.334502760080674</v>
      </c>
      <c r="G24">
        <f>'Stratified sample for HH'!E24*'Summary sample HH'!$D$3</f>
        <v>3.0813610726028835</v>
      </c>
    </row>
    <row r="25" spans="1:7">
      <c r="A25" t="s">
        <v>27</v>
      </c>
      <c r="B25">
        <v>1257</v>
      </c>
      <c r="C25" s="4">
        <f t="shared" si="0"/>
        <v>1398.2424318048934</v>
      </c>
      <c r="D25" s="4">
        <f t="shared" si="1"/>
        <v>254.22589669179879</v>
      </c>
      <c r="E25">
        <f>D25/'Summary sample HH'!$B$3</f>
        <v>6.2908819746462933E-3</v>
      </c>
      <c r="F25">
        <f>E25*'Summary sample HH'!$C$3</f>
        <v>14.261429436523146</v>
      </c>
      <c r="G25">
        <f>'Stratified sample for HH'!E25*'Summary sample HH'!$D$3</f>
        <v>2.3968260323402379</v>
      </c>
    </row>
    <row r="26" spans="1:7">
      <c r="A26" t="s">
        <v>28</v>
      </c>
      <c r="B26">
        <v>3161</v>
      </c>
      <c r="C26" s="4">
        <f t="shared" si="0"/>
        <v>3516.1848265197041</v>
      </c>
      <c r="D26" s="4">
        <f t="shared" si="1"/>
        <v>639.30633209449161</v>
      </c>
      <c r="E26">
        <f>D26/'Summary sample HH'!$B$3</f>
        <v>1.5819791505057225E-2</v>
      </c>
      <c r="F26">
        <f>E26*'Summary sample HH'!$C$3</f>
        <v>35.863467341964729</v>
      </c>
      <c r="G26">
        <f>'Stratified sample for HH'!E26*'Summary sample HH'!$D$3</f>
        <v>6.0273405634268027</v>
      </c>
    </row>
    <row r="27" spans="1:7">
      <c r="A27" t="s">
        <v>29</v>
      </c>
      <c r="B27">
        <v>2587</v>
      </c>
      <c r="C27" s="4">
        <f t="shared" si="0"/>
        <v>2877.6874869365629</v>
      </c>
      <c r="D27" s="4">
        <f t="shared" si="1"/>
        <v>523.2159067157387</v>
      </c>
      <c r="E27">
        <f>D27/'Summary sample HH'!$B$3</f>
        <v>1.2947105543683344E-2</v>
      </c>
      <c r="F27">
        <f>E27*'Summary sample HH'!$C$3</f>
        <v>29.351088267530141</v>
      </c>
      <c r="G27">
        <f>'Stratified sample for HH'!E27*'Summary sample HH'!$D$3</f>
        <v>4.9328472121433542</v>
      </c>
    </row>
    <row r="28" spans="1:7">
      <c r="A28" t="s">
        <v>30</v>
      </c>
      <c r="B28">
        <v>2146</v>
      </c>
      <c r="C28" s="4">
        <f t="shared" si="0"/>
        <v>2387.1346528665881</v>
      </c>
      <c r="D28" s="4">
        <f t="shared" si="1"/>
        <v>434.02448233937963</v>
      </c>
      <c r="E28">
        <f>D28/'Summary sample HH'!$B$3</f>
        <v>1.0740041939213163E-2</v>
      </c>
      <c r="F28">
        <f>E28*'Summary sample HH'!$C$3</f>
        <v>24.347675076196239</v>
      </c>
      <c r="G28">
        <f>'Stratified sample for HH'!E28*'Summary sample HH'!$D$3</f>
        <v>4.0919559788402147</v>
      </c>
    </row>
    <row r="29" spans="1:7">
      <c r="A29" t="s">
        <v>31</v>
      </c>
      <c r="B29">
        <v>2272</v>
      </c>
      <c r="C29" s="4">
        <f t="shared" si="0"/>
        <v>2527.2926054580093</v>
      </c>
      <c r="D29" s="4">
        <f t="shared" si="1"/>
        <v>459.5077464469108</v>
      </c>
      <c r="E29">
        <f>D29/'Summary sample HH'!$B$3</f>
        <v>1.1370631540490358E-2</v>
      </c>
      <c r="F29">
        <f>E29*'Summary sample HH'!$C$3</f>
        <v>25.777221702291641</v>
      </c>
      <c r="G29">
        <f>'Stratified sample for HH'!E29*'Summary sample HH'!$D$3</f>
        <v>4.3322106169268269</v>
      </c>
    </row>
    <row r="30" spans="1:7" ht="15.95">
      <c r="A30" s="2" t="s">
        <v>32</v>
      </c>
      <c r="B30" s="2">
        <f>SUM(B33,B31)</f>
        <v>43263</v>
      </c>
      <c r="C30" s="5">
        <f t="shared" si="0"/>
        <v>48124.234150497301</v>
      </c>
      <c r="D30" s="5">
        <f t="shared" si="1"/>
        <v>8749.8607546358726</v>
      </c>
      <c r="E30" s="2">
        <f>D30/'Summary sample HH'!$B$4</f>
        <v>1</v>
      </c>
      <c r="F30" s="2">
        <f>E30*'Summary sample HH'!$C$4</f>
        <v>1885</v>
      </c>
      <c r="G30" s="2">
        <f>E30*'Summary sample HH'!$D$4</f>
        <v>369</v>
      </c>
    </row>
    <row r="31" spans="1:7">
      <c r="A31" s="1" t="s">
        <v>11</v>
      </c>
      <c r="B31" s="1">
        <v>16001</v>
      </c>
      <c r="C31" s="6">
        <f t="shared" si="0"/>
        <v>17798.9476144074</v>
      </c>
      <c r="D31" s="6">
        <f t="shared" si="1"/>
        <v>3236.172293528618</v>
      </c>
      <c r="E31" s="1">
        <f>D31/'Summary sample HH'!$B$4</f>
        <v>0.36985414788618448</v>
      </c>
      <c r="F31" s="1">
        <f>E31*'Summary sample HH'!$C$4</f>
        <v>697.1750687654577</v>
      </c>
      <c r="G31" s="1">
        <f>E31*'Summary sample HH'!$D$4</f>
        <v>136.47618057000207</v>
      </c>
    </row>
    <row r="32" spans="1:7">
      <c r="A32" t="s">
        <v>33</v>
      </c>
      <c r="B32">
        <v>16001</v>
      </c>
      <c r="C32" s="4">
        <f t="shared" si="0"/>
        <v>17798.9476144074</v>
      </c>
      <c r="D32" s="4">
        <f t="shared" si="1"/>
        <v>3236.172293528618</v>
      </c>
      <c r="E32">
        <f>D32/'Summary sample HH'!$B$4</f>
        <v>0.36985414788618448</v>
      </c>
      <c r="F32">
        <f>E32*'Summary sample HH'!$C$4</f>
        <v>697.1750687654577</v>
      </c>
      <c r="G32">
        <f>E32*'Summary sample HH'!$D$4</f>
        <v>136.47618057000207</v>
      </c>
    </row>
    <row r="33" spans="1:7">
      <c r="A33" s="1" t="s">
        <v>12</v>
      </c>
      <c r="B33" s="1">
        <f>SUM(B34:B35)</f>
        <v>27262</v>
      </c>
      <c r="C33" s="6">
        <f t="shared" si="0"/>
        <v>30325.286536089901</v>
      </c>
      <c r="D33" s="6">
        <f t="shared" si="1"/>
        <v>5513.6884611072546</v>
      </c>
      <c r="E33" s="1">
        <f>D33/'Summary sample HH'!$B$4</f>
        <v>0.63014585211381546</v>
      </c>
      <c r="F33" s="1">
        <f>E33*'Summary sample HH'!$C$4</f>
        <v>1187.8249312345422</v>
      </c>
      <c r="G33" s="1">
        <f>E33*'Summary sample HH'!$D$4</f>
        <v>232.5238194299979</v>
      </c>
    </row>
    <row r="34" spans="1:7">
      <c r="A34" t="s">
        <v>34</v>
      </c>
      <c r="B34">
        <v>12893</v>
      </c>
      <c r="C34" s="4">
        <f t="shared" si="0"/>
        <v>14341.718117152339</v>
      </c>
      <c r="D34" s="4">
        <f t="shared" si="1"/>
        <v>2607.585112209516</v>
      </c>
      <c r="E34">
        <f>D34/'Summary sample HH'!$B$4</f>
        <v>0.29801446963918354</v>
      </c>
      <c r="F34">
        <f>E34*'Summary sample HH'!$C$4</f>
        <v>561.757275269861</v>
      </c>
      <c r="G34">
        <f>E34*'Summary sample HH'!$D$4</f>
        <v>109.96733929685873</v>
      </c>
    </row>
    <row r="35" spans="1:7">
      <c r="A35" t="s">
        <v>35</v>
      </c>
      <c r="B35">
        <v>14369</v>
      </c>
      <c r="C35" s="4">
        <f t="shared" si="0"/>
        <v>15983.568418937561</v>
      </c>
      <c r="D35" s="4">
        <f t="shared" si="1"/>
        <v>2906.1033488977382</v>
      </c>
      <c r="E35">
        <f>D35/'Summary sample HH'!$B$4</f>
        <v>0.33213138247463186</v>
      </c>
      <c r="F35">
        <f>E35*'Summary sample HH'!$C$4</f>
        <v>626.06765596468108</v>
      </c>
      <c r="G35">
        <f>E35*'Summary sample HH'!$D$4</f>
        <v>122.55648013313916</v>
      </c>
    </row>
    <row r="36" spans="1:7" ht="15.95">
      <c r="A36" s="2" t="s">
        <v>36</v>
      </c>
      <c r="B36" s="2">
        <f>SUM(B39,B37)</f>
        <v>14642</v>
      </c>
      <c r="C36" s="5">
        <f t="shared" si="0"/>
        <v>16287.24398288564</v>
      </c>
      <c r="D36" s="5">
        <f t="shared" si="1"/>
        <v>2961.3170877973894</v>
      </c>
      <c r="E36" s="2">
        <f>D36/'Summary sample HH'!$B$5</f>
        <v>1.0000000000000002</v>
      </c>
      <c r="F36" s="2">
        <f>E36*'Summary sample HH'!$C$5</f>
        <v>1327.0000000000002</v>
      </c>
      <c r="G36" s="2">
        <f>E36*'Summary sample HH'!$D$5</f>
        <v>341.00000000000006</v>
      </c>
    </row>
    <row r="37" spans="1:7">
      <c r="A37" s="1" t="s">
        <v>11</v>
      </c>
      <c r="B37" s="1">
        <f>B38</f>
        <v>8972</v>
      </c>
      <c r="C37" s="6">
        <f t="shared" si="0"/>
        <v>9980.1361162716821</v>
      </c>
      <c r="D37" s="6">
        <f t="shared" si="1"/>
        <v>1814.5702029584877</v>
      </c>
      <c r="E37" s="1">
        <f>D37/'Summary sample HH'!$B$5</f>
        <v>0.61275781996994949</v>
      </c>
      <c r="F37" s="1">
        <f>E37*'Summary sample HH'!$C$5</f>
        <v>813.129627100123</v>
      </c>
      <c r="G37" s="1">
        <f>E37*'Summary sample HH'!$D$5</f>
        <v>208.95041660975278</v>
      </c>
    </row>
    <row r="38" spans="1:7">
      <c r="A38" t="s">
        <v>37</v>
      </c>
      <c r="B38">
        <v>8972</v>
      </c>
      <c r="C38" s="4">
        <f t="shared" si="0"/>
        <v>9980.1361162716821</v>
      </c>
      <c r="D38" s="4">
        <f t="shared" si="1"/>
        <v>1814.5702029584877</v>
      </c>
      <c r="E38">
        <f>D38/'Summary sample HH'!$B$5</f>
        <v>0.61275781996994949</v>
      </c>
      <c r="F38">
        <f>E38*'Summary sample HH'!$C$5</f>
        <v>813.129627100123</v>
      </c>
      <c r="G38">
        <f>E38*'Summary sample HH'!$D$5</f>
        <v>208.95041660975278</v>
      </c>
    </row>
    <row r="39" spans="1:7">
      <c r="A39" s="1" t="s">
        <v>12</v>
      </c>
      <c r="B39" s="1">
        <f>B40</f>
        <v>5670</v>
      </c>
      <c r="C39" s="6">
        <f t="shared" si="0"/>
        <v>6307.1078666139583</v>
      </c>
      <c r="D39" s="6">
        <f t="shared" si="1"/>
        <v>1146.7468848389015</v>
      </c>
      <c r="E39" s="1">
        <f>D39/'Summary sample HH'!$B$5</f>
        <v>0.38724218003005051</v>
      </c>
      <c r="F39" s="1">
        <f>E39*'Summary sample HH'!$C$5</f>
        <v>513.870372899877</v>
      </c>
      <c r="G39" s="1">
        <f>E39*'Summary sample HH'!$D$5</f>
        <v>132.04958339024722</v>
      </c>
    </row>
    <row r="40" spans="1:7">
      <c r="A40" t="s">
        <v>38</v>
      </c>
      <c r="B40">
        <v>5670</v>
      </c>
      <c r="C40" s="4">
        <f t="shared" si="0"/>
        <v>6307.1078666139583</v>
      </c>
      <c r="D40" s="4">
        <f t="shared" si="1"/>
        <v>1146.7468848389015</v>
      </c>
      <c r="E40">
        <f>D40/'Summary sample HH'!$B$5</f>
        <v>0.38724218003005051</v>
      </c>
      <c r="F40">
        <f>E40*'Summary sample HH'!$C$5</f>
        <v>513.870372899877</v>
      </c>
      <c r="G40">
        <f>E40*'Summary sample HH'!$D$5</f>
        <v>132.04958339024722</v>
      </c>
    </row>
    <row r="41" spans="1:7" ht="15.95">
      <c r="A41" s="2" t="s">
        <v>39</v>
      </c>
      <c r="B41" s="2">
        <f>SUM(B44,B42)</f>
        <v>31252</v>
      </c>
      <c r="C41" s="5">
        <f t="shared" si="0"/>
        <v>34763.62170148491</v>
      </c>
      <c r="D41" s="5">
        <f t="shared" si="1"/>
        <v>6320.6584911790742</v>
      </c>
      <c r="E41" s="2">
        <f>D41/'Summary sample HH'!$B$6</f>
        <v>1</v>
      </c>
      <c r="F41" s="2">
        <f>E41*'Summary sample HH'!$C$6</f>
        <v>1741</v>
      </c>
      <c r="G41" s="2">
        <f>E41*'Summary sample HH'!$D$6</f>
        <v>363</v>
      </c>
    </row>
    <row r="42" spans="1:7">
      <c r="A42" s="1" t="s">
        <v>11</v>
      </c>
      <c r="B42" s="1">
        <f>B43</f>
        <v>1586</v>
      </c>
      <c r="C42" s="6">
        <f t="shared" si="0"/>
        <v>1764.2104191269379</v>
      </c>
      <c r="D42" s="6">
        <f t="shared" si="1"/>
        <v>320.76553075035235</v>
      </c>
      <c r="E42" s="1">
        <f>D42/'Summary sample HH'!$B$6</f>
        <v>5.0748752079866892E-2</v>
      </c>
      <c r="F42" s="1">
        <f>E42*'Summary sample HH'!$C$6</f>
        <v>88.35357737104826</v>
      </c>
      <c r="G42" s="1">
        <f>E42*'Summary sample HH'!$D$6</f>
        <v>18.421797004991681</v>
      </c>
    </row>
    <row r="43" spans="1:7">
      <c r="A43" t="s">
        <v>40</v>
      </c>
      <c r="B43">
        <v>1586</v>
      </c>
      <c r="C43" s="4">
        <f t="shared" si="0"/>
        <v>1764.2104191269379</v>
      </c>
      <c r="D43" s="4">
        <f t="shared" si="1"/>
        <v>320.76553075035235</v>
      </c>
      <c r="E43">
        <f>D43/'Summary sample HH'!$B$6</f>
        <v>5.0748752079866892E-2</v>
      </c>
      <c r="F43">
        <f>E43*'Summary sample HH'!$C$6</f>
        <v>88.35357737104826</v>
      </c>
      <c r="G43">
        <f>E43*'Summary sample HH'!$D$6</f>
        <v>18.421797004991681</v>
      </c>
    </row>
    <row r="44" spans="1:7">
      <c r="A44" s="1" t="s">
        <v>12</v>
      </c>
      <c r="B44" s="1">
        <f>SUM(B45:B47)</f>
        <v>29666</v>
      </c>
      <c r="C44" s="6">
        <f t="shared" si="0"/>
        <v>32999.411282357971</v>
      </c>
      <c r="D44" s="6">
        <f t="shared" si="1"/>
        <v>5999.8929604287223</v>
      </c>
      <c r="E44" s="1">
        <f>D44/'Summary sample HH'!$B$6</f>
        <v>0.94925124792013316</v>
      </c>
      <c r="F44" s="1">
        <f>E44*'Summary sample HH'!$C$6</f>
        <v>1652.6464226289518</v>
      </c>
      <c r="G44" s="1">
        <f>E44*'Summary sample HH'!$D$6</f>
        <v>344.57820299500833</v>
      </c>
    </row>
    <row r="45" spans="1:7">
      <c r="A45" t="s">
        <v>41</v>
      </c>
      <c r="B45">
        <v>11897</v>
      </c>
      <c r="C45" s="4">
        <f t="shared" si="0"/>
        <v>13233.802872858247</v>
      </c>
      <c r="D45" s="4">
        <f t="shared" si="1"/>
        <v>2406.1459768833174</v>
      </c>
      <c r="E45">
        <f>D45/'Summary sample HH'!$B$6</f>
        <v>0.38067963650326375</v>
      </c>
      <c r="F45">
        <f>E45*'Summary sample HH'!$C$6</f>
        <v>662.7632471521822</v>
      </c>
      <c r="G45">
        <f>E45*'Summary sample HH'!$D$6</f>
        <v>138.18670805068473</v>
      </c>
    </row>
    <row r="46" spans="1:7">
      <c r="A46" t="s">
        <v>42</v>
      </c>
      <c r="B46">
        <v>7198</v>
      </c>
      <c r="C46" s="4">
        <f t="shared" si="0"/>
        <v>8006.801132960718</v>
      </c>
      <c r="D46" s="4">
        <f t="shared" si="1"/>
        <v>1455.7820241746761</v>
      </c>
      <c r="E46">
        <f>D46/'Summary sample HH'!$B$6</f>
        <v>0.23032125943939588</v>
      </c>
      <c r="F46">
        <f>E46*'Summary sample HH'!$C$6</f>
        <v>400.9893126839882</v>
      </c>
      <c r="G46">
        <f>E46*'Summary sample HH'!$D$6</f>
        <v>83.606617176500706</v>
      </c>
    </row>
    <row r="47" spans="1:7">
      <c r="A47" t="s">
        <v>43</v>
      </c>
      <c r="B47">
        <v>10571</v>
      </c>
      <c r="C47" s="4">
        <f t="shared" si="0"/>
        <v>11758.807276539004</v>
      </c>
      <c r="D47" s="4">
        <f t="shared" si="1"/>
        <v>2137.9649593707281</v>
      </c>
      <c r="E47">
        <f>D47/'Summary sample HH'!$B$6</f>
        <v>0.33825035197747344</v>
      </c>
      <c r="F47">
        <f>E47*'Summary sample HH'!$C$6</f>
        <v>588.89386279278131</v>
      </c>
      <c r="G47">
        <f>E47*'Summary sample HH'!$D$6</f>
        <v>122.78487776782286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3A641-DB9E-4298-9D0B-4EBEEE89AC1C}">
  <dimension ref="A1:D7"/>
  <sheetViews>
    <sheetView workbookViewId="0">
      <selection activeCell="G6" sqref="G6"/>
    </sheetView>
  </sheetViews>
  <sheetFormatPr defaultColWidth="11.42578125" defaultRowHeight="14.45"/>
  <cols>
    <col min="3" max="3" width="11.85546875" customWidth="1"/>
  </cols>
  <sheetData>
    <row r="1" spans="1:4" ht="29.1">
      <c r="A1" s="13" t="s">
        <v>3</v>
      </c>
      <c r="B1" s="13" t="s">
        <v>44</v>
      </c>
      <c r="C1" s="12" t="s">
        <v>45</v>
      </c>
      <c r="D1" s="12" t="s">
        <v>46</v>
      </c>
    </row>
    <row r="2" spans="1:4">
      <c r="A2" s="10" t="s">
        <v>10</v>
      </c>
      <c r="B2" s="11">
        <f>SUM('Stratified sample for HH'!D4,'Stratified sample for HH'!D5)</f>
        <v>9846.8546000267379</v>
      </c>
      <c r="C2" s="10">
        <v>1931</v>
      </c>
      <c r="D2" s="10">
        <v>370</v>
      </c>
    </row>
    <row r="3" spans="1:4">
      <c r="A3" s="10" t="s">
        <v>18</v>
      </c>
      <c r="B3" s="11">
        <f>SUM('Stratified sample for HH'!D12,'Stratified sample for HH'!D16)</f>
        <v>40411.805167604136</v>
      </c>
      <c r="C3" s="10">
        <v>2267</v>
      </c>
      <c r="D3" s="10">
        <v>381</v>
      </c>
    </row>
    <row r="4" spans="1:4">
      <c r="A4" s="10" t="s">
        <v>32</v>
      </c>
      <c r="B4" s="11">
        <f>SUM('Stratified sample for HH'!D31,'Stratified sample for HH'!D33)</f>
        <v>8749.8607546358726</v>
      </c>
      <c r="C4" s="10">
        <v>1885</v>
      </c>
      <c r="D4" s="10">
        <v>369</v>
      </c>
    </row>
    <row r="5" spans="1:4">
      <c r="A5" s="10" t="s">
        <v>36</v>
      </c>
      <c r="B5" s="11">
        <f>SUM('Stratified sample for HH'!D37,'Stratified sample for HH'!D39)</f>
        <v>2961.3170877973889</v>
      </c>
      <c r="C5" s="10">
        <v>1327</v>
      </c>
      <c r="D5" s="10">
        <v>341</v>
      </c>
    </row>
    <row r="6" spans="1:4">
      <c r="A6" s="10" t="s">
        <v>39</v>
      </c>
      <c r="B6" s="11">
        <f>SUM('Stratified sample for HH'!D42,'Stratified sample for HH'!D44)</f>
        <v>6320.6584911790742</v>
      </c>
      <c r="C6" s="10">
        <v>1741</v>
      </c>
      <c r="D6" s="10">
        <v>363</v>
      </c>
    </row>
    <row r="7" spans="1:4">
      <c r="A7" s="14" t="s">
        <v>47</v>
      </c>
      <c r="B7" s="11">
        <f>SUM(B2:B6)</f>
        <v>68290.496101243203</v>
      </c>
      <c r="C7" s="10">
        <f>SUM(C2:C6)</f>
        <v>9151</v>
      </c>
      <c r="D7" s="10">
        <f>SUM(D2:D6)</f>
        <v>1824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641C9-562A-41D8-98A7-6894A0FBC2ED}">
  <dimension ref="A1:E7"/>
  <sheetViews>
    <sheetView workbookViewId="0">
      <selection activeCell="E7" sqref="E7"/>
    </sheetView>
  </sheetViews>
  <sheetFormatPr defaultColWidth="11.42578125" defaultRowHeight="14.45"/>
  <cols>
    <col min="3" max="3" width="20.7109375" customWidth="1"/>
    <col min="5" max="5" width="15.7109375" customWidth="1"/>
  </cols>
  <sheetData>
    <row r="1" spans="1:5">
      <c r="B1" s="15" t="s">
        <v>48</v>
      </c>
      <c r="C1" s="15" t="s">
        <v>49</v>
      </c>
      <c r="D1" s="15" t="s">
        <v>50</v>
      </c>
      <c r="E1" s="15" t="s">
        <v>51</v>
      </c>
    </row>
    <row r="2" spans="1:5">
      <c r="A2" s="10" t="s">
        <v>10</v>
      </c>
      <c r="B2" s="10">
        <v>1931</v>
      </c>
      <c r="C2" s="10">
        <v>15</v>
      </c>
      <c r="D2" s="10">
        <v>15</v>
      </c>
      <c r="E2" s="11">
        <f>B2/(C2*D2)</f>
        <v>8.5822222222222226</v>
      </c>
    </row>
    <row r="3" spans="1:5">
      <c r="A3" s="10" t="s">
        <v>18</v>
      </c>
      <c r="B3" s="10">
        <v>2267</v>
      </c>
      <c r="C3" s="10">
        <v>15</v>
      </c>
      <c r="D3" s="10">
        <v>15</v>
      </c>
      <c r="E3" s="11">
        <f>B3/(C3*D3)</f>
        <v>10.075555555555555</v>
      </c>
    </row>
    <row r="4" spans="1:5">
      <c r="A4" s="10" t="s">
        <v>32</v>
      </c>
      <c r="B4" s="10">
        <v>1885</v>
      </c>
      <c r="C4" s="10">
        <v>15</v>
      </c>
      <c r="D4" s="10">
        <v>15</v>
      </c>
      <c r="E4" s="11">
        <f>B4/(C4*D4)</f>
        <v>8.3777777777777782</v>
      </c>
    </row>
    <row r="5" spans="1:5">
      <c r="A5" s="10" t="s">
        <v>36</v>
      </c>
      <c r="B5" s="10">
        <v>1327</v>
      </c>
      <c r="C5" s="10">
        <v>15</v>
      </c>
      <c r="D5" s="10">
        <v>15</v>
      </c>
      <c r="E5" s="11">
        <f>B5/(C5*D5)</f>
        <v>5.8977777777777778</v>
      </c>
    </row>
    <row r="6" spans="1:5">
      <c r="A6" s="10" t="s">
        <v>39</v>
      </c>
      <c r="B6" s="10">
        <v>1741</v>
      </c>
      <c r="C6" s="10">
        <v>15</v>
      </c>
      <c r="D6" s="10">
        <v>15</v>
      </c>
      <c r="E6" s="11">
        <f>B6/(C6*D6)</f>
        <v>7.7377777777777776</v>
      </c>
    </row>
    <row r="7" spans="1:5">
      <c r="A7" s="14" t="s">
        <v>47</v>
      </c>
      <c r="B7" s="35"/>
      <c r="C7" s="35"/>
      <c r="D7" s="35"/>
      <c r="E7" s="16">
        <f>SUM(E2:E6)</f>
        <v>40.671111111111109</v>
      </c>
    </row>
  </sheetData>
  <mergeCells count="1">
    <mergeCell ref="B7:D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ED43-46A3-4811-8125-A69F8A965736}">
  <dimension ref="A1:E7"/>
  <sheetViews>
    <sheetView workbookViewId="0">
      <selection activeCell="E7" sqref="E7"/>
    </sheetView>
  </sheetViews>
  <sheetFormatPr defaultColWidth="11.42578125" defaultRowHeight="14.45"/>
  <cols>
    <col min="3" max="3" width="20.5703125" customWidth="1"/>
    <col min="5" max="5" width="15.85546875" customWidth="1"/>
  </cols>
  <sheetData>
    <row r="1" spans="1:5">
      <c r="B1" s="15" t="s">
        <v>52</v>
      </c>
      <c r="C1" s="15" t="s">
        <v>53</v>
      </c>
      <c r="D1" s="15" t="s">
        <v>50</v>
      </c>
      <c r="E1" s="15" t="s">
        <v>51</v>
      </c>
    </row>
    <row r="2" spans="1:5">
      <c r="A2" s="10" t="s">
        <v>10</v>
      </c>
      <c r="B2" s="10">
        <f>5+10</f>
        <v>15</v>
      </c>
      <c r="C2" s="10">
        <v>4</v>
      </c>
      <c r="D2" s="10">
        <v>3</v>
      </c>
      <c r="E2" s="11">
        <f>B2/(C2*D2)</f>
        <v>1.25</v>
      </c>
    </row>
    <row r="3" spans="1:5">
      <c r="A3" s="10" t="s">
        <v>18</v>
      </c>
      <c r="B3" s="10">
        <f>13+10</f>
        <v>23</v>
      </c>
      <c r="C3" s="10">
        <v>4</v>
      </c>
      <c r="D3" s="10">
        <v>5</v>
      </c>
      <c r="E3" s="11">
        <f>B3/(C3*D3)</f>
        <v>1.1499999999999999</v>
      </c>
    </row>
    <row r="4" spans="1:5">
      <c r="A4" s="10" t="s">
        <v>32</v>
      </c>
      <c r="B4" s="10">
        <f>2+10</f>
        <v>12</v>
      </c>
      <c r="C4" s="10">
        <v>4</v>
      </c>
      <c r="D4" s="10">
        <v>3</v>
      </c>
      <c r="E4" s="11">
        <f>B4/(C4*D4)</f>
        <v>1</v>
      </c>
    </row>
    <row r="5" spans="1:5">
      <c r="A5" s="10" t="s">
        <v>36</v>
      </c>
      <c r="B5" s="10">
        <f>1+10</f>
        <v>11</v>
      </c>
      <c r="C5" s="10">
        <v>4</v>
      </c>
      <c r="D5" s="10">
        <v>3</v>
      </c>
      <c r="E5" s="11">
        <f>B5/(C5*D5)</f>
        <v>0.91666666666666663</v>
      </c>
    </row>
    <row r="6" spans="1:5">
      <c r="A6" s="10" t="s">
        <v>39</v>
      </c>
      <c r="B6" s="10">
        <f>3+10</f>
        <v>13</v>
      </c>
      <c r="C6" s="10">
        <v>4</v>
      </c>
      <c r="D6" s="10">
        <v>3</v>
      </c>
      <c r="E6" s="11">
        <f>B6/(C6*D6)</f>
        <v>1.0833333333333333</v>
      </c>
    </row>
    <row r="7" spans="1:5">
      <c r="A7" s="14" t="s">
        <v>47</v>
      </c>
      <c r="B7" s="35"/>
      <c r="C7" s="35"/>
      <c r="D7" s="35"/>
      <c r="E7" s="16">
        <f>SUM(E2:E6)</f>
        <v>5.3999999999999995</v>
      </c>
    </row>
  </sheetData>
  <mergeCells count="1">
    <mergeCell ref="B7:D7"/>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118B6-1AFE-4C9C-815B-970F295A8B79}">
  <dimension ref="A1:E20"/>
  <sheetViews>
    <sheetView workbookViewId="0">
      <selection activeCell="E16" sqref="E16"/>
    </sheetView>
  </sheetViews>
  <sheetFormatPr defaultColWidth="11.42578125" defaultRowHeight="14.45"/>
  <cols>
    <col min="2" max="2" width="22.5703125" customWidth="1"/>
    <col min="3" max="3" width="20.7109375" customWidth="1"/>
    <col min="5" max="5" width="16" customWidth="1"/>
  </cols>
  <sheetData>
    <row r="1" spans="1:5">
      <c r="B1" s="15" t="s">
        <v>54</v>
      </c>
      <c r="C1" s="15" t="s">
        <v>55</v>
      </c>
      <c r="D1" s="15" t="s">
        <v>50</v>
      </c>
      <c r="E1" s="15" t="s">
        <v>51</v>
      </c>
    </row>
    <row r="2" spans="1:5">
      <c r="A2" s="10" t="s">
        <v>10</v>
      </c>
      <c r="B2" s="10">
        <v>10</v>
      </c>
      <c r="C2" s="10">
        <v>3</v>
      </c>
      <c r="D2" s="10">
        <v>2</v>
      </c>
      <c r="E2" s="11">
        <f>B2/(C2*D2)</f>
        <v>1.6666666666666667</v>
      </c>
    </row>
    <row r="3" spans="1:5">
      <c r="A3" s="10" t="s">
        <v>18</v>
      </c>
      <c r="B3" s="10">
        <v>5</v>
      </c>
      <c r="C3" s="10">
        <v>2</v>
      </c>
      <c r="D3" s="10">
        <v>2</v>
      </c>
      <c r="E3" s="11">
        <f>B3/(C3*D3)</f>
        <v>1.25</v>
      </c>
    </row>
    <row r="4" spans="1:5">
      <c r="A4" s="10" t="s">
        <v>32</v>
      </c>
      <c r="B4" s="10">
        <v>2</v>
      </c>
      <c r="C4" s="10">
        <v>2</v>
      </c>
      <c r="D4" s="10">
        <v>1</v>
      </c>
      <c r="E4" s="11">
        <f>B4/(C4*D4)</f>
        <v>1</v>
      </c>
    </row>
    <row r="5" spans="1:5">
      <c r="A5" s="10" t="s">
        <v>36</v>
      </c>
      <c r="B5" s="10">
        <v>3</v>
      </c>
      <c r="C5" s="10">
        <v>3</v>
      </c>
      <c r="D5" s="10">
        <v>1</v>
      </c>
      <c r="E5" s="11">
        <f>B5/(C5*D5)</f>
        <v>1</v>
      </c>
    </row>
    <row r="6" spans="1:5">
      <c r="A6" s="10" t="s">
        <v>39</v>
      </c>
      <c r="B6" s="10">
        <v>2</v>
      </c>
      <c r="C6" s="10">
        <v>2</v>
      </c>
      <c r="D6" s="10">
        <v>1</v>
      </c>
      <c r="E6" s="11">
        <f>B6/(C6*D6)</f>
        <v>1</v>
      </c>
    </row>
    <row r="7" spans="1:5">
      <c r="A7" s="14" t="s">
        <v>47</v>
      </c>
      <c r="B7" s="14">
        <f>SUM(B2:B6)</f>
        <v>22</v>
      </c>
      <c r="C7" s="10"/>
      <c r="D7" s="10"/>
      <c r="E7" s="16">
        <f>E2+E3+E4+E5+E6</f>
        <v>5.916666666666667</v>
      </c>
    </row>
    <row r="9" spans="1:5">
      <c r="A9" s="17" t="s">
        <v>56</v>
      </c>
    </row>
    <row r="12" spans="1:5">
      <c r="B12" s="15" t="s">
        <v>57</v>
      </c>
      <c r="C12" s="15" t="s">
        <v>55</v>
      </c>
      <c r="D12" s="15" t="s">
        <v>50</v>
      </c>
      <c r="E12" s="15" t="s">
        <v>51</v>
      </c>
    </row>
    <row r="13" spans="1:5">
      <c r="A13" s="10" t="s">
        <v>10</v>
      </c>
      <c r="B13" s="10">
        <v>79</v>
      </c>
      <c r="C13" s="10">
        <v>10</v>
      </c>
      <c r="D13" s="10">
        <v>3</v>
      </c>
      <c r="E13" s="11">
        <f>B13/(C13*D13)</f>
        <v>2.6333333333333333</v>
      </c>
    </row>
    <row r="14" spans="1:5">
      <c r="A14" s="10" t="s">
        <v>18</v>
      </c>
      <c r="B14" s="10">
        <v>359</v>
      </c>
      <c r="C14" s="10">
        <v>10</v>
      </c>
      <c r="D14" s="10">
        <v>5</v>
      </c>
      <c r="E14" s="11">
        <f t="shared" ref="E14:E17" si="0">B14/(C14*D14)</f>
        <v>7.18</v>
      </c>
    </row>
    <row r="15" spans="1:5">
      <c r="A15" s="10" t="s">
        <v>32</v>
      </c>
      <c r="B15" s="10">
        <v>9</v>
      </c>
      <c r="C15" s="10">
        <v>9</v>
      </c>
      <c r="D15" s="10">
        <v>1</v>
      </c>
      <c r="E15" s="11">
        <f t="shared" si="0"/>
        <v>1</v>
      </c>
    </row>
    <row r="16" spans="1:5">
      <c r="A16" s="10" t="s">
        <v>36</v>
      </c>
      <c r="B16" s="10">
        <v>24</v>
      </c>
      <c r="C16" s="10">
        <v>8</v>
      </c>
      <c r="D16" s="10">
        <v>2</v>
      </c>
      <c r="E16" s="11">
        <f t="shared" si="0"/>
        <v>1.5</v>
      </c>
    </row>
    <row r="17" spans="1:5">
      <c r="A17" s="10" t="s">
        <v>39</v>
      </c>
      <c r="B17" s="10">
        <v>46</v>
      </c>
      <c r="C17" s="10">
        <v>10</v>
      </c>
      <c r="D17" s="10">
        <v>2</v>
      </c>
      <c r="E17" s="11">
        <f t="shared" si="0"/>
        <v>2.2999999999999998</v>
      </c>
    </row>
    <row r="18" spans="1:5">
      <c r="A18" s="14" t="s">
        <v>47</v>
      </c>
      <c r="B18" s="14">
        <f>SUM(B13:B17)</f>
        <v>517</v>
      </c>
      <c r="C18" s="36"/>
      <c r="D18" s="37"/>
      <c r="E18" s="16">
        <f>3+7+1+2+2</f>
        <v>15</v>
      </c>
    </row>
    <row r="20" spans="1:5">
      <c r="A20" s="17" t="s">
        <v>58</v>
      </c>
    </row>
  </sheetData>
  <mergeCells count="1">
    <mergeCell ref="C18:D1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62E7-49BA-4D62-B956-E374BD77B88E}">
  <dimension ref="A1:K10"/>
  <sheetViews>
    <sheetView workbookViewId="0">
      <selection activeCell="C15" sqref="C15"/>
    </sheetView>
  </sheetViews>
  <sheetFormatPr defaultColWidth="11.42578125" defaultRowHeight="14.45"/>
  <cols>
    <col min="1" max="1" width="12.5703125" customWidth="1"/>
    <col min="2" max="2" width="15.5703125" customWidth="1"/>
    <col min="3" max="3" width="14.42578125" customWidth="1"/>
    <col min="5" max="5" width="13.5703125" customWidth="1"/>
    <col min="6" max="6" width="14.85546875" customWidth="1"/>
    <col min="7" max="8" width="15.7109375" customWidth="1"/>
    <col min="9" max="9" width="18" customWidth="1"/>
    <col min="11" max="11" width="15.5703125" customWidth="1"/>
  </cols>
  <sheetData>
    <row r="1" spans="1:11">
      <c r="B1" s="18" t="s">
        <v>59</v>
      </c>
      <c r="C1" s="15" t="s">
        <v>60</v>
      </c>
      <c r="D1" s="15" t="s">
        <v>61</v>
      </c>
      <c r="E1" s="15" t="s">
        <v>62</v>
      </c>
      <c r="F1" s="15" t="s">
        <v>63</v>
      </c>
      <c r="G1" s="15" t="s">
        <v>64</v>
      </c>
      <c r="H1" s="15" t="s">
        <v>65</v>
      </c>
      <c r="I1" s="15" t="s">
        <v>55</v>
      </c>
      <c r="J1" s="15" t="s">
        <v>50</v>
      </c>
      <c r="K1" s="15" t="s">
        <v>51</v>
      </c>
    </row>
    <row r="2" spans="1:11">
      <c r="A2" s="10" t="s">
        <v>10</v>
      </c>
      <c r="B2" s="10">
        <v>2</v>
      </c>
      <c r="C2" s="10">
        <v>121</v>
      </c>
      <c r="D2" s="10">
        <v>247</v>
      </c>
      <c r="E2" s="10"/>
      <c r="F2" s="10">
        <v>54</v>
      </c>
      <c r="G2" s="11">
        <f>SUM(B2:F2)</f>
        <v>424</v>
      </c>
      <c r="H2" s="11">
        <f>G2*1.2</f>
        <v>508.79999999999995</v>
      </c>
      <c r="I2" s="10">
        <v>10</v>
      </c>
      <c r="J2" s="10">
        <v>7</v>
      </c>
      <c r="K2" s="11">
        <f>H2/(I2*J2)</f>
        <v>7.2685714285714278</v>
      </c>
    </row>
    <row r="3" spans="1:11">
      <c r="A3" s="19" t="s">
        <v>66</v>
      </c>
      <c r="B3" s="19">
        <v>1</v>
      </c>
      <c r="C3" s="20">
        <v>205</v>
      </c>
      <c r="D3" s="19">
        <v>235</v>
      </c>
      <c r="E3" s="20"/>
      <c r="F3" s="10">
        <v>21</v>
      </c>
      <c r="G3" s="22">
        <f>SUM(C3,E3,F3)</f>
        <v>226</v>
      </c>
      <c r="H3" s="11">
        <f t="shared" ref="H3:H6" si="0">G3*1.2</f>
        <v>271.2</v>
      </c>
      <c r="I3" s="10">
        <v>10</v>
      </c>
      <c r="J3" s="10">
        <v>7</v>
      </c>
      <c r="K3" s="11">
        <f>H3/(I3*J3)</f>
        <v>3.8742857142857141</v>
      </c>
    </row>
    <row r="4" spans="1:11">
      <c r="A4" s="10" t="s">
        <v>32</v>
      </c>
      <c r="B4" s="10">
        <v>1</v>
      </c>
      <c r="C4" s="10">
        <v>17</v>
      </c>
      <c r="D4" s="10">
        <v>346</v>
      </c>
      <c r="E4" s="10"/>
      <c r="F4" s="10">
        <v>16</v>
      </c>
      <c r="G4" s="11">
        <f>SUM(B4:F4)</f>
        <v>380</v>
      </c>
      <c r="H4" s="11">
        <f t="shared" si="0"/>
        <v>456</v>
      </c>
      <c r="I4" s="10">
        <v>10</v>
      </c>
      <c r="J4" s="10">
        <v>7</v>
      </c>
      <c r="K4" s="11">
        <f>H4/(I4*J4)</f>
        <v>6.5142857142857142</v>
      </c>
    </row>
    <row r="5" spans="1:11">
      <c r="A5" s="10" t="s">
        <v>36</v>
      </c>
      <c r="B5" s="10"/>
      <c r="C5" s="10">
        <v>5</v>
      </c>
      <c r="D5" s="10">
        <v>147</v>
      </c>
      <c r="E5" s="10"/>
      <c r="F5" s="10">
        <v>0</v>
      </c>
      <c r="G5" s="11">
        <f>SUM(B5:F5)</f>
        <v>152</v>
      </c>
      <c r="H5" s="11">
        <f t="shared" si="0"/>
        <v>182.4</v>
      </c>
      <c r="I5" s="10">
        <v>10</v>
      </c>
      <c r="J5" s="10">
        <v>5</v>
      </c>
      <c r="K5" s="11">
        <f>H5/(I5*J5)</f>
        <v>3.6480000000000001</v>
      </c>
    </row>
    <row r="6" spans="1:11">
      <c r="A6" s="10" t="s">
        <v>39</v>
      </c>
      <c r="B6" s="10">
        <v>5</v>
      </c>
      <c r="C6" s="10">
        <v>43</v>
      </c>
      <c r="D6" s="10">
        <v>14</v>
      </c>
      <c r="E6" s="10"/>
      <c r="F6" s="10">
        <v>56</v>
      </c>
      <c r="G6" s="11">
        <f>SUM(B6:F6)</f>
        <v>118</v>
      </c>
      <c r="H6" s="11">
        <f t="shared" si="0"/>
        <v>141.6</v>
      </c>
      <c r="I6" s="10">
        <v>10</v>
      </c>
      <c r="J6" s="10">
        <v>4</v>
      </c>
      <c r="K6" s="11">
        <f>H6/(I6*J6)</f>
        <v>3.54</v>
      </c>
    </row>
    <row r="7" spans="1:11">
      <c r="A7" s="14" t="s">
        <v>47</v>
      </c>
      <c r="B7" s="14">
        <f>SUM(B2:B6) -B3</f>
        <v>8</v>
      </c>
      <c r="C7" s="14">
        <f>SUM(C2:C6) -C3</f>
        <v>186</v>
      </c>
      <c r="D7" s="14">
        <f>SUM(D2:D6) -D3</f>
        <v>754</v>
      </c>
      <c r="E7" s="14"/>
      <c r="F7" s="14">
        <f>SUM(F2:F6)</f>
        <v>147</v>
      </c>
      <c r="G7" s="16">
        <f>SUM(G2:G6)</f>
        <v>1300</v>
      </c>
      <c r="H7" s="21">
        <f>SUM(H2:H6)</f>
        <v>1560</v>
      </c>
      <c r="I7" s="36"/>
      <c r="J7" s="37"/>
      <c r="K7" s="16">
        <f>K2+K3+K4+K5+K6</f>
        <v>24.845142857142857</v>
      </c>
    </row>
    <row r="9" spans="1:11">
      <c r="A9" s="17" t="s">
        <v>67</v>
      </c>
    </row>
    <row r="10" spans="1:11">
      <c r="A10" s="17" t="s">
        <v>68</v>
      </c>
    </row>
  </sheetData>
  <mergeCells count="1">
    <mergeCell ref="I7:J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1309D-845B-4CBD-B5EC-1CA4C8517F2F}">
  <dimension ref="A2:AA19"/>
  <sheetViews>
    <sheetView topLeftCell="A2" workbookViewId="0">
      <pane xSplit="2" topLeftCell="C1" activePane="topRight" state="frozen"/>
      <selection pane="topRight" activeCell="F16" sqref="F16"/>
    </sheetView>
  </sheetViews>
  <sheetFormatPr defaultColWidth="10.85546875" defaultRowHeight="12.95"/>
  <cols>
    <col min="1" max="1" width="24.42578125" style="17" customWidth="1"/>
    <col min="2" max="2" width="23.85546875" style="17" customWidth="1"/>
    <col min="3" max="3" width="13" style="17" customWidth="1"/>
    <col min="4" max="11" width="5.28515625" style="17" bestFit="1" customWidth="1"/>
    <col min="12" max="27" width="6.28515625" style="17" bestFit="1" customWidth="1"/>
    <col min="28" max="16384" width="10.85546875" style="17"/>
  </cols>
  <sheetData>
    <row r="2" spans="1:27" ht="30.6" customHeight="1">
      <c r="A2" s="23" t="s">
        <v>3</v>
      </c>
      <c r="B2" s="24" t="s">
        <v>69</v>
      </c>
      <c r="C2" s="25"/>
    </row>
    <row r="3" spans="1:27">
      <c r="A3" s="26" t="s">
        <v>10</v>
      </c>
      <c r="B3" s="26">
        <v>13</v>
      </c>
      <c r="C3" s="27"/>
    </row>
    <row r="4" spans="1:27">
      <c r="A4" s="26" t="s">
        <v>18</v>
      </c>
      <c r="B4" s="26">
        <v>20</v>
      </c>
      <c r="C4" s="27"/>
    </row>
    <row r="5" spans="1:27">
      <c r="A5" s="26" t="s">
        <v>32</v>
      </c>
      <c r="B5" s="26">
        <v>13</v>
      </c>
      <c r="C5" s="27"/>
    </row>
    <row r="6" spans="1:27">
      <c r="A6" s="26" t="s">
        <v>36</v>
      </c>
      <c r="B6" s="26">
        <v>9</v>
      </c>
      <c r="C6" s="27"/>
    </row>
    <row r="7" spans="1:27">
      <c r="A7" s="26" t="s">
        <v>39</v>
      </c>
      <c r="B7" s="26">
        <v>11</v>
      </c>
      <c r="C7" s="27"/>
    </row>
    <row r="8" spans="1:27">
      <c r="A8" s="23" t="s">
        <v>47</v>
      </c>
      <c r="B8" s="23">
        <f>SUM(B3:B7)</f>
        <v>66</v>
      </c>
      <c r="C8" s="27"/>
    </row>
    <row r="9" spans="1:27">
      <c r="C9" s="27"/>
    </row>
    <row r="10" spans="1:27">
      <c r="A10" s="38" t="s">
        <v>70</v>
      </c>
      <c r="B10" s="38"/>
      <c r="C10" s="38"/>
    </row>
    <row r="12" spans="1:27" s="31" customFormat="1" ht="26.1">
      <c r="A12" s="28" t="s">
        <v>71</v>
      </c>
      <c r="B12" s="29" t="s">
        <v>72</v>
      </c>
      <c r="C12" s="30" t="s">
        <v>73</v>
      </c>
      <c r="D12" s="30" t="s">
        <v>74</v>
      </c>
      <c r="E12" s="30" t="s">
        <v>75</v>
      </c>
      <c r="F12" s="30" t="s">
        <v>76</v>
      </c>
      <c r="G12" s="30" t="s">
        <v>77</v>
      </c>
      <c r="H12" s="30" t="s">
        <v>78</v>
      </c>
      <c r="I12" s="30" t="s">
        <v>79</v>
      </c>
      <c r="J12" s="30" t="s">
        <v>80</v>
      </c>
      <c r="K12" s="30" t="s">
        <v>81</v>
      </c>
      <c r="L12" s="30" t="s">
        <v>82</v>
      </c>
      <c r="M12" s="30" t="s">
        <v>83</v>
      </c>
      <c r="N12" s="30" t="s">
        <v>84</v>
      </c>
      <c r="O12" s="30" t="s">
        <v>85</v>
      </c>
      <c r="P12" s="30" t="s">
        <v>86</v>
      </c>
      <c r="Q12" s="30" t="s">
        <v>87</v>
      </c>
      <c r="R12" s="30" t="s">
        <v>88</v>
      </c>
      <c r="S12" s="30" t="s">
        <v>89</v>
      </c>
      <c r="T12" s="30" t="s">
        <v>90</v>
      </c>
      <c r="U12" s="30" t="s">
        <v>91</v>
      </c>
      <c r="V12" s="30" t="s">
        <v>92</v>
      </c>
      <c r="W12" s="30" t="s">
        <v>93</v>
      </c>
      <c r="X12" s="30" t="s">
        <v>94</v>
      </c>
      <c r="Y12" s="30" t="s">
        <v>95</v>
      </c>
      <c r="Z12" s="30" t="s">
        <v>96</v>
      </c>
      <c r="AA12" s="30" t="s">
        <v>97</v>
      </c>
    </row>
    <row r="14" spans="1:27">
      <c r="A14" s="26" t="s">
        <v>98</v>
      </c>
      <c r="B14" s="32">
        <f>'Water facilities survey plan'!K7</f>
        <v>24.845142857142857</v>
      </c>
      <c r="C14" s="33"/>
      <c r="D14" s="33"/>
      <c r="E14" s="33"/>
      <c r="F14" s="33"/>
      <c r="G14" s="33"/>
      <c r="H14" s="33"/>
      <c r="I14" s="33"/>
      <c r="J14" s="34"/>
      <c r="K14" s="34"/>
      <c r="L14" s="26"/>
      <c r="M14" s="26"/>
      <c r="N14" s="26"/>
      <c r="O14" s="26"/>
      <c r="P14" s="26"/>
      <c r="Q14" s="26"/>
      <c r="R14" s="26"/>
      <c r="S14" s="26"/>
      <c r="T14" s="26"/>
      <c r="U14" s="26"/>
      <c r="V14" s="26"/>
      <c r="W14" s="26"/>
      <c r="X14" s="26"/>
      <c r="Y14" s="26"/>
      <c r="Z14" s="26"/>
      <c r="AA14" s="26"/>
    </row>
    <row r="15" spans="1:27">
      <c r="A15" s="26" t="s">
        <v>99</v>
      </c>
      <c r="B15" s="32">
        <f>'HH Survey planning'!E7</f>
        <v>40.671111111111109</v>
      </c>
      <c r="C15" s="34"/>
      <c r="D15" s="34"/>
      <c r="E15" s="34"/>
      <c r="F15" s="34"/>
      <c r="G15" s="34"/>
      <c r="H15" s="34"/>
      <c r="I15" s="34"/>
      <c r="J15" s="33"/>
      <c r="K15" s="33"/>
      <c r="L15" s="33"/>
      <c r="M15" s="33"/>
      <c r="N15" s="33"/>
      <c r="O15" s="33"/>
      <c r="P15" s="33"/>
      <c r="Q15" s="33"/>
      <c r="R15" s="33"/>
      <c r="S15" s="33"/>
      <c r="T15" s="33"/>
      <c r="U15" s="33"/>
      <c r="V15" s="33"/>
      <c r="W15" s="33"/>
      <c r="X15" s="33"/>
      <c r="Y15" s="26"/>
      <c r="Z15" s="26"/>
      <c r="AA15" s="26"/>
    </row>
    <row r="16" spans="1:27">
      <c r="A16" s="26" t="s">
        <v>100</v>
      </c>
      <c r="B16" s="26">
        <f>5</f>
        <v>5</v>
      </c>
      <c r="C16" s="26"/>
      <c r="D16" s="26"/>
      <c r="E16" s="26"/>
      <c r="F16" s="26"/>
      <c r="G16" s="26"/>
      <c r="H16" s="26"/>
      <c r="I16" s="26"/>
      <c r="J16" s="26"/>
      <c r="K16" s="26"/>
      <c r="L16" s="33"/>
      <c r="M16" s="33"/>
      <c r="N16" s="33"/>
      <c r="O16" s="26"/>
      <c r="P16" s="26"/>
      <c r="Q16" s="26"/>
      <c r="R16" s="26"/>
      <c r="S16" s="26"/>
      <c r="T16" s="26"/>
      <c r="U16" s="26"/>
      <c r="V16" s="26"/>
      <c r="W16" s="26"/>
      <c r="X16" s="26"/>
      <c r="Y16" s="26"/>
      <c r="Z16" s="26"/>
      <c r="AA16" s="26"/>
    </row>
    <row r="17" spans="1:27">
      <c r="A17" s="26" t="s">
        <v>101</v>
      </c>
      <c r="B17" s="26">
        <f>5</f>
        <v>5</v>
      </c>
      <c r="C17" s="26"/>
      <c r="D17" s="26"/>
      <c r="E17" s="26"/>
      <c r="F17" s="26"/>
      <c r="G17" s="26"/>
      <c r="H17" s="26"/>
      <c r="I17" s="26"/>
      <c r="J17" s="26"/>
      <c r="K17" s="26"/>
      <c r="L17" s="26"/>
      <c r="M17" s="26"/>
      <c r="N17" s="26"/>
      <c r="O17" s="33"/>
      <c r="P17" s="33"/>
      <c r="Q17" s="26"/>
      <c r="R17" s="26"/>
      <c r="S17" s="26"/>
      <c r="T17" s="26"/>
      <c r="U17" s="26"/>
      <c r="V17" s="26"/>
      <c r="W17" s="26"/>
      <c r="X17" s="26"/>
      <c r="Y17" s="26"/>
      <c r="Z17" s="26"/>
      <c r="AA17" s="26"/>
    </row>
    <row r="18" spans="1:27">
      <c r="A18" s="26" t="s">
        <v>102</v>
      </c>
      <c r="B18" s="32">
        <f>'School &amp; Health facilities surv'!E18</f>
        <v>15</v>
      </c>
      <c r="C18" s="26"/>
      <c r="D18" s="26"/>
      <c r="E18" s="26"/>
      <c r="F18" s="26"/>
      <c r="G18" s="26"/>
      <c r="H18" s="26"/>
      <c r="I18" s="26"/>
      <c r="J18" s="26"/>
      <c r="K18" s="26"/>
      <c r="L18" s="26"/>
      <c r="M18" s="26"/>
      <c r="N18" s="26"/>
      <c r="O18" s="26"/>
      <c r="P18" s="26"/>
      <c r="Q18" s="26"/>
      <c r="R18" s="33"/>
      <c r="S18" s="33"/>
      <c r="T18" s="33"/>
      <c r="U18" s="33"/>
      <c r="V18" s="33"/>
      <c r="W18" s="26"/>
      <c r="X18" s="26"/>
      <c r="Y18" s="26"/>
      <c r="Z18" s="26"/>
      <c r="AA18" s="26"/>
    </row>
    <row r="19" spans="1:27">
      <c r="A19" s="26" t="s">
        <v>103</v>
      </c>
      <c r="B19" s="32">
        <f>'School &amp; Health facilities surv'!E7</f>
        <v>5.916666666666667</v>
      </c>
      <c r="C19" s="26"/>
      <c r="D19" s="26"/>
      <c r="E19" s="26"/>
      <c r="F19" s="26"/>
      <c r="G19" s="26"/>
      <c r="H19" s="26"/>
      <c r="I19" s="26"/>
      <c r="J19" s="26"/>
      <c r="K19" s="26"/>
      <c r="L19" s="26"/>
      <c r="M19" s="26"/>
      <c r="N19" s="26"/>
      <c r="O19" s="26"/>
      <c r="P19" s="26"/>
      <c r="Q19" s="26"/>
      <c r="R19" s="26"/>
      <c r="S19" s="26"/>
      <c r="T19" s="26"/>
      <c r="U19" s="34"/>
      <c r="V19" s="34"/>
      <c r="W19" s="33"/>
      <c r="X19" s="33"/>
      <c r="Y19" s="26"/>
      <c r="Z19" s="26"/>
      <c r="AA19" s="26"/>
    </row>
  </sheetData>
  <mergeCells count="1">
    <mergeCell ref="A10:C10"/>
  </mergeCells>
  <phoneticPr fontId="9"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801f88f-ec94-4a44-a5fe-a1df3097958c">
      <Terms xmlns="http://schemas.microsoft.com/office/infopath/2007/PartnerControls"/>
    </lcf76f155ced4ddcb4097134ff3c332f>
    <TaxCatchAll xmlns="0d56a4a9-a5f6-4dda-a10a-db797b3654d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798FD47D14804A9A064AD60D16542B" ma:contentTypeVersion="16" ma:contentTypeDescription="Create a new document." ma:contentTypeScope="" ma:versionID="c5b8545302b9e93f617c35a6a938a86d">
  <xsd:schema xmlns:xsd="http://www.w3.org/2001/XMLSchema" xmlns:xs="http://www.w3.org/2001/XMLSchema" xmlns:p="http://schemas.microsoft.com/office/2006/metadata/properties" xmlns:ns2="4801f88f-ec94-4a44-a5fe-a1df3097958c" xmlns:ns3="0d56a4a9-a5f6-4dda-a10a-db797b3654d2" targetNamespace="http://schemas.microsoft.com/office/2006/metadata/properties" ma:root="true" ma:fieldsID="e9bded26a62e8c8712e1042b88afd85d" ns2:_="" ns3:_="">
    <xsd:import namespace="4801f88f-ec94-4a44-a5fe-a1df3097958c"/>
    <xsd:import namespace="0d56a4a9-a5f6-4dda-a10a-db797b3654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01f88f-ec94-4a44-a5fe-a1df30979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c2934e5-30b4-4ab0-8967-45c20bd1b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56a4a9-a5f6-4dda-a10a-db797b3654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fb45ce1-0285-44d4-88e1-ab67d7b25eee}" ma:internalName="TaxCatchAll" ma:showField="CatchAllData" ma:web="0d56a4a9-a5f6-4dda-a10a-db797b3654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C51E53-C05E-436A-898F-3EA1AC42A11F}"/>
</file>

<file path=customXml/itemProps2.xml><?xml version="1.0" encoding="utf-8"?>
<ds:datastoreItem xmlns:ds="http://schemas.openxmlformats.org/officeDocument/2006/customXml" ds:itemID="{51C758AC-7AF9-410E-B618-67786AF6373D}"/>
</file>

<file path=customXml/itemProps3.xml><?xml version="1.0" encoding="utf-8"?>
<ds:datastoreItem xmlns:ds="http://schemas.openxmlformats.org/officeDocument/2006/customXml" ds:itemID="{237A6F75-9251-4AB5-B92B-2AA297FFED7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Bonhomme</dc:creator>
  <cp:keywords/>
  <dc:description/>
  <cp:lastModifiedBy/>
  <cp:revision/>
  <dcterms:created xsi:type="dcterms:W3CDTF">2024-04-29T14:22:02Z</dcterms:created>
  <dcterms:modified xsi:type="dcterms:W3CDTF">2024-07-15T14:57:40Z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0x010100B6798FD47D14804A9A064AD60D16542B</vt:lpwstr>
  </property>
  <property fmtid="{D5CDD505-2E9C-101B-9397-08002B2CF9AE}" pid="3" name="MediaServiceImageTags">
    <vt:lpwstr/>
  </property>
</Properties>
</file>