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Ex5.xml" ContentType="application/vnd.ms-office.chartex+xml"/>
  <Override PartName="/xl/charts/style7.xml" ContentType="application/vnd.ms-office.chartstyle+xml"/>
  <Override PartName="/xl/charts/colors7.xml" ContentType="application/vnd.ms-office.chartcolorstyle+xml"/>
  <Override PartName="/xl/charts/chartEx6.xml" ContentType="application/vnd.ms-office.chartex+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Ex7.xml" ContentType="application/vnd.ms-office.chartex+xml"/>
  <Override PartName="/xl/charts/style9.xml" ContentType="application/vnd.ms-office.chartstyle+xml"/>
  <Override PartName="/xl/charts/colors9.xml" ContentType="application/vnd.ms-office.chartcolorstyle+xml"/>
  <Override PartName="/xl/charts/chartEx8.xml" ContentType="application/vnd.ms-office.chartex+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7"/>
  <workbookPr defaultThemeVersion="166925"/>
  <mc:AlternateContent xmlns:mc="http://schemas.openxmlformats.org/markup-compatibility/2006">
    <mc:Choice Requires="x15">
      <x15ac:absPath xmlns:x15ac="http://schemas.microsoft.com/office/spreadsheetml/2010/11/ac" url="https://bushare.sharepoint.com/sites/GRP-QST-CORE-B2-T1-2023-Spring/Shared Documents/General/"/>
    </mc:Choice>
  </mc:AlternateContent>
  <xr:revisionPtr revIDLastSave="8849" documentId="8_{01819351-7A5B-7F4B-8CD6-A8D57E8751E8}" xr6:coauthVersionLast="47" xr6:coauthVersionMax="47" xr10:uidLastSave="{E956CA9D-B56A-491C-BD04-68D5387121C2}"/>
  <bookViews>
    <workbookView xWindow="0" yWindow="500" windowWidth="28800" windowHeight="16420" firstSheet="3" activeTab="3" xr2:uid="{29355A8C-13A6-614A-89FF-805908904FFC}"/>
  </bookViews>
  <sheets>
    <sheet name="Index" sheetId="3" r:id="rId1"/>
    <sheet name="MK Assumptions" sheetId="34" r:id="rId2"/>
    <sheet name="MK Bases Model (Base Case)" sheetId="1" r:id="rId3"/>
    <sheet name="MK Avg. Man. Selling Price" sheetId="2" r:id="rId4"/>
    <sheet name="MK Purchase Intent and Price" sheetId="37" r:id="rId5"/>
    <sheet name="MK IMC Schedule Y1-Y5" sheetId="5" r:id="rId6"/>
    <sheet name="MK ACV Y1-Y5" sheetId="39" r:id="rId7"/>
    <sheet name="MK Segment Variable Analysis" sheetId="38" r:id="rId8"/>
    <sheet name="OM Assumptions" sheetId="57" r:id="rId9"/>
    <sheet name="OM Bill of Materials List" sheetId="14" r:id="rId10"/>
    <sheet name="OM Capital Expenditures Y1-Y5" sheetId="58" r:id="rId11"/>
    <sheet name="OM Labor Y1-Y5" sheetId="59" r:id="rId12"/>
    <sheet name="OM Manufacturing OH Y1-Y5" sheetId="19" r:id="rId13"/>
    <sheet name="OM IS Expenses Y1-Y5" sheetId="60" r:id="rId14"/>
    <sheet name="OM Logistics Y1-Y5" sheetId="64" r:id="rId15"/>
    <sheet name="OM S&amp;M and G&amp;A Expenses Y1-Y5" sheetId="18" r:id="rId16"/>
    <sheet name="OM Capacity Analysis Y1-Y5" sheetId="62" r:id="rId17"/>
    <sheet name="OM Inventory Y1-Y5" sheetId="20" r:id="rId18"/>
    <sheet name="OM Final COGS Y1-Y5" sheetId="61" r:id="rId19"/>
    <sheet name="OM Location Analysis" sheetId="12" r:id="rId20"/>
    <sheet name="OM Y0 Initial Investment" sheetId="31" r:id="rId21"/>
    <sheet name="FE Assumptions" sheetId="23" r:id="rId22"/>
    <sheet name="FE Income Statement Y1-Y5" sheetId="25" r:id="rId23"/>
    <sheet name="FE Balance Sheet Y1-Y5" sheetId="28" r:id="rId24"/>
    <sheet name="FE Cash Flow Y1-Y5" sheetId="29" r:id="rId25"/>
    <sheet name="FE Comparable Companies" sheetId="33" r:id="rId26"/>
    <sheet name="QM Assumptions" sheetId="36" r:id="rId27"/>
    <sheet name="QM Conjoint Analysis" sheetId="26" r:id="rId28"/>
    <sheet name="QM Qualitative Risk Matrix" sheetId="44" r:id="rId29"/>
    <sheet name="QM Quantitative Risk Matrix" sheetId="45" r:id="rId30"/>
    <sheet name="QM Sensitivity Analysis" sheetId="40" r:id="rId31"/>
    <sheet name="QM All RISK Variables" sheetId="63" r:id="rId32"/>
    <sheet name="QM Parameters for Simulation" sheetId="51" r:id="rId33"/>
    <sheet name="QM RUN Simulations" sheetId="50" r:id="rId34"/>
    <sheet name="QM Simulation Summary Stats" sheetId="52" r:id="rId35"/>
    <sheet name="QM Simulation 1-Pasted Values" sheetId="53" r:id="rId36"/>
    <sheet name="QM Simulation 2-Pasted Values" sheetId="55" r:id="rId37"/>
    <sheet name="QM Simulation 3-Pasted Values" sheetId="56" r:id="rId38"/>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1</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0" hidden="1">'QM Sensitivity Analysis'!$A$2:$J$15</definedName>
    <definedName name="_xlchart.v1.0" hidden="1">'QM RUN Simulations'!$B$13:$B$1012</definedName>
    <definedName name="_xlchart.v1.1" hidden="1">'QM RUN Simulations'!$D$13:$D$1012</definedName>
    <definedName name="_xlchart.v1.2" hidden="1">'QM Simulation 1-Pasted Values'!$B$13:$B$1012</definedName>
    <definedName name="_xlchart.v1.3" hidden="1">'QM Simulation 1-Pasted Values'!$D$13:$D$1012</definedName>
    <definedName name="_xlchart.v1.4" hidden="1">'QM Simulation 2-Pasted Values'!$B$13:$B$1012</definedName>
    <definedName name="_xlchart.v1.5" hidden="1">'QM Simulation 2-Pasted Values'!$D$13:$D$1012</definedName>
    <definedName name="_xlchart.v1.6" hidden="1">'QM Simulation 3-Pasted Values'!$B$13:$B$1012</definedName>
    <definedName name="_xlchart.v1.7" hidden="1">'QM Simulation 3-Pasted Values'!$D$13:$D$1012</definedName>
    <definedName name="NPV_RunSimul" localSheetId="35">'QM Simulation 1-Pasted Values'!$D$12:$D$1012</definedName>
    <definedName name="NPV_RunSimul" localSheetId="36">'QM Simulation 2-Pasted Values'!$D$12:$D$1012</definedName>
    <definedName name="NPV_RunSimul" localSheetId="37">'QM Simulation 3-Pasted Values'!$D$12:$D$1012</definedName>
    <definedName name="NPV_RunSimul" localSheetId="34">#REF!</definedName>
    <definedName name="NPV_RunSimul">'QM RUN Simulations'!$D$12:$D$1012</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imulation_Number">'QM Simulation Summary Stats'!$A$2</definedName>
    <definedName name="solver_adj" localSheetId="30" hidden="1">'QM Sensitivity Analysis'!$C$3</definedName>
    <definedName name="solver_cvg" localSheetId="30" hidden="1">0.0001</definedName>
    <definedName name="solver_drv" localSheetId="30" hidden="1">1</definedName>
    <definedName name="solver_eng" localSheetId="30" hidden="1">1</definedName>
    <definedName name="solver_itr" localSheetId="30" hidden="1">2147483647</definedName>
    <definedName name="solver_lin" localSheetId="30" hidden="1">2</definedName>
    <definedName name="solver_mip" localSheetId="30" hidden="1">2147483647</definedName>
    <definedName name="solver_mni" localSheetId="30" hidden="1">30</definedName>
    <definedName name="solver_mrt" localSheetId="30" hidden="1">0.075</definedName>
    <definedName name="solver_msl" localSheetId="30" hidden="1">2</definedName>
    <definedName name="solver_neg" localSheetId="30" hidden="1">1</definedName>
    <definedName name="solver_nod" localSheetId="30" hidden="1">2147483647</definedName>
    <definedName name="solver_num" localSheetId="30" hidden="1">0</definedName>
    <definedName name="solver_opt" localSheetId="30" hidden="1">'QM Sensitivity Analysis'!$B$23</definedName>
    <definedName name="solver_pre" localSheetId="30" hidden="1">0.000001</definedName>
    <definedName name="solver_rbv" localSheetId="30" hidden="1">1</definedName>
    <definedName name="solver_rlx" localSheetId="30" hidden="1">2</definedName>
    <definedName name="solver_rsd" localSheetId="30" hidden="1">0</definedName>
    <definedName name="solver_scl" localSheetId="30" hidden="1">1</definedName>
    <definedName name="solver_sho" localSheetId="30" hidden="1">2</definedName>
    <definedName name="solver_ssz" localSheetId="30" hidden="1">100</definedName>
    <definedName name="solver_tim" localSheetId="30" hidden="1">2147483647</definedName>
    <definedName name="solver_tol" localSheetId="30" hidden="1">0.01</definedName>
    <definedName name="solver_typ" localSheetId="30" hidden="1">3</definedName>
    <definedName name="solver_val" localSheetId="30" hidden="1">0</definedName>
    <definedName name="solver_ver" localSheetId="30" hidden="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E31" i="2" l="1"/>
  <c r="C5" i="2"/>
  <c r="K33" i="39"/>
  <c r="C19" i="39"/>
  <c r="G3" i="40"/>
  <c r="F3" i="40"/>
  <c r="D3" i="40"/>
  <c r="D5" i="1"/>
  <c r="G15" i="57" a="1"/>
  <c r="G15" i="57"/>
  <c r="Q9" i="51"/>
  <c r="Q8" i="51"/>
  <c r="P9" i="51"/>
  <c r="P8" i="51"/>
  <c r="K21" i="51"/>
  <c r="P15" i="51"/>
  <c r="M11" i="51" s="1"/>
  <c r="M12" i="51" s="1"/>
  <c r="Q16" i="51"/>
  <c r="L9" i="51"/>
  <c r="L10" i="51" s="1"/>
  <c r="A17" i="50"/>
  <c r="AE6" i="62"/>
  <c r="AE7" i="62"/>
  <c r="AE8" i="62"/>
  <c r="AE9" i="62"/>
  <c r="AE10" i="62"/>
  <c r="AE11" i="62"/>
  <c r="AE12" i="62"/>
  <c r="X6" i="62"/>
  <c r="X7" i="62"/>
  <c r="X8" i="62"/>
  <c r="X9" i="62"/>
  <c r="X10" i="62"/>
  <c r="X11" i="62"/>
  <c r="X12" i="62"/>
  <c r="Q6" i="62"/>
  <c r="Q7" i="62"/>
  <c r="Q8" i="62"/>
  <c r="Q9" i="62"/>
  <c r="Q10" i="62"/>
  <c r="Q11" i="62"/>
  <c r="Q12" i="62"/>
  <c r="J6" i="62"/>
  <c r="J7" i="62"/>
  <c r="J8" i="62"/>
  <c r="J9" i="62"/>
  <c r="J10" i="62"/>
  <c r="J11" i="62"/>
  <c r="J12" i="62"/>
  <c r="C12" i="62"/>
  <c r="C11" i="62"/>
  <c r="C10" i="62"/>
  <c r="C9" i="62"/>
  <c r="C8" i="62"/>
  <c r="C7" i="62"/>
  <c r="C6" i="62"/>
  <c r="B5" i="19"/>
  <c r="B4" i="19"/>
  <c r="I15" i="60"/>
  <c r="I14" i="60"/>
  <c r="B150" i="57"/>
  <c r="C145" i="57"/>
  <c r="B145" i="57" s="1"/>
  <c r="H16" i="60"/>
  <c r="E16" i="60"/>
  <c r="D16" i="60"/>
  <c r="G13" i="60"/>
  <c r="D10" i="40"/>
  <c r="F10" i="40"/>
  <c r="G10" i="40" s="1"/>
  <c r="H10" i="40" s="1"/>
  <c r="I10" i="40" s="1"/>
  <c r="F12" i="40"/>
  <c r="G12" i="40" s="1"/>
  <c r="H12" i="40" s="1"/>
  <c r="I12" i="40" s="1"/>
  <c r="F15" i="40"/>
  <c r="G15" i="40" s="1"/>
  <c r="F18" i="40"/>
  <c r="G18" i="40" s="1"/>
  <c r="H18" i="40" s="1"/>
  <c r="I18" i="40" s="1"/>
  <c r="D14" i="59"/>
  <c r="D8" i="40"/>
  <c r="F8" i="40"/>
  <c r="G8" i="40" s="1"/>
  <c r="H8" i="40" s="1"/>
  <c r="I8" i="40" s="1"/>
  <c r="B36" i="57"/>
  <c r="B42" i="57"/>
  <c r="F9" i="40"/>
  <c r="G9" i="40" s="1"/>
  <c r="D9" i="40"/>
  <c r="B1" i="50"/>
  <c r="B2" i="50"/>
  <c r="C21" i="59"/>
  <c r="D12" i="40"/>
  <c r="D4" i="40"/>
  <c r="D6" i="40"/>
  <c r="D5" i="40"/>
  <c r="D7" i="40"/>
  <c r="D14" i="40"/>
  <c r="D11" i="40"/>
  <c r="D15" i="40"/>
  <c r="D16" i="40"/>
  <c r="D18" i="40"/>
  <c r="D13" i="40"/>
  <c r="D17" i="40"/>
  <c r="F4" i="40"/>
  <c r="G4" i="40" s="1"/>
  <c r="F6" i="40"/>
  <c r="G6" i="40" s="1"/>
  <c r="F5" i="40"/>
  <c r="F7" i="40"/>
  <c r="G7" i="40" s="1"/>
  <c r="F14" i="40"/>
  <c r="G14" i="40" s="1"/>
  <c r="H14" i="40" s="1"/>
  <c r="I14" i="40" s="1"/>
  <c r="F11" i="40"/>
  <c r="G11" i="40" s="1"/>
  <c r="F16" i="40"/>
  <c r="G16" i="40" s="1"/>
  <c r="H16" i="40" s="1"/>
  <c r="I16" i="40" s="1"/>
  <c r="F13" i="40"/>
  <c r="G13" i="40" s="1"/>
  <c r="H13" i="40" s="1"/>
  <c r="I13" i="40" s="1"/>
  <c r="F17" i="40"/>
  <c r="G17" i="40" s="1"/>
  <c r="H17" i="40" s="1"/>
  <c r="I17" i="40" s="1"/>
  <c r="Q11" i="51" l="1"/>
  <c r="P14" i="51" s="1"/>
  <c r="M10" i="51" s="1"/>
  <c r="M9" i="51"/>
  <c r="K9" i="51"/>
  <c r="K10" i="51" s="1"/>
  <c r="L11" i="51"/>
  <c r="L12" i="51" s="1"/>
  <c r="M14" i="51" s="1"/>
  <c r="H4" i="40"/>
  <c r="I4" i="40" s="1"/>
  <c r="G5" i="40"/>
  <c r="H5" i="40" s="1"/>
  <c r="I5" i="40" s="1"/>
  <c r="H6" i="40"/>
  <c r="I6" i="40" s="1"/>
  <c r="H11" i="40"/>
  <c r="I11" i="40" s="1"/>
  <c r="H9" i="40"/>
  <c r="I9" i="40" s="1"/>
  <c r="H7" i="40"/>
  <c r="I7" i="40" s="1"/>
  <c r="H15" i="40"/>
  <c r="I15" i="40" s="1"/>
  <c r="H15" i="1"/>
  <c r="K11" i="51" l="1"/>
  <c r="K12" i="51" s="1"/>
  <c r="K14" i="51" s="1"/>
  <c r="L14" i="51"/>
  <c r="C8" i="18"/>
  <c r="E8" i="18" s="1"/>
  <c r="G8" i="18" s="1"/>
  <c r="I8" i="18" s="1"/>
  <c r="K8" i="18" s="1"/>
  <c r="B58" i="23"/>
  <c r="B57" i="23"/>
  <c r="B19" i="28"/>
  <c r="G28" i="28"/>
  <c r="F28" i="28"/>
  <c r="E28" i="28"/>
  <c r="D28" i="28"/>
  <c r="C28" i="28"/>
  <c r="B28" i="28"/>
  <c r="B68" i="23"/>
  <c r="L29" i="20"/>
  <c r="M29" i="20" s="1"/>
  <c r="K30" i="20"/>
  <c r="U29" i="20"/>
  <c r="U28" i="20"/>
  <c r="U27" i="20"/>
  <c r="U26" i="20"/>
  <c r="S29" i="20"/>
  <c r="S28" i="20"/>
  <c r="S27" i="20"/>
  <c r="S26" i="20"/>
  <c r="Q29" i="20"/>
  <c r="Q28" i="20"/>
  <c r="Q27" i="20"/>
  <c r="Q26" i="20"/>
  <c r="O29" i="20"/>
  <c r="O28" i="20"/>
  <c r="O27" i="20"/>
  <c r="O26" i="20"/>
  <c r="D31" i="20"/>
  <c r="M28" i="20"/>
  <c r="M27" i="20"/>
  <c r="M26" i="20"/>
  <c r="J17" i="20"/>
  <c r="J18" i="20" s="1"/>
  <c r="F31" i="20"/>
  <c r="E31" i="20"/>
  <c r="C31" i="20"/>
  <c r="E8" i="20"/>
  <c r="E7" i="20"/>
  <c r="F28" i="62"/>
  <c r="F27" i="62"/>
  <c r="F26" i="62"/>
  <c r="F25" i="62"/>
  <c r="F24" i="62"/>
  <c r="E28" i="62"/>
  <c r="E27" i="62"/>
  <c r="E26" i="62"/>
  <c r="E25" i="62"/>
  <c r="E24" i="62"/>
  <c r="D28" i="62"/>
  <c r="D27" i="62"/>
  <c r="D26" i="62"/>
  <c r="D25" i="62"/>
  <c r="D24" i="62"/>
  <c r="C28" i="62"/>
  <c r="C27" i="62"/>
  <c r="C26" i="62"/>
  <c r="C25" i="62"/>
  <c r="C24" i="62"/>
  <c r="B28" i="62"/>
  <c r="L21" i="20" s="1"/>
  <c r="B27" i="62"/>
  <c r="B26" i="62"/>
  <c r="B25" i="62"/>
  <c r="B24" i="62"/>
  <c r="B9" i="31"/>
  <c r="E6" i="31" s="1"/>
  <c r="B8" i="31"/>
  <c r="D6" i="59"/>
  <c r="I6" i="59" s="1"/>
  <c r="K6" i="59" s="1"/>
  <c r="M6" i="59" s="1"/>
  <c r="H8" i="60"/>
  <c r="H4" i="60"/>
  <c r="I17" i="60"/>
  <c r="H32" i="60" s="1"/>
  <c r="I16" i="60"/>
  <c r="I13" i="60"/>
  <c r="G31" i="60" s="1"/>
  <c r="F4" i="58"/>
  <c r="I12" i="60"/>
  <c r="E17" i="60"/>
  <c r="F17" i="60"/>
  <c r="G17" i="60"/>
  <c r="H17" i="60"/>
  <c r="D17" i="60"/>
  <c r="D13" i="60"/>
  <c r="E13" i="60"/>
  <c r="F13" i="60"/>
  <c r="H13" i="60"/>
  <c r="C13" i="60"/>
  <c r="H12" i="60"/>
  <c r="E12" i="60"/>
  <c r="D12" i="60"/>
  <c r="C17" i="60"/>
  <c r="E5" i="14"/>
  <c r="F7" i="20" s="1"/>
  <c r="E6" i="14"/>
  <c r="F8" i="20" s="1"/>
  <c r="E7" i="14"/>
  <c r="F9" i="20" s="1"/>
  <c r="E8" i="14"/>
  <c r="F10" i="20" s="1"/>
  <c r="E9" i="14"/>
  <c r="F11" i="20" s="1"/>
  <c r="E4" i="14"/>
  <c r="F6" i="20" s="1"/>
  <c r="C15" i="60"/>
  <c r="E15" i="60" s="1"/>
  <c r="C14" i="60"/>
  <c r="G14" i="60" s="1"/>
  <c r="E8" i="60"/>
  <c r="F8" i="60"/>
  <c r="G8" i="60"/>
  <c r="G4" i="60"/>
  <c r="F4" i="60"/>
  <c r="E4" i="60"/>
  <c r="J32" i="39"/>
  <c r="G22" i="60"/>
  <c r="J25" i="39"/>
  <c r="J26" i="39" s="1"/>
  <c r="G21" i="60"/>
  <c r="G16" i="60" s="1"/>
  <c r="J18" i="39"/>
  <c r="J19" i="39" s="1"/>
  <c r="F22" i="60"/>
  <c r="F12" i="60" s="1"/>
  <c r="J8" i="39"/>
  <c r="F21" i="60"/>
  <c r="H25" i="60" s="1"/>
  <c r="K14" i="59"/>
  <c r="M14" i="59" s="1"/>
  <c r="J12" i="39"/>
  <c r="C22" i="60"/>
  <c r="C12" i="60" s="1"/>
  <c r="C21" i="60"/>
  <c r="C16" i="60" s="1"/>
  <c r="C20" i="39"/>
  <c r="D20" i="39"/>
  <c r="E20" i="39"/>
  <c r="F20" i="39"/>
  <c r="G20" i="39"/>
  <c r="B20" i="39"/>
  <c r="K11" i="39" s="1"/>
  <c r="K12" i="39" s="1"/>
  <c r="B21" i="39"/>
  <c r="K24" i="39" s="1"/>
  <c r="B19" i="39"/>
  <c r="D19" i="39" s="1"/>
  <c r="B18" i="39"/>
  <c r="K15" i="39" s="1"/>
  <c r="B17" i="39"/>
  <c r="K5" i="39" s="1"/>
  <c r="D8" i="60"/>
  <c r="D4" i="60"/>
  <c r="C9" i="60"/>
  <c r="C8" i="60"/>
  <c r="C7" i="60"/>
  <c r="H7" i="60" s="1"/>
  <c r="C5" i="60"/>
  <c r="H6" i="60" s="1"/>
  <c r="D12" i="59"/>
  <c r="E12" i="59" s="1"/>
  <c r="G12" i="59" s="1"/>
  <c r="I12" i="59" s="1"/>
  <c r="K12" i="59" s="1"/>
  <c r="M12" i="59" s="1"/>
  <c r="D11" i="59"/>
  <c r="E11" i="59" s="1"/>
  <c r="G11" i="59" s="1"/>
  <c r="I11" i="59" s="1"/>
  <c r="K11" i="59" s="1"/>
  <c r="M11" i="59" s="1"/>
  <c r="D10" i="59"/>
  <c r="I10" i="59" s="1"/>
  <c r="K10" i="59" s="1"/>
  <c r="M10" i="59" s="1"/>
  <c r="D9" i="59"/>
  <c r="I9" i="59" s="1"/>
  <c r="K9" i="59" s="1"/>
  <c r="M9" i="59" s="1"/>
  <c r="D8" i="59"/>
  <c r="I8" i="59" s="1"/>
  <c r="K8" i="59" s="1"/>
  <c r="M8" i="59" s="1"/>
  <c r="CE3" i="5"/>
  <c r="BN3" i="5"/>
  <c r="AW3" i="5"/>
  <c r="AF3" i="5"/>
  <c r="O3" i="5"/>
  <c r="D7" i="59"/>
  <c r="E7" i="59" s="1"/>
  <c r="G7" i="59" s="1"/>
  <c r="I7" i="59" s="1"/>
  <c r="K7" i="59" s="1"/>
  <c r="M7" i="59" s="1"/>
  <c r="D5" i="59"/>
  <c r="E5" i="59" s="1"/>
  <c r="G5" i="59" s="1"/>
  <c r="C49" i="58"/>
  <c r="G49" i="58"/>
  <c r="F49" i="58"/>
  <c r="E49" i="58"/>
  <c r="D49" i="58"/>
  <c r="F7" i="1"/>
  <c r="E7" i="1"/>
  <c r="D7" i="1"/>
  <c r="C7" i="1"/>
  <c r="B7" i="1"/>
  <c r="D4" i="59"/>
  <c r="E4" i="59" s="1"/>
  <c r="C33" i="58"/>
  <c r="B59" i="38"/>
  <c r="F5" i="58"/>
  <c r="B39" i="58" s="1"/>
  <c r="F6" i="58"/>
  <c r="B40" i="58" s="1"/>
  <c r="F7" i="58"/>
  <c r="B41" i="58" s="1"/>
  <c r="F8" i="58"/>
  <c r="B42" i="58" s="1"/>
  <c r="F9" i="58"/>
  <c r="B43" i="58" s="1"/>
  <c r="F10" i="58"/>
  <c r="B44" i="58" s="1"/>
  <c r="F11" i="58"/>
  <c r="B45" i="58" s="1"/>
  <c r="F12" i="58"/>
  <c r="B46" i="58" s="1"/>
  <c r="F13" i="58"/>
  <c r="B47" i="58" s="1"/>
  <c r="F14" i="58"/>
  <c r="B48" i="58" s="1"/>
  <c r="B21" i="31"/>
  <c r="E14" i="31" s="1"/>
  <c r="B20" i="31"/>
  <c r="E13" i="31" s="1"/>
  <c r="C5" i="58"/>
  <c r="C6" i="58"/>
  <c r="C7" i="58"/>
  <c r="C8" i="58"/>
  <c r="C9" i="58"/>
  <c r="C10" i="58"/>
  <c r="C11" i="58"/>
  <c r="C12" i="58"/>
  <c r="C13" i="58"/>
  <c r="C14" i="58"/>
  <c r="C4" i="58"/>
  <c r="B84" i="57"/>
  <c r="B59" i="57"/>
  <c r="C6" i="18" s="1"/>
  <c r="B50" i="57"/>
  <c r="E6" i="20" s="1"/>
  <c r="B48" i="57"/>
  <c r="B31" i="20" s="1"/>
  <c r="K17" i="20"/>
  <c r="C20" i="37"/>
  <c r="C19" i="37"/>
  <c r="C18" i="37"/>
  <c r="B20" i="37"/>
  <c r="B19" i="37"/>
  <c r="B18" i="37"/>
  <c r="C17" i="37"/>
  <c r="B17" i="37"/>
  <c r="D17" i="37" s="1"/>
  <c r="H12" i="37"/>
  <c r="N6" i="5"/>
  <c r="C6" i="2"/>
  <c r="C34" i="23" s="1"/>
  <c r="C33" i="23"/>
  <c r="C6" i="50"/>
  <c r="C5" i="50"/>
  <c r="C4" i="50"/>
  <c r="C2" i="50"/>
  <c r="B3" i="50"/>
  <c r="B6" i="50"/>
  <c r="B5" i="50"/>
  <c r="B4" i="50"/>
  <c r="A6" i="50"/>
  <c r="A5" i="50"/>
  <c r="A4" i="50"/>
  <c r="F19" i="51"/>
  <c r="F18" i="51" s="1"/>
  <c r="C31" i="57" s="1"/>
  <c r="A23" i="50"/>
  <c r="B17" i="50" l="1"/>
  <c r="B23" i="50"/>
  <c r="N22" i="20"/>
  <c r="O22" i="20" s="1"/>
  <c r="R22" i="20"/>
  <c r="S22" i="20" s="1"/>
  <c r="G4" i="1"/>
  <c r="B4" i="1" s="1"/>
  <c r="B31" i="57"/>
  <c r="L21" i="51" s="1"/>
  <c r="D19" i="62"/>
  <c r="D21" i="62" s="1"/>
  <c r="B18" i="23"/>
  <c r="B12" i="25" s="1"/>
  <c r="E20" i="31"/>
  <c r="C19" i="62"/>
  <c r="C21" i="62" s="1"/>
  <c r="B19" i="62"/>
  <c r="B21" i="62" s="1"/>
  <c r="E6" i="59"/>
  <c r="G6" i="59" s="1"/>
  <c r="T9" i="62"/>
  <c r="AA11" i="62"/>
  <c r="D14" i="60"/>
  <c r="F14" i="60"/>
  <c r="F17" i="62"/>
  <c r="AA6" i="62"/>
  <c r="M9" i="62"/>
  <c r="F29" i="60"/>
  <c r="E25" i="60"/>
  <c r="E9" i="59"/>
  <c r="G9" i="59" s="1"/>
  <c r="F26" i="60"/>
  <c r="AH12" i="62"/>
  <c r="AH7" i="62"/>
  <c r="L25" i="20"/>
  <c r="M25" i="20" s="1"/>
  <c r="H30" i="60"/>
  <c r="M10" i="62"/>
  <c r="T8" i="62"/>
  <c r="K25" i="39"/>
  <c r="E7" i="60"/>
  <c r="E14" i="60"/>
  <c r="E18" i="60" s="1"/>
  <c r="P22" i="20"/>
  <c r="Q22" i="20" s="1"/>
  <c r="M8" i="62"/>
  <c r="T12" i="62"/>
  <c r="D29" i="60"/>
  <c r="M7" i="62"/>
  <c r="M12" i="62"/>
  <c r="T10" i="62"/>
  <c r="K32" i="39"/>
  <c r="G32" i="60"/>
  <c r="T21" i="20"/>
  <c r="U21" i="20" s="1"/>
  <c r="AH9" i="62"/>
  <c r="AA12" i="62"/>
  <c r="T6" i="62"/>
  <c r="T25" i="20"/>
  <c r="U25" i="20" s="1"/>
  <c r="K14" i="39"/>
  <c r="N23" i="20"/>
  <c r="O23" i="20" s="1"/>
  <c r="F6" i="62"/>
  <c r="AA8" i="62"/>
  <c r="T7" i="62"/>
  <c r="I6" i="18"/>
  <c r="E10" i="59"/>
  <c r="G10" i="59" s="1"/>
  <c r="B22" i="39"/>
  <c r="K8" i="39"/>
  <c r="K23" i="39"/>
  <c r="E21" i="39" s="1"/>
  <c r="H31" i="60"/>
  <c r="AH11" i="62"/>
  <c r="C18" i="60"/>
  <c r="C22" i="39"/>
  <c r="B5" i="39" s="1"/>
  <c r="G4" i="59"/>
  <c r="M54" i="20"/>
  <c r="M33" i="20"/>
  <c r="M47" i="20"/>
  <c r="M40" i="20"/>
  <c r="M61" i="20"/>
  <c r="F17" i="39"/>
  <c r="G17" i="39"/>
  <c r="M50" i="20"/>
  <c r="M43" i="20"/>
  <c r="M64" i="20"/>
  <c r="M36" i="20"/>
  <c r="M57" i="20"/>
  <c r="M21" i="20"/>
  <c r="M55" i="20"/>
  <c r="M48" i="20"/>
  <c r="M41" i="20"/>
  <c r="M62" i="20"/>
  <c r="M34" i="20"/>
  <c r="K18" i="20"/>
  <c r="L17" i="20"/>
  <c r="K16" i="20"/>
  <c r="G18" i="39"/>
  <c r="F18" i="39"/>
  <c r="M49" i="20"/>
  <c r="M42" i="20"/>
  <c r="M63" i="20"/>
  <c r="M35" i="20"/>
  <c r="M56" i="20"/>
  <c r="F19" i="62"/>
  <c r="F21" i="62" s="1"/>
  <c r="K18" i="39"/>
  <c r="K22" i="39"/>
  <c r="G29" i="60"/>
  <c r="F32" i="60"/>
  <c r="K6" i="18"/>
  <c r="AH8" i="62"/>
  <c r="T11" i="62"/>
  <c r="J16" i="20"/>
  <c r="P54" i="20" s="1"/>
  <c r="L24" i="20"/>
  <c r="M24" i="20" s="1"/>
  <c r="P21" i="20"/>
  <c r="T24" i="20"/>
  <c r="U24" i="20" s="1"/>
  <c r="D17" i="62"/>
  <c r="E8" i="59"/>
  <c r="G8" i="59" s="1"/>
  <c r="J9" i="39"/>
  <c r="K5" i="59"/>
  <c r="M5" i="59" s="1"/>
  <c r="G25" i="60"/>
  <c r="K4" i="39"/>
  <c r="K17" i="39"/>
  <c r="K28" i="39"/>
  <c r="D15" i="60"/>
  <c r="H29" i="60"/>
  <c r="E32" i="60"/>
  <c r="E31" i="60"/>
  <c r="AA7" i="62"/>
  <c r="B17" i="62"/>
  <c r="L23" i="20"/>
  <c r="M23" i="20" s="1"/>
  <c r="P25" i="20"/>
  <c r="Q25" i="20" s="1"/>
  <c r="T23" i="20"/>
  <c r="U23" i="20" s="1"/>
  <c r="C10" i="2"/>
  <c r="J33" i="39"/>
  <c r="G26" i="60"/>
  <c r="K16" i="39"/>
  <c r="G6" i="60"/>
  <c r="H15" i="60"/>
  <c r="E6" i="18"/>
  <c r="D31" i="60"/>
  <c r="AH10" i="62"/>
  <c r="M6" i="62"/>
  <c r="E17" i="62"/>
  <c r="L22" i="20"/>
  <c r="M22" i="20" s="1"/>
  <c r="P24" i="20"/>
  <c r="Q24" i="20" s="1"/>
  <c r="R21" i="20"/>
  <c r="T22" i="20"/>
  <c r="U22" i="20" s="1"/>
  <c r="B6" i="19"/>
  <c r="D6" i="60"/>
  <c r="C25" i="60"/>
  <c r="K7" i="39"/>
  <c r="K31" i="39"/>
  <c r="F6" i="60"/>
  <c r="G12" i="60"/>
  <c r="G15" i="60"/>
  <c r="F16" i="60"/>
  <c r="G6" i="18"/>
  <c r="D32" i="60"/>
  <c r="G30" i="60"/>
  <c r="AA9" i="62"/>
  <c r="E19" i="62"/>
  <c r="E21" i="62" s="1"/>
  <c r="N21" i="20"/>
  <c r="P23" i="20"/>
  <c r="Q23" i="20" s="1"/>
  <c r="R25" i="20"/>
  <c r="S25" i="20" s="1"/>
  <c r="D7" i="60"/>
  <c r="C26" i="60"/>
  <c r="D25" i="60"/>
  <c r="E26" i="60"/>
  <c r="K6" i="39"/>
  <c r="K21" i="39"/>
  <c r="K30" i="39"/>
  <c r="E6" i="60"/>
  <c r="F15" i="60"/>
  <c r="H26" i="60"/>
  <c r="H9" i="60" s="1"/>
  <c r="H10" i="60" s="1"/>
  <c r="B14" i="31"/>
  <c r="E17" i="31" s="1"/>
  <c r="E29" i="60"/>
  <c r="D30" i="60"/>
  <c r="F31" i="60"/>
  <c r="AA10" i="62"/>
  <c r="C17" i="62"/>
  <c r="N25" i="20"/>
  <c r="O25" i="20" s="1"/>
  <c r="R24" i="20"/>
  <c r="S24" i="20" s="1"/>
  <c r="C10" i="60"/>
  <c r="B27" i="31" s="1"/>
  <c r="E19" i="31" s="1"/>
  <c r="D26" i="60"/>
  <c r="K29" i="39"/>
  <c r="G7" i="60"/>
  <c r="H14" i="60"/>
  <c r="E30" i="60"/>
  <c r="F30" i="60"/>
  <c r="M11" i="62"/>
  <c r="N24" i="20"/>
  <c r="O24" i="20" s="1"/>
  <c r="R23" i="20"/>
  <c r="S23" i="20" s="1"/>
  <c r="F25" i="60"/>
  <c r="F7" i="60"/>
  <c r="AH6" i="62"/>
  <c r="F12" i="20"/>
  <c r="F7" i="62"/>
  <c r="F8" i="62"/>
  <c r="F9" i="62"/>
  <c r="F10" i="62"/>
  <c r="F11" i="62"/>
  <c r="F12" i="62"/>
  <c r="B38" i="58"/>
  <c r="B49" i="58" s="1"/>
  <c r="B50" i="58" s="1"/>
  <c r="C50" i="58" s="1"/>
  <c r="D50" i="58" s="1"/>
  <c r="E50" i="58" s="1"/>
  <c r="F50" i="58" s="1"/>
  <c r="G50" i="58" s="1"/>
  <c r="G51" i="58" s="1"/>
  <c r="F15" i="58"/>
  <c r="C20" i="58" s="1" a="1"/>
  <c r="B5" i="31" s="1"/>
  <c r="E19" i="51"/>
  <c r="E18" i="51" s="1"/>
  <c r="C14" i="26"/>
  <c r="C13" i="26" s="1"/>
  <c r="B24" i="52"/>
  <c r="C24" i="52"/>
  <c r="B25" i="52"/>
  <c r="C25" i="52"/>
  <c r="B26" i="52"/>
  <c r="C26" i="52"/>
  <c r="A1012" i="50"/>
  <c r="B1012" i="50" s="1"/>
  <c r="A1011" i="50"/>
  <c r="B1011" i="50" s="1"/>
  <c r="A1010" i="50"/>
  <c r="B1010" i="50" s="1"/>
  <c r="A1009" i="50"/>
  <c r="B1009" i="50" s="1"/>
  <c r="A1008" i="50"/>
  <c r="B1008" i="50" s="1"/>
  <c r="A1007" i="50"/>
  <c r="B1007" i="50" s="1"/>
  <c r="A1006" i="50"/>
  <c r="B1006" i="50" s="1"/>
  <c r="A1005" i="50"/>
  <c r="B1005" i="50" s="1"/>
  <c r="A1004" i="50"/>
  <c r="B1004" i="50" s="1"/>
  <c r="A1003" i="50"/>
  <c r="B1003" i="50" s="1"/>
  <c r="A1002" i="50"/>
  <c r="B1002" i="50" s="1"/>
  <c r="A1001" i="50"/>
  <c r="B1001" i="50" s="1"/>
  <c r="A1000" i="50"/>
  <c r="B1000" i="50" s="1"/>
  <c r="A999" i="50"/>
  <c r="B999" i="50" s="1"/>
  <c r="A998" i="50"/>
  <c r="B998" i="50" s="1"/>
  <c r="A997" i="50"/>
  <c r="B997" i="50" s="1"/>
  <c r="A996" i="50"/>
  <c r="B996" i="50" s="1"/>
  <c r="A995" i="50"/>
  <c r="B995" i="50" s="1"/>
  <c r="A994" i="50"/>
  <c r="B994" i="50" s="1"/>
  <c r="A993" i="50"/>
  <c r="B993" i="50" s="1"/>
  <c r="A992" i="50"/>
  <c r="B992" i="50" s="1"/>
  <c r="A991" i="50"/>
  <c r="B991" i="50" s="1"/>
  <c r="A990" i="50"/>
  <c r="B990" i="50" s="1"/>
  <c r="A989" i="50"/>
  <c r="B989" i="50" s="1"/>
  <c r="A988" i="50"/>
  <c r="B988" i="50" s="1"/>
  <c r="A987" i="50"/>
  <c r="B987" i="50" s="1"/>
  <c r="A986" i="50"/>
  <c r="B986" i="50" s="1"/>
  <c r="A985" i="50"/>
  <c r="B985" i="50" s="1"/>
  <c r="A984" i="50"/>
  <c r="B984" i="50" s="1"/>
  <c r="A983" i="50"/>
  <c r="B983" i="50" s="1"/>
  <c r="A982" i="50"/>
  <c r="B982" i="50" s="1"/>
  <c r="A981" i="50"/>
  <c r="B981" i="50" s="1"/>
  <c r="A980" i="50"/>
  <c r="B980" i="50" s="1"/>
  <c r="A979" i="50"/>
  <c r="B979" i="50" s="1"/>
  <c r="A978" i="50"/>
  <c r="B978" i="50" s="1"/>
  <c r="A977" i="50"/>
  <c r="B977" i="50" s="1"/>
  <c r="A976" i="50"/>
  <c r="B976" i="50" s="1"/>
  <c r="A975" i="50"/>
  <c r="B975" i="50" s="1"/>
  <c r="A974" i="50"/>
  <c r="B974" i="50" s="1"/>
  <c r="A973" i="50"/>
  <c r="B973" i="50" s="1"/>
  <c r="A972" i="50"/>
  <c r="B972" i="50" s="1"/>
  <c r="A971" i="50"/>
  <c r="B971" i="50" s="1"/>
  <c r="A970" i="50"/>
  <c r="B970" i="50" s="1"/>
  <c r="A969" i="50"/>
  <c r="B969" i="50" s="1"/>
  <c r="A968" i="50"/>
  <c r="B968" i="50" s="1"/>
  <c r="A967" i="50"/>
  <c r="B967" i="50" s="1"/>
  <c r="A966" i="50"/>
  <c r="B966" i="50" s="1"/>
  <c r="A965" i="50"/>
  <c r="B965" i="50" s="1"/>
  <c r="A964" i="50"/>
  <c r="B964" i="50" s="1"/>
  <c r="A963" i="50"/>
  <c r="B963" i="50" s="1"/>
  <c r="A962" i="50"/>
  <c r="B962" i="50" s="1"/>
  <c r="A961" i="50"/>
  <c r="B961" i="50" s="1"/>
  <c r="A960" i="50"/>
  <c r="B960" i="50" s="1"/>
  <c r="A959" i="50"/>
  <c r="B959" i="50" s="1"/>
  <c r="A958" i="50"/>
  <c r="B958" i="50" s="1"/>
  <c r="A957" i="50"/>
  <c r="B957" i="50" s="1"/>
  <c r="A956" i="50"/>
  <c r="B956" i="50" s="1"/>
  <c r="A955" i="50"/>
  <c r="B955" i="50" s="1"/>
  <c r="A954" i="50"/>
  <c r="B954" i="50" s="1"/>
  <c r="A953" i="50"/>
  <c r="B953" i="50" s="1"/>
  <c r="A952" i="50"/>
  <c r="B952" i="50" s="1"/>
  <c r="A951" i="50"/>
  <c r="B951" i="50" s="1"/>
  <c r="A950" i="50"/>
  <c r="B950" i="50" s="1"/>
  <c r="A949" i="50"/>
  <c r="B949" i="50" s="1"/>
  <c r="A948" i="50"/>
  <c r="B948" i="50" s="1"/>
  <c r="A947" i="50"/>
  <c r="B947" i="50" s="1"/>
  <c r="A946" i="50"/>
  <c r="B946" i="50" s="1"/>
  <c r="A945" i="50"/>
  <c r="B945" i="50" s="1"/>
  <c r="A944" i="50"/>
  <c r="B944" i="50" s="1"/>
  <c r="A943" i="50"/>
  <c r="B943" i="50" s="1"/>
  <c r="A942" i="50"/>
  <c r="B942" i="50" s="1"/>
  <c r="A941" i="50"/>
  <c r="B941" i="50" s="1"/>
  <c r="A940" i="50"/>
  <c r="B940" i="50" s="1"/>
  <c r="A939" i="50"/>
  <c r="B939" i="50" s="1"/>
  <c r="A938" i="50"/>
  <c r="B938" i="50" s="1"/>
  <c r="A937" i="50"/>
  <c r="B937" i="50" s="1"/>
  <c r="A936" i="50"/>
  <c r="B936" i="50" s="1"/>
  <c r="A935" i="50"/>
  <c r="B935" i="50" s="1"/>
  <c r="A934" i="50"/>
  <c r="B934" i="50" s="1"/>
  <c r="A933" i="50"/>
  <c r="B933" i="50" s="1"/>
  <c r="A932" i="50"/>
  <c r="B932" i="50" s="1"/>
  <c r="A931" i="50"/>
  <c r="B931" i="50" s="1"/>
  <c r="A930" i="50"/>
  <c r="B930" i="50" s="1"/>
  <c r="A929" i="50"/>
  <c r="B929" i="50" s="1"/>
  <c r="A928" i="50"/>
  <c r="B928" i="50" s="1"/>
  <c r="A927" i="50"/>
  <c r="B927" i="50" s="1"/>
  <c r="A926" i="50"/>
  <c r="B926" i="50" s="1"/>
  <c r="A925" i="50"/>
  <c r="B925" i="50" s="1"/>
  <c r="A924" i="50"/>
  <c r="B924" i="50" s="1"/>
  <c r="A923" i="50"/>
  <c r="B923" i="50" s="1"/>
  <c r="A922" i="50"/>
  <c r="B922" i="50" s="1"/>
  <c r="A921" i="50"/>
  <c r="B921" i="50" s="1"/>
  <c r="A920" i="50"/>
  <c r="B920" i="50" s="1"/>
  <c r="A919" i="50"/>
  <c r="B919" i="50" s="1"/>
  <c r="A918" i="50"/>
  <c r="B918" i="50" s="1"/>
  <c r="A917" i="50"/>
  <c r="B917" i="50" s="1"/>
  <c r="A916" i="50"/>
  <c r="B916" i="50" s="1"/>
  <c r="A915" i="50"/>
  <c r="B915" i="50" s="1"/>
  <c r="A914" i="50"/>
  <c r="B914" i="50" s="1"/>
  <c r="A913" i="50"/>
  <c r="B913" i="50" s="1"/>
  <c r="A912" i="50"/>
  <c r="B912" i="50" s="1"/>
  <c r="A911" i="50"/>
  <c r="B911" i="50" s="1"/>
  <c r="A910" i="50"/>
  <c r="B910" i="50" s="1"/>
  <c r="A909" i="50"/>
  <c r="B909" i="50" s="1"/>
  <c r="A908" i="50"/>
  <c r="B908" i="50" s="1"/>
  <c r="A907" i="50"/>
  <c r="B907" i="50" s="1"/>
  <c r="A906" i="50"/>
  <c r="B906" i="50" s="1"/>
  <c r="A905" i="50"/>
  <c r="B905" i="50" s="1"/>
  <c r="A904" i="50"/>
  <c r="B904" i="50" s="1"/>
  <c r="A903" i="50"/>
  <c r="B903" i="50" s="1"/>
  <c r="A902" i="50"/>
  <c r="B902" i="50" s="1"/>
  <c r="A901" i="50"/>
  <c r="B901" i="50" s="1"/>
  <c r="A900" i="50"/>
  <c r="B900" i="50" s="1"/>
  <c r="A899" i="50"/>
  <c r="B899" i="50" s="1"/>
  <c r="A898" i="50"/>
  <c r="B898" i="50" s="1"/>
  <c r="A897" i="50"/>
  <c r="B897" i="50" s="1"/>
  <c r="A896" i="50"/>
  <c r="B896" i="50" s="1"/>
  <c r="A895" i="50"/>
  <c r="B895" i="50" s="1"/>
  <c r="A894" i="50"/>
  <c r="B894" i="50" s="1"/>
  <c r="A893" i="50"/>
  <c r="B893" i="50" s="1"/>
  <c r="A892" i="50"/>
  <c r="B892" i="50" s="1"/>
  <c r="A891" i="50"/>
  <c r="B891" i="50" s="1"/>
  <c r="A890" i="50"/>
  <c r="B890" i="50" s="1"/>
  <c r="A889" i="50"/>
  <c r="B889" i="50" s="1"/>
  <c r="A888" i="50"/>
  <c r="B888" i="50" s="1"/>
  <c r="A887" i="50"/>
  <c r="B887" i="50" s="1"/>
  <c r="A886" i="50"/>
  <c r="B886" i="50" s="1"/>
  <c r="A885" i="50"/>
  <c r="B885" i="50" s="1"/>
  <c r="A884" i="50"/>
  <c r="B884" i="50" s="1"/>
  <c r="A883" i="50"/>
  <c r="B883" i="50" s="1"/>
  <c r="A882" i="50"/>
  <c r="B882" i="50" s="1"/>
  <c r="A881" i="50"/>
  <c r="B881" i="50" s="1"/>
  <c r="A880" i="50"/>
  <c r="B880" i="50" s="1"/>
  <c r="A879" i="50"/>
  <c r="B879" i="50" s="1"/>
  <c r="A878" i="50"/>
  <c r="B878" i="50" s="1"/>
  <c r="A877" i="50"/>
  <c r="B877" i="50" s="1"/>
  <c r="A876" i="50"/>
  <c r="B876" i="50" s="1"/>
  <c r="A875" i="50"/>
  <c r="B875" i="50" s="1"/>
  <c r="A874" i="50"/>
  <c r="B874" i="50" s="1"/>
  <c r="A873" i="50"/>
  <c r="B873" i="50" s="1"/>
  <c r="A872" i="50"/>
  <c r="B872" i="50" s="1"/>
  <c r="A871" i="50"/>
  <c r="B871" i="50" s="1"/>
  <c r="A870" i="50"/>
  <c r="B870" i="50" s="1"/>
  <c r="A869" i="50"/>
  <c r="B869" i="50" s="1"/>
  <c r="A868" i="50"/>
  <c r="B868" i="50" s="1"/>
  <c r="A867" i="50"/>
  <c r="B867" i="50" s="1"/>
  <c r="A866" i="50"/>
  <c r="B866" i="50" s="1"/>
  <c r="A865" i="50"/>
  <c r="B865" i="50" s="1"/>
  <c r="A864" i="50"/>
  <c r="B864" i="50" s="1"/>
  <c r="A863" i="50"/>
  <c r="B863" i="50" s="1"/>
  <c r="A862" i="50"/>
  <c r="B862" i="50" s="1"/>
  <c r="A861" i="50"/>
  <c r="B861" i="50" s="1"/>
  <c r="A860" i="50"/>
  <c r="B860" i="50" s="1"/>
  <c r="A859" i="50"/>
  <c r="B859" i="50" s="1"/>
  <c r="A858" i="50"/>
  <c r="B858" i="50" s="1"/>
  <c r="A857" i="50"/>
  <c r="B857" i="50" s="1"/>
  <c r="A856" i="50"/>
  <c r="B856" i="50" s="1"/>
  <c r="A855" i="50"/>
  <c r="B855" i="50" s="1"/>
  <c r="A854" i="50"/>
  <c r="B854" i="50" s="1"/>
  <c r="A853" i="50"/>
  <c r="B853" i="50" s="1"/>
  <c r="A852" i="50"/>
  <c r="B852" i="50" s="1"/>
  <c r="A851" i="50"/>
  <c r="B851" i="50" s="1"/>
  <c r="A850" i="50"/>
  <c r="B850" i="50" s="1"/>
  <c r="A849" i="50"/>
  <c r="B849" i="50" s="1"/>
  <c r="A848" i="50"/>
  <c r="B848" i="50" s="1"/>
  <c r="A847" i="50"/>
  <c r="B847" i="50" s="1"/>
  <c r="A846" i="50"/>
  <c r="B846" i="50" s="1"/>
  <c r="A845" i="50"/>
  <c r="B845" i="50" s="1"/>
  <c r="A844" i="50"/>
  <c r="B844" i="50" s="1"/>
  <c r="A843" i="50"/>
  <c r="B843" i="50" s="1"/>
  <c r="A842" i="50"/>
  <c r="B842" i="50" s="1"/>
  <c r="A841" i="50"/>
  <c r="B841" i="50" s="1"/>
  <c r="A840" i="50"/>
  <c r="B840" i="50" s="1"/>
  <c r="A839" i="50"/>
  <c r="B839" i="50" s="1"/>
  <c r="A838" i="50"/>
  <c r="B838" i="50" s="1"/>
  <c r="A837" i="50"/>
  <c r="B837" i="50" s="1"/>
  <c r="A836" i="50"/>
  <c r="B836" i="50" s="1"/>
  <c r="A835" i="50"/>
  <c r="B835" i="50" s="1"/>
  <c r="A834" i="50"/>
  <c r="B834" i="50" s="1"/>
  <c r="A833" i="50"/>
  <c r="B833" i="50" s="1"/>
  <c r="A832" i="50"/>
  <c r="B832" i="50" s="1"/>
  <c r="A831" i="50"/>
  <c r="B831" i="50" s="1"/>
  <c r="A830" i="50"/>
  <c r="B830" i="50" s="1"/>
  <c r="A829" i="50"/>
  <c r="B829" i="50" s="1"/>
  <c r="A828" i="50"/>
  <c r="B828" i="50" s="1"/>
  <c r="A827" i="50"/>
  <c r="B827" i="50" s="1"/>
  <c r="A826" i="50"/>
  <c r="B826" i="50" s="1"/>
  <c r="A825" i="50"/>
  <c r="B825" i="50" s="1"/>
  <c r="A824" i="50"/>
  <c r="B824" i="50" s="1"/>
  <c r="A823" i="50"/>
  <c r="B823" i="50" s="1"/>
  <c r="A822" i="50"/>
  <c r="B822" i="50" s="1"/>
  <c r="A821" i="50"/>
  <c r="B821" i="50" s="1"/>
  <c r="A820" i="50"/>
  <c r="B820" i="50" s="1"/>
  <c r="A819" i="50"/>
  <c r="B819" i="50" s="1"/>
  <c r="A818" i="50"/>
  <c r="B818" i="50" s="1"/>
  <c r="A817" i="50"/>
  <c r="B817" i="50" s="1"/>
  <c r="A816" i="50"/>
  <c r="B816" i="50" s="1"/>
  <c r="A815" i="50"/>
  <c r="B815" i="50" s="1"/>
  <c r="A814" i="50"/>
  <c r="B814" i="50" s="1"/>
  <c r="A813" i="50"/>
  <c r="B813" i="50" s="1"/>
  <c r="A812" i="50"/>
  <c r="B812" i="50" s="1"/>
  <c r="A811" i="50"/>
  <c r="B811" i="50" s="1"/>
  <c r="A810" i="50"/>
  <c r="B810" i="50" s="1"/>
  <c r="A809" i="50"/>
  <c r="B809" i="50" s="1"/>
  <c r="A808" i="50"/>
  <c r="B808" i="50" s="1"/>
  <c r="A807" i="50"/>
  <c r="B807" i="50" s="1"/>
  <c r="A806" i="50"/>
  <c r="B806" i="50" s="1"/>
  <c r="A805" i="50"/>
  <c r="B805" i="50" s="1"/>
  <c r="A804" i="50"/>
  <c r="B804" i="50" s="1"/>
  <c r="A803" i="50"/>
  <c r="B803" i="50" s="1"/>
  <c r="A802" i="50"/>
  <c r="B802" i="50" s="1"/>
  <c r="A801" i="50"/>
  <c r="B801" i="50" s="1"/>
  <c r="A800" i="50"/>
  <c r="B800" i="50" s="1"/>
  <c r="A799" i="50"/>
  <c r="B799" i="50" s="1"/>
  <c r="A798" i="50"/>
  <c r="B798" i="50" s="1"/>
  <c r="A797" i="50"/>
  <c r="B797" i="50" s="1"/>
  <c r="A796" i="50"/>
  <c r="B796" i="50" s="1"/>
  <c r="A795" i="50"/>
  <c r="B795" i="50" s="1"/>
  <c r="A794" i="50"/>
  <c r="B794" i="50" s="1"/>
  <c r="A793" i="50"/>
  <c r="B793" i="50" s="1"/>
  <c r="A792" i="50"/>
  <c r="B792" i="50" s="1"/>
  <c r="A791" i="50"/>
  <c r="B791" i="50" s="1"/>
  <c r="A790" i="50"/>
  <c r="B790" i="50" s="1"/>
  <c r="A789" i="50"/>
  <c r="B789" i="50" s="1"/>
  <c r="A788" i="50"/>
  <c r="B788" i="50" s="1"/>
  <c r="A787" i="50"/>
  <c r="B787" i="50" s="1"/>
  <c r="A786" i="50"/>
  <c r="B786" i="50" s="1"/>
  <c r="A785" i="50"/>
  <c r="B785" i="50" s="1"/>
  <c r="A784" i="50"/>
  <c r="B784" i="50" s="1"/>
  <c r="A783" i="50"/>
  <c r="B783" i="50" s="1"/>
  <c r="A782" i="50"/>
  <c r="B782" i="50" s="1"/>
  <c r="A781" i="50"/>
  <c r="B781" i="50" s="1"/>
  <c r="A780" i="50"/>
  <c r="B780" i="50" s="1"/>
  <c r="A779" i="50"/>
  <c r="B779" i="50" s="1"/>
  <c r="A778" i="50"/>
  <c r="B778" i="50" s="1"/>
  <c r="A777" i="50"/>
  <c r="B777" i="50" s="1"/>
  <c r="A776" i="50"/>
  <c r="B776" i="50" s="1"/>
  <c r="A775" i="50"/>
  <c r="B775" i="50" s="1"/>
  <c r="A774" i="50"/>
  <c r="B774" i="50" s="1"/>
  <c r="A773" i="50"/>
  <c r="B773" i="50" s="1"/>
  <c r="A772" i="50"/>
  <c r="B772" i="50" s="1"/>
  <c r="A771" i="50"/>
  <c r="B771" i="50" s="1"/>
  <c r="A770" i="50"/>
  <c r="B770" i="50" s="1"/>
  <c r="A769" i="50"/>
  <c r="B769" i="50" s="1"/>
  <c r="A768" i="50"/>
  <c r="B768" i="50" s="1"/>
  <c r="A767" i="50"/>
  <c r="B767" i="50" s="1"/>
  <c r="A766" i="50"/>
  <c r="B766" i="50" s="1"/>
  <c r="A765" i="50"/>
  <c r="B765" i="50" s="1"/>
  <c r="A764" i="50"/>
  <c r="B764" i="50" s="1"/>
  <c r="A763" i="50"/>
  <c r="B763" i="50" s="1"/>
  <c r="A762" i="50"/>
  <c r="B762" i="50" s="1"/>
  <c r="A761" i="50"/>
  <c r="B761" i="50" s="1"/>
  <c r="A760" i="50"/>
  <c r="B760" i="50" s="1"/>
  <c r="A759" i="50"/>
  <c r="B759" i="50" s="1"/>
  <c r="A758" i="50"/>
  <c r="B758" i="50" s="1"/>
  <c r="A757" i="50"/>
  <c r="B757" i="50" s="1"/>
  <c r="A756" i="50"/>
  <c r="B756" i="50" s="1"/>
  <c r="A755" i="50"/>
  <c r="B755" i="50" s="1"/>
  <c r="A754" i="50"/>
  <c r="B754" i="50" s="1"/>
  <c r="A753" i="50"/>
  <c r="B753" i="50" s="1"/>
  <c r="A752" i="50"/>
  <c r="B752" i="50" s="1"/>
  <c r="A751" i="50"/>
  <c r="B751" i="50" s="1"/>
  <c r="A750" i="50"/>
  <c r="B750" i="50" s="1"/>
  <c r="A749" i="50"/>
  <c r="B749" i="50" s="1"/>
  <c r="A748" i="50"/>
  <c r="B748" i="50" s="1"/>
  <c r="A747" i="50"/>
  <c r="B747" i="50" s="1"/>
  <c r="A746" i="50"/>
  <c r="B746" i="50" s="1"/>
  <c r="A745" i="50"/>
  <c r="B745" i="50" s="1"/>
  <c r="A744" i="50"/>
  <c r="B744" i="50" s="1"/>
  <c r="A743" i="50"/>
  <c r="B743" i="50" s="1"/>
  <c r="A742" i="50"/>
  <c r="B742" i="50" s="1"/>
  <c r="A741" i="50"/>
  <c r="B741" i="50" s="1"/>
  <c r="A740" i="50"/>
  <c r="B740" i="50" s="1"/>
  <c r="A739" i="50"/>
  <c r="B739" i="50" s="1"/>
  <c r="A738" i="50"/>
  <c r="B738" i="50" s="1"/>
  <c r="A737" i="50"/>
  <c r="B737" i="50" s="1"/>
  <c r="A736" i="50"/>
  <c r="B736" i="50" s="1"/>
  <c r="A735" i="50"/>
  <c r="B735" i="50" s="1"/>
  <c r="A734" i="50"/>
  <c r="B734" i="50" s="1"/>
  <c r="A733" i="50"/>
  <c r="B733" i="50" s="1"/>
  <c r="A732" i="50"/>
  <c r="B732" i="50" s="1"/>
  <c r="A731" i="50"/>
  <c r="B731" i="50" s="1"/>
  <c r="A730" i="50"/>
  <c r="B730" i="50" s="1"/>
  <c r="A729" i="50"/>
  <c r="B729" i="50" s="1"/>
  <c r="A728" i="50"/>
  <c r="B728" i="50" s="1"/>
  <c r="A727" i="50"/>
  <c r="B727" i="50" s="1"/>
  <c r="A726" i="50"/>
  <c r="B726" i="50" s="1"/>
  <c r="A725" i="50"/>
  <c r="B725" i="50" s="1"/>
  <c r="A724" i="50"/>
  <c r="B724" i="50" s="1"/>
  <c r="A723" i="50"/>
  <c r="B723" i="50" s="1"/>
  <c r="A722" i="50"/>
  <c r="B722" i="50" s="1"/>
  <c r="A721" i="50"/>
  <c r="B721" i="50" s="1"/>
  <c r="A720" i="50"/>
  <c r="B720" i="50" s="1"/>
  <c r="A719" i="50"/>
  <c r="B719" i="50" s="1"/>
  <c r="A718" i="50"/>
  <c r="B718" i="50" s="1"/>
  <c r="A717" i="50"/>
  <c r="B717" i="50" s="1"/>
  <c r="A716" i="50"/>
  <c r="B716" i="50" s="1"/>
  <c r="A715" i="50"/>
  <c r="B715" i="50" s="1"/>
  <c r="A714" i="50"/>
  <c r="B714" i="50" s="1"/>
  <c r="A713" i="50"/>
  <c r="B713" i="50" s="1"/>
  <c r="A712" i="50"/>
  <c r="B712" i="50" s="1"/>
  <c r="A711" i="50"/>
  <c r="B711" i="50" s="1"/>
  <c r="A710" i="50"/>
  <c r="B710" i="50" s="1"/>
  <c r="A709" i="50"/>
  <c r="B709" i="50" s="1"/>
  <c r="A708" i="50"/>
  <c r="B708" i="50" s="1"/>
  <c r="A707" i="50"/>
  <c r="B707" i="50" s="1"/>
  <c r="A706" i="50"/>
  <c r="B706" i="50" s="1"/>
  <c r="A705" i="50"/>
  <c r="B705" i="50" s="1"/>
  <c r="A704" i="50"/>
  <c r="B704" i="50" s="1"/>
  <c r="A703" i="50"/>
  <c r="B703" i="50" s="1"/>
  <c r="A702" i="50"/>
  <c r="B702" i="50" s="1"/>
  <c r="A701" i="50"/>
  <c r="B701" i="50" s="1"/>
  <c r="A700" i="50"/>
  <c r="B700" i="50" s="1"/>
  <c r="A699" i="50"/>
  <c r="B699" i="50" s="1"/>
  <c r="A698" i="50"/>
  <c r="B698" i="50" s="1"/>
  <c r="A697" i="50"/>
  <c r="B697" i="50" s="1"/>
  <c r="A696" i="50"/>
  <c r="B696" i="50" s="1"/>
  <c r="A695" i="50"/>
  <c r="B695" i="50" s="1"/>
  <c r="A694" i="50"/>
  <c r="B694" i="50" s="1"/>
  <c r="A693" i="50"/>
  <c r="B693" i="50" s="1"/>
  <c r="A692" i="50"/>
  <c r="B692" i="50" s="1"/>
  <c r="A691" i="50"/>
  <c r="B691" i="50" s="1"/>
  <c r="A690" i="50"/>
  <c r="B690" i="50" s="1"/>
  <c r="A689" i="50"/>
  <c r="B689" i="50" s="1"/>
  <c r="A688" i="50"/>
  <c r="B688" i="50" s="1"/>
  <c r="A687" i="50"/>
  <c r="B687" i="50" s="1"/>
  <c r="A686" i="50"/>
  <c r="B686" i="50" s="1"/>
  <c r="A685" i="50"/>
  <c r="B685" i="50" s="1"/>
  <c r="A684" i="50"/>
  <c r="B684" i="50" s="1"/>
  <c r="A683" i="50"/>
  <c r="B683" i="50" s="1"/>
  <c r="A682" i="50"/>
  <c r="B682" i="50" s="1"/>
  <c r="A681" i="50"/>
  <c r="B681" i="50" s="1"/>
  <c r="A680" i="50"/>
  <c r="B680" i="50" s="1"/>
  <c r="A679" i="50"/>
  <c r="B679" i="50" s="1"/>
  <c r="A678" i="50"/>
  <c r="B678" i="50" s="1"/>
  <c r="A677" i="50"/>
  <c r="B677" i="50" s="1"/>
  <c r="A676" i="50"/>
  <c r="B676" i="50" s="1"/>
  <c r="A675" i="50"/>
  <c r="B675" i="50" s="1"/>
  <c r="A674" i="50"/>
  <c r="B674" i="50" s="1"/>
  <c r="A673" i="50"/>
  <c r="B673" i="50" s="1"/>
  <c r="A672" i="50"/>
  <c r="B672" i="50" s="1"/>
  <c r="A671" i="50"/>
  <c r="B671" i="50" s="1"/>
  <c r="A670" i="50"/>
  <c r="B670" i="50" s="1"/>
  <c r="A669" i="50"/>
  <c r="B669" i="50" s="1"/>
  <c r="A668" i="50"/>
  <c r="B668" i="50" s="1"/>
  <c r="A667" i="50"/>
  <c r="B667" i="50" s="1"/>
  <c r="A666" i="50"/>
  <c r="B666" i="50" s="1"/>
  <c r="A665" i="50"/>
  <c r="B665" i="50" s="1"/>
  <c r="A664" i="50"/>
  <c r="B664" i="50" s="1"/>
  <c r="A663" i="50"/>
  <c r="B663" i="50" s="1"/>
  <c r="A662" i="50"/>
  <c r="B662" i="50" s="1"/>
  <c r="A661" i="50"/>
  <c r="B661" i="50" s="1"/>
  <c r="A660" i="50"/>
  <c r="B660" i="50" s="1"/>
  <c r="A659" i="50"/>
  <c r="B659" i="50" s="1"/>
  <c r="A658" i="50"/>
  <c r="B658" i="50" s="1"/>
  <c r="A657" i="50"/>
  <c r="B657" i="50" s="1"/>
  <c r="A656" i="50"/>
  <c r="B656" i="50" s="1"/>
  <c r="A655" i="50"/>
  <c r="B655" i="50" s="1"/>
  <c r="A654" i="50"/>
  <c r="B654" i="50" s="1"/>
  <c r="A653" i="50"/>
  <c r="B653" i="50" s="1"/>
  <c r="A652" i="50"/>
  <c r="B652" i="50" s="1"/>
  <c r="A651" i="50"/>
  <c r="B651" i="50" s="1"/>
  <c r="A650" i="50"/>
  <c r="B650" i="50" s="1"/>
  <c r="A649" i="50"/>
  <c r="B649" i="50" s="1"/>
  <c r="A648" i="50"/>
  <c r="B648" i="50" s="1"/>
  <c r="A647" i="50"/>
  <c r="B647" i="50" s="1"/>
  <c r="A646" i="50"/>
  <c r="B646" i="50" s="1"/>
  <c r="A645" i="50"/>
  <c r="B645" i="50" s="1"/>
  <c r="A644" i="50"/>
  <c r="B644" i="50" s="1"/>
  <c r="A643" i="50"/>
  <c r="B643" i="50" s="1"/>
  <c r="A642" i="50"/>
  <c r="B642" i="50" s="1"/>
  <c r="A641" i="50"/>
  <c r="B641" i="50" s="1"/>
  <c r="A640" i="50"/>
  <c r="B640" i="50" s="1"/>
  <c r="A639" i="50"/>
  <c r="B639" i="50" s="1"/>
  <c r="A638" i="50"/>
  <c r="B638" i="50" s="1"/>
  <c r="A637" i="50"/>
  <c r="B637" i="50" s="1"/>
  <c r="A636" i="50"/>
  <c r="B636" i="50" s="1"/>
  <c r="A635" i="50"/>
  <c r="B635" i="50" s="1"/>
  <c r="A634" i="50"/>
  <c r="B634" i="50" s="1"/>
  <c r="A633" i="50"/>
  <c r="B633" i="50" s="1"/>
  <c r="A632" i="50"/>
  <c r="B632" i="50" s="1"/>
  <c r="A631" i="50"/>
  <c r="B631" i="50" s="1"/>
  <c r="A630" i="50"/>
  <c r="B630" i="50" s="1"/>
  <c r="A629" i="50"/>
  <c r="B629" i="50" s="1"/>
  <c r="A628" i="50"/>
  <c r="B628" i="50" s="1"/>
  <c r="A627" i="50"/>
  <c r="B627" i="50" s="1"/>
  <c r="A626" i="50"/>
  <c r="B626" i="50" s="1"/>
  <c r="A625" i="50"/>
  <c r="B625" i="50" s="1"/>
  <c r="A624" i="50"/>
  <c r="B624" i="50" s="1"/>
  <c r="A623" i="50"/>
  <c r="B623" i="50" s="1"/>
  <c r="A622" i="50"/>
  <c r="B622" i="50" s="1"/>
  <c r="A621" i="50"/>
  <c r="B621" i="50" s="1"/>
  <c r="A620" i="50"/>
  <c r="B620" i="50" s="1"/>
  <c r="A619" i="50"/>
  <c r="B619" i="50" s="1"/>
  <c r="A618" i="50"/>
  <c r="B618" i="50" s="1"/>
  <c r="A617" i="50"/>
  <c r="B617" i="50" s="1"/>
  <c r="A616" i="50"/>
  <c r="B616" i="50" s="1"/>
  <c r="A615" i="50"/>
  <c r="B615" i="50" s="1"/>
  <c r="A614" i="50"/>
  <c r="B614" i="50" s="1"/>
  <c r="A613" i="50"/>
  <c r="B613" i="50" s="1"/>
  <c r="A612" i="50"/>
  <c r="B612" i="50" s="1"/>
  <c r="A611" i="50"/>
  <c r="B611" i="50" s="1"/>
  <c r="A610" i="50"/>
  <c r="B610" i="50" s="1"/>
  <c r="A609" i="50"/>
  <c r="B609" i="50" s="1"/>
  <c r="A608" i="50"/>
  <c r="B608" i="50" s="1"/>
  <c r="A607" i="50"/>
  <c r="B607" i="50" s="1"/>
  <c r="A606" i="50"/>
  <c r="B606" i="50" s="1"/>
  <c r="A605" i="50"/>
  <c r="B605" i="50" s="1"/>
  <c r="A604" i="50"/>
  <c r="B604" i="50" s="1"/>
  <c r="A603" i="50"/>
  <c r="B603" i="50" s="1"/>
  <c r="A602" i="50"/>
  <c r="B602" i="50" s="1"/>
  <c r="A601" i="50"/>
  <c r="B601" i="50" s="1"/>
  <c r="A600" i="50"/>
  <c r="B600" i="50" s="1"/>
  <c r="A599" i="50"/>
  <c r="B599" i="50" s="1"/>
  <c r="A598" i="50"/>
  <c r="B598" i="50" s="1"/>
  <c r="A597" i="50"/>
  <c r="B597" i="50" s="1"/>
  <c r="A596" i="50"/>
  <c r="B596" i="50" s="1"/>
  <c r="A595" i="50"/>
  <c r="B595" i="50" s="1"/>
  <c r="A594" i="50"/>
  <c r="B594" i="50" s="1"/>
  <c r="A593" i="50"/>
  <c r="B593" i="50" s="1"/>
  <c r="A592" i="50"/>
  <c r="B592" i="50" s="1"/>
  <c r="A591" i="50"/>
  <c r="B591" i="50" s="1"/>
  <c r="A590" i="50"/>
  <c r="B590" i="50" s="1"/>
  <c r="A589" i="50"/>
  <c r="B589" i="50" s="1"/>
  <c r="A588" i="50"/>
  <c r="B588" i="50" s="1"/>
  <c r="A587" i="50"/>
  <c r="B587" i="50" s="1"/>
  <c r="A586" i="50"/>
  <c r="B586" i="50" s="1"/>
  <c r="A585" i="50"/>
  <c r="B585" i="50" s="1"/>
  <c r="A584" i="50"/>
  <c r="B584" i="50" s="1"/>
  <c r="A583" i="50"/>
  <c r="B583" i="50" s="1"/>
  <c r="A582" i="50"/>
  <c r="B582" i="50" s="1"/>
  <c r="A581" i="50"/>
  <c r="B581" i="50" s="1"/>
  <c r="A580" i="50"/>
  <c r="B580" i="50" s="1"/>
  <c r="A579" i="50"/>
  <c r="B579" i="50" s="1"/>
  <c r="A578" i="50"/>
  <c r="B578" i="50" s="1"/>
  <c r="A577" i="50"/>
  <c r="B577" i="50" s="1"/>
  <c r="A576" i="50"/>
  <c r="B576" i="50" s="1"/>
  <c r="A575" i="50"/>
  <c r="B575" i="50" s="1"/>
  <c r="A574" i="50"/>
  <c r="B574" i="50" s="1"/>
  <c r="A573" i="50"/>
  <c r="B573" i="50" s="1"/>
  <c r="A572" i="50"/>
  <c r="B572" i="50" s="1"/>
  <c r="A571" i="50"/>
  <c r="B571" i="50" s="1"/>
  <c r="A570" i="50"/>
  <c r="B570" i="50" s="1"/>
  <c r="A569" i="50"/>
  <c r="B569" i="50" s="1"/>
  <c r="A568" i="50"/>
  <c r="B568" i="50" s="1"/>
  <c r="A567" i="50"/>
  <c r="B567" i="50" s="1"/>
  <c r="A566" i="50"/>
  <c r="B566" i="50" s="1"/>
  <c r="A565" i="50"/>
  <c r="B565" i="50" s="1"/>
  <c r="A564" i="50"/>
  <c r="B564" i="50" s="1"/>
  <c r="A563" i="50"/>
  <c r="B563" i="50" s="1"/>
  <c r="A562" i="50"/>
  <c r="B562" i="50" s="1"/>
  <c r="A561" i="50"/>
  <c r="B561" i="50" s="1"/>
  <c r="A560" i="50"/>
  <c r="B560" i="50" s="1"/>
  <c r="A559" i="50"/>
  <c r="B559" i="50" s="1"/>
  <c r="A558" i="50"/>
  <c r="B558" i="50" s="1"/>
  <c r="A557" i="50"/>
  <c r="B557" i="50" s="1"/>
  <c r="A556" i="50"/>
  <c r="B556" i="50" s="1"/>
  <c r="A555" i="50"/>
  <c r="B555" i="50" s="1"/>
  <c r="A554" i="50"/>
  <c r="B554" i="50" s="1"/>
  <c r="A553" i="50"/>
  <c r="B553" i="50" s="1"/>
  <c r="A552" i="50"/>
  <c r="B552" i="50" s="1"/>
  <c r="A551" i="50"/>
  <c r="B551" i="50" s="1"/>
  <c r="A550" i="50"/>
  <c r="B550" i="50" s="1"/>
  <c r="A549" i="50"/>
  <c r="B549" i="50" s="1"/>
  <c r="A548" i="50"/>
  <c r="B548" i="50" s="1"/>
  <c r="A547" i="50"/>
  <c r="B547" i="50" s="1"/>
  <c r="A546" i="50"/>
  <c r="B546" i="50" s="1"/>
  <c r="A545" i="50"/>
  <c r="B545" i="50" s="1"/>
  <c r="A544" i="50"/>
  <c r="B544" i="50" s="1"/>
  <c r="A543" i="50"/>
  <c r="B543" i="50" s="1"/>
  <c r="A542" i="50"/>
  <c r="B542" i="50" s="1"/>
  <c r="A541" i="50"/>
  <c r="B541" i="50" s="1"/>
  <c r="A540" i="50"/>
  <c r="B540" i="50" s="1"/>
  <c r="A539" i="50"/>
  <c r="B539" i="50" s="1"/>
  <c r="A538" i="50"/>
  <c r="B538" i="50" s="1"/>
  <c r="A537" i="50"/>
  <c r="B537" i="50" s="1"/>
  <c r="A536" i="50"/>
  <c r="B536" i="50" s="1"/>
  <c r="A535" i="50"/>
  <c r="B535" i="50" s="1"/>
  <c r="A534" i="50"/>
  <c r="B534" i="50" s="1"/>
  <c r="A533" i="50"/>
  <c r="B533" i="50" s="1"/>
  <c r="A532" i="50"/>
  <c r="B532" i="50" s="1"/>
  <c r="A531" i="50"/>
  <c r="B531" i="50" s="1"/>
  <c r="A530" i="50"/>
  <c r="B530" i="50" s="1"/>
  <c r="A529" i="50"/>
  <c r="B529" i="50" s="1"/>
  <c r="A528" i="50"/>
  <c r="B528" i="50" s="1"/>
  <c r="A527" i="50"/>
  <c r="B527" i="50" s="1"/>
  <c r="A526" i="50"/>
  <c r="B526" i="50" s="1"/>
  <c r="A525" i="50"/>
  <c r="B525" i="50" s="1"/>
  <c r="A524" i="50"/>
  <c r="B524" i="50" s="1"/>
  <c r="A523" i="50"/>
  <c r="B523" i="50" s="1"/>
  <c r="A522" i="50"/>
  <c r="B522" i="50" s="1"/>
  <c r="A521" i="50"/>
  <c r="B521" i="50" s="1"/>
  <c r="A520" i="50"/>
  <c r="B520" i="50" s="1"/>
  <c r="A519" i="50"/>
  <c r="B519" i="50" s="1"/>
  <c r="A518" i="50"/>
  <c r="B518" i="50" s="1"/>
  <c r="A517" i="50"/>
  <c r="B517" i="50" s="1"/>
  <c r="A516" i="50"/>
  <c r="B516" i="50" s="1"/>
  <c r="A515" i="50"/>
  <c r="B515" i="50" s="1"/>
  <c r="A514" i="50"/>
  <c r="B514" i="50" s="1"/>
  <c r="A513" i="50"/>
  <c r="B513" i="50" s="1"/>
  <c r="A512" i="50"/>
  <c r="B512" i="50" s="1"/>
  <c r="A511" i="50"/>
  <c r="B511" i="50" s="1"/>
  <c r="A510" i="50"/>
  <c r="B510" i="50" s="1"/>
  <c r="A509" i="50"/>
  <c r="B509" i="50" s="1"/>
  <c r="A508" i="50"/>
  <c r="B508" i="50" s="1"/>
  <c r="A507" i="50"/>
  <c r="B507" i="50" s="1"/>
  <c r="A506" i="50"/>
  <c r="B506" i="50" s="1"/>
  <c r="A505" i="50"/>
  <c r="B505" i="50" s="1"/>
  <c r="A504" i="50"/>
  <c r="B504" i="50" s="1"/>
  <c r="A503" i="50"/>
  <c r="B503" i="50" s="1"/>
  <c r="A502" i="50"/>
  <c r="B502" i="50" s="1"/>
  <c r="A501" i="50"/>
  <c r="B501" i="50" s="1"/>
  <c r="A500" i="50"/>
  <c r="B500" i="50" s="1"/>
  <c r="A499" i="50"/>
  <c r="B499" i="50" s="1"/>
  <c r="A498" i="50"/>
  <c r="B498" i="50" s="1"/>
  <c r="A497" i="50"/>
  <c r="B497" i="50" s="1"/>
  <c r="A496" i="50"/>
  <c r="B496" i="50" s="1"/>
  <c r="A495" i="50"/>
  <c r="B495" i="50" s="1"/>
  <c r="A494" i="50"/>
  <c r="B494" i="50" s="1"/>
  <c r="A493" i="50"/>
  <c r="B493" i="50" s="1"/>
  <c r="A492" i="50"/>
  <c r="B492" i="50" s="1"/>
  <c r="A491" i="50"/>
  <c r="B491" i="50" s="1"/>
  <c r="A490" i="50"/>
  <c r="B490" i="50" s="1"/>
  <c r="A489" i="50"/>
  <c r="B489" i="50" s="1"/>
  <c r="A488" i="50"/>
  <c r="B488" i="50" s="1"/>
  <c r="A487" i="50"/>
  <c r="B487" i="50" s="1"/>
  <c r="A486" i="50"/>
  <c r="B486" i="50" s="1"/>
  <c r="A485" i="50"/>
  <c r="B485" i="50" s="1"/>
  <c r="A484" i="50"/>
  <c r="B484" i="50" s="1"/>
  <c r="A483" i="50"/>
  <c r="B483" i="50" s="1"/>
  <c r="A482" i="50"/>
  <c r="B482" i="50" s="1"/>
  <c r="A481" i="50"/>
  <c r="B481" i="50" s="1"/>
  <c r="A480" i="50"/>
  <c r="B480" i="50" s="1"/>
  <c r="A479" i="50"/>
  <c r="B479" i="50" s="1"/>
  <c r="A478" i="50"/>
  <c r="B478" i="50" s="1"/>
  <c r="A477" i="50"/>
  <c r="B477" i="50" s="1"/>
  <c r="A476" i="50"/>
  <c r="B476" i="50" s="1"/>
  <c r="A475" i="50"/>
  <c r="B475" i="50" s="1"/>
  <c r="A474" i="50"/>
  <c r="B474" i="50" s="1"/>
  <c r="A473" i="50"/>
  <c r="B473" i="50" s="1"/>
  <c r="A472" i="50"/>
  <c r="B472" i="50" s="1"/>
  <c r="A471" i="50"/>
  <c r="B471" i="50" s="1"/>
  <c r="A470" i="50"/>
  <c r="B470" i="50" s="1"/>
  <c r="A469" i="50"/>
  <c r="B469" i="50" s="1"/>
  <c r="A468" i="50"/>
  <c r="B468" i="50" s="1"/>
  <c r="A467" i="50"/>
  <c r="B467" i="50" s="1"/>
  <c r="A466" i="50"/>
  <c r="B466" i="50" s="1"/>
  <c r="A465" i="50"/>
  <c r="B465" i="50" s="1"/>
  <c r="A464" i="50"/>
  <c r="B464" i="50" s="1"/>
  <c r="A463" i="50"/>
  <c r="B463" i="50" s="1"/>
  <c r="A462" i="50"/>
  <c r="B462" i="50" s="1"/>
  <c r="A461" i="50"/>
  <c r="B461" i="50" s="1"/>
  <c r="A460" i="50"/>
  <c r="B460" i="50" s="1"/>
  <c r="A459" i="50"/>
  <c r="B459" i="50" s="1"/>
  <c r="A458" i="50"/>
  <c r="B458" i="50" s="1"/>
  <c r="A457" i="50"/>
  <c r="B457" i="50" s="1"/>
  <c r="A456" i="50"/>
  <c r="B456" i="50" s="1"/>
  <c r="A455" i="50"/>
  <c r="B455" i="50" s="1"/>
  <c r="A454" i="50"/>
  <c r="B454" i="50" s="1"/>
  <c r="A453" i="50"/>
  <c r="B453" i="50" s="1"/>
  <c r="A452" i="50"/>
  <c r="B452" i="50" s="1"/>
  <c r="A451" i="50"/>
  <c r="B451" i="50" s="1"/>
  <c r="A450" i="50"/>
  <c r="B450" i="50" s="1"/>
  <c r="A449" i="50"/>
  <c r="B449" i="50" s="1"/>
  <c r="A448" i="50"/>
  <c r="B448" i="50" s="1"/>
  <c r="A447" i="50"/>
  <c r="B447" i="50" s="1"/>
  <c r="A446" i="50"/>
  <c r="B446" i="50" s="1"/>
  <c r="A445" i="50"/>
  <c r="B445" i="50" s="1"/>
  <c r="A444" i="50"/>
  <c r="B444" i="50" s="1"/>
  <c r="A443" i="50"/>
  <c r="B443" i="50" s="1"/>
  <c r="A442" i="50"/>
  <c r="B442" i="50" s="1"/>
  <c r="A441" i="50"/>
  <c r="B441" i="50" s="1"/>
  <c r="A440" i="50"/>
  <c r="B440" i="50" s="1"/>
  <c r="A439" i="50"/>
  <c r="B439" i="50" s="1"/>
  <c r="A438" i="50"/>
  <c r="B438" i="50" s="1"/>
  <c r="A437" i="50"/>
  <c r="B437" i="50" s="1"/>
  <c r="A436" i="50"/>
  <c r="B436" i="50" s="1"/>
  <c r="A435" i="50"/>
  <c r="B435" i="50" s="1"/>
  <c r="A434" i="50"/>
  <c r="B434" i="50" s="1"/>
  <c r="A433" i="50"/>
  <c r="B433" i="50" s="1"/>
  <c r="A432" i="50"/>
  <c r="B432" i="50" s="1"/>
  <c r="A431" i="50"/>
  <c r="B431" i="50" s="1"/>
  <c r="A430" i="50"/>
  <c r="B430" i="50" s="1"/>
  <c r="A429" i="50"/>
  <c r="B429" i="50" s="1"/>
  <c r="A428" i="50"/>
  <c r="B428" i="50" s="1"/>
  <c r="A427" i="50"/>
  <c r="B427" i="50" s="1"/>
  <c r="A426" i="50"/>
  <c r="B426" i="50" s="1"/>
  <c r="A425" i="50"/>
  <c r="B425" i="50" s="1"/>
  <c r="A424" i="50"/>
  <c r="B424" i="50" s="1"/>
  <c r="A423" i="50"/>
  <c r="B423" i="50" s="1"/>
  <c r="A422" i="50"/>
  <c r="B422" i="50" s="1"/>
  <c r="A421" i="50"/>
  <c r="B421" i="50" s="1"/>
  <c r="A420" i="50"/>
  <c r="B420" i="50" s="1"/>
  <c r="A419" i="50"/>
  <c r="B419" i="50" s="1"/>
  <c r="A418" i="50"/>
  <c r="B418" i="50" s="1"/>
  <c r="A417" i="50"/>
  <c r="B417" i="50" s="1"/>
  <c r="A416" i="50"/>
  <c r="B416" i="50" s="1"/>
  <c r="A415" i="50"/>
  <c r="B415" i="50" s="1"/>
  <c r="A414" i="50"/>
  <c r="B414" i="50" s="1"/>
  <c r="A413" i="50"/>
  <c r="B413" i="50" s="1"/>
  <c r="A412" i="50"/>
  <c r="B412" i="50" s="1"/>
  <c r="A411" i="50"/>
  <c r="B411" i="50" s="1"/>
  <c r="A410" i="50"/>
  <c r="B410" i="50" s="1"/>
  <c r="A409" i="50"/>
  <c r="B409" i="50" s="1"/>
  <c r="A408" i="50"/>
  <c r="B408" i="50" s="1"/>
  <c r="A407" i="50"/>
  <c r="B407" i="50" s="1"/>
  <c r="A406" i="50"/>
  <c r="B406" i="50" s="1"/>
  <c r="A405" i="50"/>
  <c r="B405" i="50" s="1"/>
  <c r="A404" i="50"/>
  <c r="B404" i="50" s="1"/>
  <c r="A403" i="50"/>
  <c r="B403" i="50" s="1"/>
  <c r="A402" i="50"/>
  <c r="B402" i="50" s="1"/>
  <c r="A401" i="50"/>
  <c r="B401" i="50" s="1"/>
  <c r="A400" i="50"/>
  <c r="B400" i="50" s="1"/>
  <c r="A399" i="50"/>
  <c r="B399" i="50" s="1"/>
  <c r="A398" i="50"/>
  <c r="B398" i="50" s="1"/>
  <c r="A397" i="50"/>
  <c r="B397" i="50" s="1"/>
  <c r="A396" i="50"/>
  <c r="B396" i="50" s="1"/>
  <c r="A395" i="50"/>
  <c r="B395" i="50" s="1"/>
  <c r="A394" i="50"/>
  <c r="B394" i="50" s="1"/>
  <c r="A393" i="50"/>
  <c r="B393" i="50" s="1"/>
  <c r="A392" i="50"/>
  <c r="B392" i="50" s="1"/>
  <c r="A391" i="50"/>
  <c r="B391" i="50" s="1"/>
  <c r="A390" i="50"/>
  <c r="B390" i="50" s="1"/>
  <c r="A389" i="50"/>
  <c r="B389" i="50" s="1"/>
  <c r="A388" i="50"/>
  <c r="B388" i="50" s="1"/>
  <c r="A387" i="50"/>
  <c r="B387" i="50" s="1"/>
  <c r="A386" i="50"/>
  <c r="B386" i="50" s="1"/>
  <c r="A385" i="50"/>
  <c r="B385" i="50" s="1"/>
  <c r="A384" i="50"/>
  <c r="B384" i="50" s="1"/>
  <c r="A383" i="50"/>
  <c r="B383" i="50" s="1"/>
  <c r="A382" i="50"/>
  <c r="B382" i="50" s="1"/>
  <c r="A381" i="50"/>
  <c r="B381" i="50" s="1"/>
  <c r="A380" i="50"/>
  <c r="B380" i="50" s="1"/>
  <c r="A379" i="50"/>
  <c r="B379" i="50" s="1"/>
  <c r="A378" i="50"/>
  <c r="B378" i="50" s="1"/>
  <c r="A377" i="50"/>
  <c r="B377" i="50" s="1"/>
  <c r="A376" i="50"/>
  <c r="B376" i="50" s="1"/>
  <c r="A375" i="50"/>
  <c r="B375" i="50" s="1"/>
  <c r="A374" i="50"/>
  <c r="B374" i="50" s="1"/>
  <c r="A373" i="50"/>
  <c r="B373" i="50" s="1"/>
  <c r="A372" i="50"/>
  <c r="B372" i="50" s="1"/>
  <c r="A371" i="50"/>
  <c r="B371" i="50" s="1"/>
  <c r="A370" i="50"/>
  <c r="B370" i="50" s="1"/>
  <c r="A369" i="50"/>
  <c r="B369" i="50" s="1"/>
  <c r="A368" i="50"/>
  <c r="B368" i="50" s="1"/>
  <c r="A367" i="50"/>
  <c r="B367" i="50" s="1"/>
  <c r="A366" i="50"/>
  <c r="B366" i="50" s="1"/>
  <c r="A365" i="50"/>
  <c r="B365" i="50" s="1"/>
  <c r="A364" i="50"/>
  <c r="B364" i="50" s="1"/>
  <c r="A363" i="50"/>
  <c r="B363" i="50" s="1"/>
  <c r="A362" i="50"/>
  <c r="B362" i="50" s="1"/>
  <c r="A361" i="50"/>
  <c r="B361" i="50" s="1"/>
  <c r="A360" i="50"/>
  <c r="B360" i="50" s="1"/>
  <c r="A359" i="50"/>
  <c r="B359" i="50" s="1"/>
  <c r="A358" i="50"/>
  <c r="B358" i="50" s="1"/>
  <c r="A357" i="50"/>
  <c r="B357" i="50" s="1"/>
  <c r="A356" i="50"/>
  <c r="B356" i="50" s="1"/>
  <c r="A355" i="50"/>
  <c r="B355" i="50" s="1"/>
  <c r="A354" i="50"/>
  <c r="B354" i="50" s="1"/>
  <c r="A353" i="50"/>
  <c r="B353" i="50" s="1"/>
  <c r="A352" i="50"/>
  <c r="B352" i="50" s="1"/>
  <c r="A351" i="50"/>
  <c r="B351" i="50" s="1"/>
  <c r="A350" i="50"/>
  <c r="B350" i="50" s="1"/>
  <c r="A349" i="50"/>
  <c r="B349" i="50" s="1"/>
  <c r="A348" i="50"/>
  <c r="B348" i="50" s="1"/>
  <c r="A347" i="50"/>
  <c r="B347" i="50" s="1"/>
  <c r="A346" i="50"/>
  <c r="B346" i="50" s="1"/>
  <c r="A345" i="50"/>
  <c r="B345" i="50" s="1"/>
  <c r="A344" i="50"/>
  <c r="B344" i="50" s="1"/>
  <c r="A343" i="50"/>
  <c r="B343" i="50" s="1"/>
  <c r="A342" i="50"/>
  <c r="B342" i="50" s="1"/>
  <c r="A341" i="50"/>
  <c r="B341" i="50" s="1"/>
  <c r="A340" i="50"/>
  <c r="B340" i="50" s="1"/>
  <c r="A339" i="50"/>
  <c r="B339" i="50" s="1"/>
  <c r="A338" i="50"/>
  <c r="B338" i="50" s="1"/>
  <c r="A337" i="50"/>
  <c r="B337" i="50" s="1"/>
  <c r="A336" i="50"/>
  <c r="B336" i="50" s="1"/>
  <c r="A335" i="50"/>
  <c r="B335" i="50" s="1"/>
  <c r="A334" i="50"/>
  <c r="B334" i="50" s="1"/>
  <c r="A333" i="50"/>
  <c r="B333" i="50" s="1"/>
  <c r="A332" i="50"/>
  <c r="B332" i="50" s="1"/>
  <c r="A331" i="50"/>
  <c r="B331" i="50" s="1"/>
  <c r="A330" i="50"/>
  <c r="B330" i="50" s="1"/>
  <c r="A329" i="50"/>
  <c r="B329" i="50" s="1"/>
  <c r="A328" i="50"/>
  <c r="B328" i="50" s="1"/>
  <c r="A327" i="50"/>
  <c r="B327" i="50" s="1"/>
  <c r="A326" i="50"/>
  <c r="B326" i="50" s="1"/>
  <c r="A325" i="50"/>
  <c r="B325" i="50" s="1"/>
  <c r="A324" i="50"/>
  <c r="B324" i="50" s="1"/>
  <c r="A323" i="50"/>
  <c r="B323" i="50" s="1"/>
  <c r="A322" i="50"/>
  <c r="B322" i="50" s="1"/>
  <c r="A321" i="50"/>
  <c r="B321" i="50" s="1"/>
  <c r="A320" i="50"/>
  <c r="B320" i="50" s="1"/>
  <c r="A319" i="50"/>
  <c r="B319" i="50" s="1"/>
  <c r="A318" i="50"/>
  <c r="B318" i="50" s="1"/>
  <c r="A317" i="50"/>
  <c r="B317" i="50" s="1"/>
  <c r="A316" i="50"/>
  <c r="B316" i="50" s="1"/>
  <c r="A315" i="50"/>
  <c r="B315" i="50" s="1"/>
  <c r="A314" i="50"/>
  <c r="B314" i="50" s="1"/>
  <c r="A313" i="50"/>
  <c r="B313" i="50" s="1"/>
  <c r="A312" i="50"/>
  <c r="B312" i="50" s="1"/>
  <c r="A311" i="50"/>
  <c r="B311" i="50" s="1"/>
  <c r="A310" i="50"/>
  <c r="B310" i="50" s="1"/>
  <c r="A309" i="50"/>
  <c r="B309" i="50" s="1"/>
  <c r="A308" i="50"/>
  <c r="B308" i="50" s="1"/>
  <c r="A307" i="50"/>
  <c r="B307" i="50" s="1"/>
  <c r="A306" i="50"/>
  <c r="B306" i="50" s="1"/>
  <c r="A305" i="50"/>
  <c r="B305" i="50" s="1"/>
  <c r="A304" i="50"/>
  <c r="B304" i="50" s="1"/>
  <c r="A303" i="50"/>
  <c r="B303" i="50" s="1"/>
  <c r="A302" i="50"/>
  <c r="B302" i="50" s="1"/>
  <c r="A301" i="50"/>
  <c r="B301" i="50" s="1"/>
  <c r="A300" i="50"/>
  <c r="B300" i="50" s="1"/>
  <c r="A299" i="50"/>
  <c r="B299" i="50" s="1"/>
  <c r="A298" i="50"/>
  <c r="B298" i="50" s="1"/>
  <c r="A297" i="50"/>
  <c r="B297" i="50" s="1"/>
  <c r="A296" i="50"/>
  <c r="B296" i="50" s="1"/>
  <c r="A295" i="50"/>
  <c r="B295" i="50" s="1"/>
  <c r="A294" i="50"/>
  <c r="B294" i="50" s="1"/>
  <c r="A293" i="50"/>
  <c r="B293" i="50" s="1"/>
  <c r="A292" i="50"/>
  <c r="B292" i="50" s="1"/>
  <c r="A291" i="50"/>
  <c r="B291" i="50" s="1"/>
  <c r="A290" i="50"/>
  <c r="B290" i="50" s="1"/>
  <c r="A289" i="50"/>
  <c r="B289" i="50" s="1"/>
  <c r="A288" i="50"/>
  <c r="B288" i="50" s="1"/>
  <c r="A287" i="50"/>
  <c r="B287" i="50" s="1"/>
  <c r="A286" i="50"/>
  <c r="B286" i="50" s="1"/>
  <c r="A285" i="50"/>
  <c r="B285" i="50" s="1"/>
  <c r="A284" i="50"/>
  <c r="B284" i="50" s="1"/>
  <c r="A283" i="50"/>
  <c r="B283" i="50" s="1"/>
  <c r="A282" i="50"/>
  <c r="B282" i="50" s="1"/>
  <c r="A281" i="50"/>
  <c r="B281" i="50" s="1"/>
  <c r="A280" i="50"/>
  <c r="B280" i="50" s="1"/>
  <c r="A279" i="50"/>
  <c r="B279" i="50" s="1"/>
  <c r="A278" i="50"/>
  <c r="B278" i="50" s="1"/>
  <c r="A277" i="50"/>
  <c r="B277" i="50" s="1"/>
  <c r="A276" i="50"/>
  <c r="B276" i="50" s="1"/>
  <c r="A275" i="50"/>
  <c r="B275" i="50" s="1"/>
  <c r="A274" i="50"/>
  <c r="B274" i="50" s="1"/>
  <c r="A273" i="50"/>
  <c r="B273" i="50" s="1"/>
  <c r="A272" i="50"/>
  <c r="B272" i="50" s="1"/>
  <c r="A271" i="50"/>
  <c r="B271" i="50" s="1"/>
  <c r="A270" i="50"/>
  <c r="B270" i="50" s="1"/>
  <c r="A269" i="50"/>
  <c r="B269" i="50" s="1"/>
  <c r="A268" i="50"/>
  <c r="B268" i="50" s="1"/>
  <c r="A267" i="50"/>
  <c r="B267" i="50" s="1"/>
  <c r="A266" i="50"/>
  <c r="B266" i="50" s="1"/>
  <c r="A265" i="50"/>
  <c r="B265" i="50" s="1"/>
  <c r="A264" i="50"/>
  <c r="B264" i="50" s="1"/>
  <c r="A263" i="50"/>
  <c r="B263" i="50" s="1"/>
  <c r="A262" i="50"/>
  <c r="B262" i="50" s="1"/>
  <c r="A261" i="50"/>
  <c r="B261" i="50" s="1"/>
  <c r="A260" i="50"/>
  <c r="B260" i="50" s="1"/>
  <c r="A259" i="50"/>
  <c r="B259" i="50" s="1"/>
  <c r="A258" i="50"/>
  <c r="B258" i="50" s="1"/>
  <c r="A257" i="50"/>
  <c r="B257" i="50" s="1"/>
  <c r="A256" i="50"/>
  <c r="B256" i="50" s="1"/>
  <c r="A255" i="50"/>
  <c r="B255" i="50" s="1"/>
  <c r="A254" i="50"/>
  <c r="B254" i="50" s="1"/>
  <c r="A253" i="50"/>
  <c r="B253" i="50" s="1"/>
  <c r="A252" i="50"/>
  <c r="B252" i="50" s="1"/>
  <c r="A251" i="50"/>
  <c r="B251" i="50" s="1"/>
  <c r="A250" i="50"/>
  <c r="B250" i="50" s="1"/>
  <c r="A249" i="50"/>
  <c r="B249" i="50" s="1"/>
  <c r="A248" i="50"/>
  <c r="B248" i="50" s="1"/>
  <c r="A247" i="50"/>
  <c r="B247" i="50" s="1"/>
  <c r="A246" i="50"/>
  <c r="B246" i="50" s="1"/>
  <c r="A245" i="50"/>
  <c r="B245" i="50" s="1"/>
  <c r="A244" i="50"/>
  <c r="B244" i="50" s="1"/>
  <c r="A243" i="50"/>
  <c r="B243" i="50" s="1"/>
  <c r="A242" i="50"/>
  <c r="B242" i="50" s="1"/>
  <c r="A241" i="50"/>
  <c r="B241" i="50" s="1"/>
  <c r="A240" i="50"/>
  <c r="B240" i="50" s="1"/>
  <c r="A239" i="50"/>
  <c r="B239" i="50" s="1"/>
  <c r="A238" i="50"/>
  <c r="B238" i="50" s="1"/>
  <c r="A237" i="50"/>
  <c r="B237" i="50" s="1"/>
  <c r="A236" i="50"/>
  <c r="B236" i="50" s="1"/>
  <c r="A235" i="50"/>
  <c r="B235" i="50" s="1"/>
  <c r="A234" i="50"/>
  <c r="B234" i="50" s="1"/>
  <c r="A233" i="50"/>
  <c r="B233" i="50" s="1"/>
  <c r="A232" i="50"/>
  <c r="B232" i="50" s="1"/>
  <c r="A231" i="50"/>
  <c r="B231" i="50" s="1"/>
  <c r="A230" i="50"/>
  <c r="B230" i="50" s="1"/>
  <c r="A229" i="50"/>
  <c r="B229" i="50" s="1"/>
  <c r="A228" i="50"/>
  <c r="B228" i="50" s="1"/>
  <c r="A227" i="50"/>
  <c r="B227" i="50" s="1"/>
  <c r="A226" i="50"/>
  <c r="B226" i="50" s="1"/>
  <c r="A225" i="50"/>
  <c r="B225" i="50" s="1"/>
  <c r="A224" i="50"/>
  <c r="B224" i="50" s="1"/>
  <c r="A223" i="50"/>
  <c r="B223" i="50" s="1"/>
  <c r="A222" i="50"/>
  <c r="B222" i="50" s="1"/>
  <c r="A221" i="50"/>
  <c r="B221" i="50" s="1"/>
  <c r="A220" i="50"/>
  <c r="B220" i="50" s="1"/>
  <c r="A219" i="50"/>
  <c r="B219" i="50" s="1"/>
  <c r="A218" i="50"/>
  <c r="B218" i="50" s="1"/>
  <c r="A217" i="50"/>
  <c r="B217" i="50" s="1"/>
  <c r="A216" i="50"/>
  <c r="B216" i="50" s="1"/>
  <c r="A215" i="50"/>
  <c r="B215" i="50" s="1"/>
  <c r="A214" i="50"/>
  <c r="B214" i="50" s="1"/>
  <c r="A213" i="50"/>
  <c r="B213" i="50" s="1"/>
  <c r="A212" i="50"/>
  <c r="B212" i="50" s="1"/>
  <c r="A211" i="50"/>
  <c r="B211" i="50" s="1"/>
  <c r="A210" i="50"/>
  <c r="B210" i="50" s="1"/>
  <c r="A209" i="50"/>
  <c r="B209" i="50" s="1"/>
  <c r="A208" i="50"/>
  <c r="B208" i="50" s="1"/>
  <c r="A207" i="50"/>
  <c r="B207" i="50" s="1"/>
  <c r="A206" i="50"/>
  <c r="B206" i="50" s="1"/>
  <c r="A205" i="50"/>
  <c r="B205" i="50" s="1"/>
  <c r="A204" i="50"/>
  <c r="B204" i="50" s="1"/>
  <c r="A203" i="50"/>
  <c r="B203" i="50" s="1"/>
  <c r="A202" i="50"/>
  <c r="B202" i="50" s="1"/>
  <c r="A201" i="50"/>
  <c r="B201" i="50" s="1"/>
  <c r="A200" i="50"/>
  <c r="B200" i="50" s="1"/>
  <c r="A199" i="50"/>
  <c r="B199" i="50" s="1"/>
  <c r="A198" i="50"/>
  <c r="B198" i="50" s="1"/>
  <c r="A197" i="50"/>
  <c r="B197" i="50" s="1"/>
  <c r="A196" i="50"/>
  <c r="B196" i="50" s="1"/>
  <c r="A195" i="50"/>
  <c r="B195" i="50" s="1"/>
  <c r="A194" i="50"/>
  <c r="B194" i="50" s="1"/>
  <c r="A193" i="50"/>
  <c r="B193" i="50" s="1"/>
  <c r="A192" i="50"/>
  <c r="B192" i="50" s="1"/>
  <c r="A191" i="50"/>
  <c r="B191" i="50" s="1"/>
  <c r="A190" i="50"/>
  <c r="B190" i="50" s="1"/>
  <c r="A189" i="50"/>
  <c r="B189" i="50" s="1"/>
  <c r="A188" i="50"/>
  <c r="B188" i="50" s="1"/>
  <c r="A187" i="50"/>
  <c r="B187" i="50" s="1"/>
  <c r="A186" i="50"/>
  <c r="B186" i="50" s="1"/>
  <c r="A185" i="50"/>
  <c r="B185" i="50" s="1"/>
  <c r="A184" i="50"/>
  <c r="B184" i="50" s="1"/>
  <c r="A183" i="50"/>
  <c r="B183" i="50" s="1"/>
  <c r="A182" i="50"/>
  <c r="B182" i="50" s="1"/>
  <c r="A181" i="50"/>
  <c r="B181" i="50" s="1"/>
  <c r="A180" i="50"/>
  <c r="B180" i="50" s="1"/>
  <c r="A179" i="50"/>
  <c r="B179" i="50" s="1"/>
  <c r="A178" i="50"/>
  <c r="B178" i="50" s="1"/>
  <c r="A177" i="50"/>
  <c r="B177" i="50" s="1"/>
  <c r="A176" i="50"/>
  <c r="B176" i="50" s="1"/>
  <c r="A175" i="50"/>
  <c r="B175" i="50" s="1"/>
  <c r="A174" i="50"/>
  <c r="B174" i="50" s="1"/>
  <c r="A173" i="50"/>
  <c r="B173" i="50" s="1"/>
  <c r="A172" i="50"/>
  <c r="B172" i="50" s="1"/>
  <c r="A171" i="50"/>
  <c r="B171" i="50" s="1"/>
  <c r="A170" i="50"/>
  <c r="B170" i="50" s="1"/>
  <c r="A169" i="50"/>
  <c r="B169" i="50" s="1"/>
  <c r="A168" i="50"/>
  <c r="B168" i="50" s="1"/>
  <c r="A167" i="50"/>
  <c r="B167" i="50" s="1"/>
  <c r="A166" i="50"/>
  <c r="B166" i="50" s="1"/>
  <c r="A165" i="50"/>
  <c r="B165" i="50" s="1"/>
  <c r="A164" i="50"/>
  <c r="B164" i="50" s="1"/>
  <c r="A163" i="50"/>
  <c r="B163" i="50" s="1"/>
  <c r="A162" i="50"/>
  <c r="B162" i="50" s="1"/>
  <c r="A161" i="50"/>
  <c r="B161" i="50" s="1"/>
  <c r="A160" i="50"/>
  <c r="B160" i="50" s="1"/>
  <c r="A159" i="50"/>
  <c r="B159" i="50" s="1"/>
  <c r="A158" i="50"/>
  <c r="B158" i="50" s="1"/>
  <c r="A157" i="50"/>
  <c r="B157" i="50" s="1"/>
  <c r="A156" i="50"/>
  <c r="B156" i="50" s="1"/>
  <c r="A155" i="50"/>
  <c r="B155" i="50" s="1"/>
  <c r="A154" i="50"/>
  <c r="B154" i="50" s="1"/>
  <c r="A153" i="50"/>
  <c r="B153" i="50" s="1"/>
  <c r="A152" i="50"/>
  <c r="B152" i="50" s="1"/>
  <c r="A151" i="50"/>
  <c r="B151" i="50" s="1"/>
  <c r="A150" i="50"/>
  <c r="B150" i="50" s="1"/>
  <c r="A149" i="50"/>
  <c r="B149" i="50" s="1"/>
  <c r="A148" i="50"/>
  <c r="B148" i="50" s="1"/>
  <c r="A147" i="50"/>
  <c r="B147" i="50" s="1"/>
  <c r="A146" i="50"/>
  <c r="B146" i="50" s="1"/>
  <c r="A145" i="50"/>
  <c r="B145" i="50" s="1"/>
  <c r="A144" i="50"/>
  <c r="B144" i="50" s="1"/>
  <c r="A143" i="50"/>
  <c r="B143" i="50" s="1"/>
  <c r="A142" i="50"/>
  <c r="B142" i="50" s="1"/>
  <c r="A141" i="50"/>
  <c r="B141" i="50" s="1"/>
  <c r="A140" i="50"/>
  <c r="B140" i="50" s="1"/>
  <c r="A139" i="50"/>
  <c r="B139" i="50" s="1"/>
  <c r="A138" i="50"/>
  <c r="B138" i="50" s="1"/>
  <c r="A137" i="50"/>
  <c r="B137" i="50" s="1"/>
  <c r="A136" i="50"/>
  <c r="B136" i="50" s="1"/>
  <c r="A135" i="50"/>
  <c r="B135" i="50" s="1"/>
  <c r="A134" i="50"/>
  <c r="B134" i="50" s="1"/>
  <c r="A133" i="50"/>
  <c r="B133" i="50" s="1"/>
  <c r="A132" i="50"/>
  <c r="B132" i="50" s="1"/>
  <c r="A131" i="50"/>
  <c r="B131" i="50" s="1"/>
  <c r="A130" i="50"/>
  <c r="B130" i="50" s="1"/>
  <c r="A129" i="50"/>
  <c r="B129" i="50" s="1"/>
  <c r="A128" i="50"/>
  <c r="B128" i="50" s="1"/>
  <c r="A127" i="50"/>
  <c r="B127" i="50" s="1"/>
  <c r="A126" i="50"/>
  <c r="B126" i="50" s="1"/>
  <c r="A125" i="50"/>
  <c r="B125" i="50" s="1"/>
  <c r="A124" i="50"/>
  <c r="B124" i="50" s="1"/>
  <c r="A123" i="50"/>
  <c r="B123" i="50" s="1"/>
  <c r="A122" i="50"/>
  <c r="B122" i="50" s="1"/>
  <c r="A121" i="50"/>
  <c r="B121" i="50" s="1"/>
  <c r="A120" i="50"/>
  <c r="B120" i="50" s="1"/>
  <c r="A119" i="50"/>
  <c r="B119" i="50" s="1"/>
  <c r="A118" i="50"/>
  <c r="B118" i="50" s="1"/>
  <c r="A117" i="50"/>
  <c r="B117" i="50" s="1"/>
  <c r="A116" i="50"/>
  <c r="B116" i="50" s="1"/>
  <c r="A115" i="50"/>
  <c r="B115" i="50" s="1"/>
  <c r="A114" i="50"/>
  <c r="B114" i="50" s="1"/>
  <c r="A113" i="50"/>
  <c r="B113" i="50" s="1"/>
  <c r="A112" i="50"/>
  <c r="B112" i="50" s="1"/>
  <c r="A111" i="50"/>
  <c r="B111" i="50" s="1"/>
  <c r="A110" i="50"/>
  <c r="B110" i="50" s="1"/>
  <c r="A109" i="50"/>
  <c r="B109" i="50" s="1"/>
  <c r="A108" i="50"/>
  <c r="B108" i="50" s="1"/>
  <c r="A107" i="50"/>
  <c r="B107" i="50" s="1"/>
  <c r="A106" i="50"/>
  <c r="B106" i="50" s="1"/>
  <c r="A105" i="50"/>
  <c r="B105" i="50" s="1"/>
  <c r="A104" i="50"/>
  <c r="B104" i="50" s="1"/>
  <c r="A103" i="50"/>
  <c r="B103" i="50" s="1"/>
  <c r="A102" i="50"/>
  <c r="B102" i="50" s="1"/>
  <c r="A101" i="50"/>
  <c r="B101" i="50" s="1"/>
  <c r="A100" i="50"/>
  <c r="B100" i="50" s="1"/>
  <c r="A99" i="50"/>
  <c r="B99" i="50" s="1"/>
  <c r="A98" i="50"/>
  <c r="B98" i="50" s="1"/>
  <c r="A97" i="50"/>
  <c r="B97" i="50" s="1"/>
  <c r="A96" i="50"/>
  <c r="B96" i="50" s="1"/>
  <c r="A95" i="50"/>
  <c r="B95" i="50" s="1"/>
  <c r="A94" i="50"/>
  <c r="B94" i="50" s="1"/>
  <c r="A93" i="50"/>
  <c r="B93" i="50" s="1"/>
  <c r="A92" i="50"/>
  <c r="B92" i="50" s="1"/>
  <c r="A91" i="50"/>
  <c r="B91" i="50" s="1"/>
  <c r="A90" i="50"/>
  <c r="B90" i="50" s="1"/>
  <c r="A89" i="50"/>
  <c r="B89" i="50" s="1"/>
  <c r="A88" i="50"/>
  <c r="B88" i="50" s="1"/>
  <c r="A87" i="50"/>
  <c r="B87" i="50" s="1"/>
  <c r="A86" i="50"/>
  <c r="B86" i="50" s="1"/>
  <c r="A85" i="50"/>
  <c r="B85" i="50" s="1"/>
  <c r="A84" i="50"/>
  <c r="B84" i="50" s="1"/>
  <c r="A83" i="50"/>
  <c r="B83" i="50" s="1"/>
  <c r="A82" i="50"/>
  <c r="B82" i="50" s="1"/>
  <c r="A81" i="50"/>
  <c r="B81" i="50" s="1"/>
  <c r="A80" i="50"/>
  <c r="B80" i="50" s="1"/>
  <c r="A79" i="50"/>
  <c r="B79" i="50" s="1"/>
  <c r="A78" i="50"/>
  <c r="B78" i="50" s="1"/>
  <c r="A77" i="50"/>
  <c r="B77" i="50" s="1"/>
  <c r="A76" i="50"/>
  <c r="B76" i="50" s="1"/>
  <c r="A75" i="50"/>
  <c r="B75" i="50" s="1"/>
  <c r="A74" i="50"/>
  <c r="B74" i="50" s="1"/>
  <c r="A73" i="50"/>
  <c r="B73" i="50" s="1"/>
  <c r="A72" i="50"/>
  <c r="B72" i="50" s="1"/>
  <c r="A71" i="50"/>
  <c r="B71" i="50" s="1"/>
  <c r="A70" i="50"/>
  <c r="B70" i="50" s="1"/>
  <c r="A69" i="50"/>
  <c r="B69" i="50" s="1"/>
  <c r="A68" i="50"/>
  <c r="B68" i="50" s="1"/>
  <c r="A67" i="50"/>
  <c r="B67" i="50" s="1"/>
  <c r="A66" i="50"/>
  <c r="B66" i="50" s="1"/>
  <c r="A65" i="50"/>
  <c r="B65" i="50" s="1"/>
  <c r="A64" i="50"/>
  <c r="B64" i="50" s="1"/>
  <c r="A63" i="50"/>
  <c r="B63" i="50" s="1"/>
  <c r="A62" i="50"/>
  <c r="B62" i="50" s="1"/>
  <c r="A61" i="50"/>
  <c r="B61" i="50" s="1"/>
  <c r="A60" i="50"/>
  <c r="B60" i="50" s="1"/>
  <c r="A59" i="50"/>
  <c r="B59" i="50" s="1"/>
  <c r="A58" i="50"/>
  <c r="B58" i="50" s="1"/>
  <c r="A57" i="50"/>
  <c r="B57" i="50" s="1"/>
  <c r="A56" i="50"/>
  <c r="B56" i="50" s="1"/>
  <c r="A55" i="50"/>
  <c r="B55" i="50" s="1"/>
  <c r="A54" i="50"/>
  <c r="B54" i="50" s="1"/>
  <c r="A53" i="50"/>
  <c r="B53" i="50" s="1"/>
  <c r="A52" i="50"/>
  <c r="B52" i="50" s="1"/>
  <c r="A51" i="50"/>
  <c r="B51" i="50" s="1"/>
  <c r="A50" i="50"/>
  <c r="B50" i="50" s="1"/>
  <c r="A49" i="50"/>
  <c r="B49" i="50" s="1"/>
  <c r="A48" i="50"/>
  <c r="B48" i="50" s="1"/>
  <c r="A47" i="50"/>
  <c r="B47" i="50" s="1"/>
  <c r="A46" i="50"/>
  <c r="B46" i="50" s="1"/>
  <c r="A45" i="50"/>
  <c r="B45" i="50" s="1"/>
  <c r="A44" i="50"/>
  <c r="B44" i="50" s="1"/>
  <c r="A43" i="50"/>
  <c r="B43" i="50" s="1"/>
  <c r="A42" i="50"/>
  <c r="B42" i="50" s="1"/>
  <c r="A41" i="50"/>
  <c r="B41" i="50" s="1"/>
  <c r="A40" i="50"/>
  <c r="B40" i="50" s="1"/>
  <c r="A39" i="50"/>
  <c r="B39" i="50" s="1"/>
  <c r="A38" i="50"/>
  <c r="B38" i="50" s="1"/>
  <c r="A37" i="50"/>
  <c r="B37" i="50" s="1"/>
  <c r="A36" i="50"/>
  <c r="B36" i="50" s="1"/>
  <c r="A35" i="50"/>
  <c r="B35" i="50" s="1"/>
  <c r="A34" i="50"/>
  <c r="B34" i="50" s="1"/>
  <c r="A33" i="50"/>
  <c r="B33" i="50" s="1"/>
  <c r="A32" i="50"/>
  <c r="B32" i="50" s="1"/>
  <c r="A31" i="50"/>
  <c r="B31" i="50" s="1"/>
  <c r="A30" i="50"/>
  <c r="B30" i="50" s="1"/>
  <c r="A29" i="50"/>
  <c r="B29" i="50" s="1"/>
  <c r="A28" i="50"/>
  <c r="B28" i="50" s="1"/>
  <c r="A27" i="50"/>
  <c r="B27" i="50" s="1"/>
  <c r="A26" i="50"/>
  <c r="B26" i="50" s="1"/>
  <c r="A25" i="50"/>
  <c r="B25" i="50" s="1"/>
  <c r="A24" i="50"/>
  <c r="B24" i="50" s="1"/>
  <c r="A22" i="50"/>
  <c r="B22" i="50" s="1"/>
  <c r="A21" i="50"/>
  <c r="B21" i="50" s="1"/>
  <c r="A20" i="50"/>
  <c r="B20" i="50" s="1"/>
  <c r="A19" i="50"/>
  <c r="B19" i="50" s="1"/>
  <c r="A18" i="50"/>
  <c r="B18" i="50" s="1"/>
  <c r="A16" i="50"/>
  <c r="B16" i="50" s="1"/>
  <c r="A15" i="50"/>
  <c r="B15" i="50" s="1"/>
  <c r="A14" i="50"/>
  <c r="B14" i="50" s="1"/>
  <c r="A13" i="50"/>
  <c r="B13" i="50" s="1"/>
  <c r="A12" i="50"/>
  <c r="K23" i="51" l="1"/>
  <c r="L23" i="51"/>
  <c r="K26" i="39"/>
  <c r="H18" i="60"/>
  <c r="H19" i="60" s="1"/>
  <c r="F9" i="60"/>
  <c r="F10" i="60" s="1"/>
  <c r="E51" i="23" s="1"/>
  <c r="E12" i="25" s="1"/>
  <c r="E9" i="60"/>
  <c r="D15" i="59"/>
  <c r="E15" i="59" s="1"/>
  <c r="G15" i="59" s="1"/>
  <c r="I15" i="59" s="1"/>
  <c r="K15" i="59" s="1"/>
  <c r="M15" i="59" s="1"/>
  <c r="G4" i="64"/>
  <c r="F4" i="64"/>
  <c r="E4" i="64"/>
  <c r="D4" i="64"/>
  <c r="C4" i="64"/>
  <c r="M30" i="20"/>
  <c r="C7" i="18" s="1"/>
  <c r="K19" i="39"/>
  <c r="G9" i="60"/>
  <c r="G10" i="60" s="1"/>
  <c r="F51" i="23" s="1"/>
  <c r="F12" i="25" s="1"/>
  <c r="D18" i="60"/>
  <c r="B6" i="2"/>
  <c r="F13" i="26"/>
  <c r="L30" i="20"/>
  <c r="D18" i="59"/>
  <c r="E18" i="59" s="1"/>
  <c r="B23" i="31" s="1"/>
  <c r="E10" i="31" s="1"/>
  <c r="D16" i="59"/>
  <c r="E16" i="59" s="1"/>
  <c r="G16" i="59" s="1"/>
  <c r="I16" i="59" s="1"/>
  <c r="D17" i="59"/>
  <c r="E17" i="59" s="1"/>
  <c r="G17" i="59" s="1"/>
  <c r="I17" i="59" s="1"/>
  <c r="K17" i="59" s="1"/>
  <c r="M17" i="59" s="1"/>
  <c r="D19" i="59"/>
  <c r="E19" i="59" s="1"/>
  <c r="G19" i="59" s="1"/>
  <c r="I19" i="59" s="1"/>
  <c r="K19" i="59" s="1"/>
  <c r="M19" i="59" s="1"/>
  <c r="D20" i="59"/>
  <c r="G20" i="59" s="1"/>
  <c r="I20" i="59" s="1"/>
  <c r="K20" i="59" s="1"/>
  <c r="C5" i="18"/>
  <c r="D9" i="60"/>
  <c r="D10" i="60" s="1"/>
  <c r="C51" i="23" s="1"/>
  <c r="C12" i="25" s="1"/>
  <c r="P40" i="20"/>
  <c r="P47" i="20"/>
  <c r="I4" i="59"/>
  <c r="G5" i="18" s="1"/>
  <c r="E5" i="18"/>
  <c r="F21" i="39"/>
  <c r="G21" i="39"/>
  <c r="B16" i="31"/>
  <c r="P41" i="20"/>
  <c r="H33" i="60"/>
  <c r="G16" i="25" s="1"/>
  <c r="B5" i="2"/>
  <c r="D33" i="60"/>
  <c r="C16" i="25" s="1"/>
  <c r="P34" i="20"/>
  <c r="F18" i="60"/>
  <c r="P33" i="20"/>
  <c r="F33" i="60"/>
  <c r="E16" i="25" s="1"/>
  <c r="G51" i="23"/>
  <c r="G12" i="25" s="1"/>
  <c r="E10" i="60"/>
  <c r="N30" i="20"/>
  <c r="O21" i="20"/>
  <c r="O30" i="20" s="1"/>
  <c r="E7" i="18" s="1"/>
  <c r="G18" i="60"/>
  <c r="F64" i="23"/>
  <c r="E33" i="60"/>
  <c r="D16" i="25" s="1"/>
  <c r="R30" i="20"/>
  <c r="S21" i="20"/>
  <c r="S30" i="20" s="1"/>
  <c r="I7" i="18" s="1"/>
  <c r="O57" i="20"/>
  <c r="O64" i="20"/>
  <c r="O36" i="20"/>
  <c r="O56" i="20"/>
  <c r="O63" i="20"/>
  <c r="O35" i="20"/>
  <c r="O50" i="20"/>
  <c r="O43" i="20"/>
  <c r="O49" i="20"/>
  <c r="O42" i="20"/>
  <c r="E64" i="23"/>
  <c r="Q21" i="20"/>
  <c r="Q30" i="20" s="1"/>
  <c r="G7" i="18" s="1"/>
  <c r="P30" i="20"/>
  <c r="G33" i="60"/>
  <c r="F16" i="25" s="1"/>
  <c r="E19" i="20"/>
  <c r="C19" i="20"/>
  <c r="B19" i="20"/>
  <c r="F19" i="20"/>
  <c r="D19" i="20"/>
  <c r="E19" i="39"/>
  <c r="D22" i="39"/>
  <c r="K9" i="39"/>
  <c r="P43" i="20"/>
  <c r="P49" i="20"/>
  <c r="P42" i="20"/>
  <c r="P57" i="20"/>
  <c r="P50" i="20"/>
  <c r="P64" i="20"/>
  <c r="P36" i="20"/>
  <c r="P56" i="20"/>
  <c r="P63" i="20"/>
  <c r="P35" i="20"/>
  <c r="L16" i="20"/>
  <c r="O47" i="20"/>
  <c r="O55" i="20"/>
  <c r="O62" i="20"/>
  <c r="O34" i="20"/>
  <c r="O54" i="20"/>
  <c r="O61" i="20"/>
  <c r="O33" i="20"/>
  <c r="O48" i="20"/>
  <c r="O41" i="20"/>
  <c r="O40" i="20"/>
  <c r="L18" i="20"/>
  <c r="P61" i="20"/>
  <c r="P62" i="20"/>
  <c r="P48" i="20"/>
  <c r="U30" i="20"/>
  <c r="K7" i="18" s="1"/>
  <c r="C19" i="60"/>
  <c r="B10" i="31" s="1"/>
  <c r="E5" i="31" s="1"/>
  <c r="E4" i="31"/>
  <c r="F59" i="20"/>
  <c r="F70" i="20"/>
  <c r="F81" i="20"/>
  <c r="A44" i="37"/>
  <c r="B5" i="1" s="1"/>
  <c r="B14" i="1"/>
  <c r="C37" i="23" s="1"/>
  <c r="C6" i="61"/>
  <c r="P55" i="20"/>
  <c r="T30" i="20"/>
  <c r="F36" i="20"/>
  <c r="V17" i="20"/>
  <c r="V16" i="20"/>
  <c r="H21" i="58"/>
  <c r="H22" i="58"/>
  <c r="H23" i="58"/>
  <c r="H24" i="58"/>
  <c r="H25" i="58"/>
  <c r="H26" i="58"/>
  <c r="H27" i="58"/>
  <c r="H28" i="58"/>
  <c r="H29" i="58"/>
  <c r="H30" i="58"/>
  <c r="E22" i="58"/>
  <c r="E23" i="58"/>
  <c r="E24" i="58"/>
  <c r="E25" i="58"/>
  <c r="E26" i="58"/>
  <c r="E27" i="58"/>
  <c r="E28" i="58"/>
  <c r="E29" i="58"/>
  <c r="E30" i="58"/>
  <c r="F21" i="58"/>
  <c r="F22" i="58"/>
  <c r="F23" i="58"/>
  <c r="F24" i="58"/>
  <c r="F25" i="58"/>
  <c r="F26" i="58"/>
  <c r="F27" i="58"/>
  <c r="F28" i="58"/>
  <c r="F29" i="58"/>
  <c r="F30" i="58"/>
  <c r="G21" i="58"/>
  <c r="G22" i="58"/>
  <c r="G23" i="58"/>
  <c r="G24" i="58"/>
  <c r="G25" i="58"/>
  <c r="G26" i="58"/>
  <c r="G27" i="58"/>
  <c r="G28" i="58"/>
  <c r="G29" i="58"/>
  <c r="G30" i="58"/>
  <c r="E21" i="58"/>
  <c r="D21" i="58"/>
  <c r="D22" i="58"/>
  <c r="D23" i="58"/>
  <c r="D24" i="58"/>
  <c r="D25" i="58"/>
  <c r="D26" i="58"/>
  <c r="D27" i="58"/>
  <c r="D28" i="58"/>
  <c r="D29" i="58"/>
  <c r="D30" i="58"/>
  <c r="C20" i="58"/>
  <c r="D13" i="26"/>
  <c r="E13" i="26"/>
  <c r="G13" i="26"/>
  <c r="C11" i="19" l="1"/>
  <c r="B22" i="31"/>
  <c r="E15" i="31" s="1"/>
  <c r="M21" i="51"/>
  <c r="M23" i="51" s="1"/>
  <c r="B13" i="31"/>
  <c r="E16" i="31" s="1"/>
  <c r="C9" i="18"/>
  <c r="B11" i="25"/>
  <c r="E11" i="31"/>
  <c r="F19" i="60"/>
  <c r="B15" i="2"/>
  <c r="B16" i="2"/>
  <c r="I21" i="58"/>
  <c r="G18" i="59"/>
  <c r="I18" i="59" s="1"/>
  <c r="K18" i="59" s="1"/>
  <c r="M18" i="59" s="1"/>
  <c r="C9" i="19"/>
  <c r="C13" i="19" s="1"/>
  <c r="C43" i="23" s="1"/>
  <c r="E21" i="59"/>
  <c r="B17" i="31"/>
  <c r="E12" i="31" s="1"/>
  <c r="C48" i="23"/>
  <c r="C11" i="25" s="1"/>
  <c r="K4" i="59"/>
  <c r="I5" i="18" s="1"/>
  <c r="K16" i="59"/>
  <c r="E7" i="31"/>
  <c r="I23" i="58"/>
  <c r="B10" i="23"/>
  <c r="C11" i="28" s="1"/>
  <c r="G19" i="60"/>
  <c r="I29" i="58"/>
  <c r="E11" i="19"/>
  <c r="G9" i="18"/>
  <c r="F11" i="19"/>
  <c r="D11" i="19"/>
  <c r="D48" i="23"/>
  <c r="D11" i="25" s="1"/>
  <c r="I28" i="58"/>
  <c r="G11" i="19"/>
  <c r="I22" i="58"/>
  <c r="I27" i="58"/>
  <c r="D51" i="23"/>
  <c r="D12" i="25" s="1"/>
  <c r="E19" i="60"/>
  <c r="I26" i="58"/>
  <c r="I30" i="58"/>
  <c r="F19" i="39"/>
  <c r="I25" i="58"/>
  <c r="E22" i="39"/>
  <c r="B25" i="2" s="1"/>
  <c r="O17" i="20"/>
  <c r="B98" i="20"/>
  <c r="I24" i="58"/>
  <c r="M4" i="59"/>
  <c r="K5" i="18" s="1"/>
  <c r="M20" i="59"/>
  <c r="C5" i="39"/>
  <c r="D19" i="60"/>
  <c r="B15" i="31"/>
  <c r="E18" i="31" s="1"/>
  <c r="E9" i="18"/>
  <c r="H20" i="58"/>
  <c r="H32" i="58" s="1"/>
  <c r="G15" i="25" s="1"/>
  <c r="H7" i="29" s="1"/>
  <c r="F20" i="58"/>
  <c r="F32" i="58" s="1"/>
  <c r="E15" i="25" s="1"/>
  <c r="F7" i="29" s="1"/>
  <c r="G20" i="58"/>
  <c r="G32" i="58" s="1"/>
  <c r="F15" i="25" s="1"/>
  <c r="G7" i="29" s="1"/>
  <c r="E20" i="58"/>
  <c r="E32" i="58" s="1"/>
  <c r="D15" i="25" s="1"/>
  <c r="E7" i="29" s="1"/>
  <c r="D20" i="58"/>
  <c r="B186" i="38"/>
  <c r="B188" i="38" s="1"/>
  <c r="B163" i="38"/>
  <c r="B165" i="38" s="1"/>
  <c r="B140" i="38"/>
  <c r="B142" i="38" s="1"/>
  <c r="B115" i="38"/>
  <c r="B117" i="38" s="1"/>
  <c r="B91" i="38"/>
  <c r="B93" i="38" s="1"/>
  <c r="E39" i="38"/>
  <c r="E41" i="38" s="1"/>
  <c r="B39" i="38"/>
  <c r="B41" i="38" s="1"/>
  <c r="H19" i="38"/>
  <c r="H21" i="38" s="1"/>
  <c r="E19" i="38"/>
  <c r="E21" i="38" s="1"/>
  <c r="B19" i="38"/>
  <c r="B21" i="38" s="1"/>
  <c r="E23" i="14"/>
  <c r="E24" i="14" s="1"/>
  <c r="AG6" i="5"/>
  <c r="AE21" i="5"/>
  <c r="CD18" i="5"/>
  <c r="CD17" i="5"/>
  <c r="BM18" i="5"/>
  <c r="BM17" i="5"/>
  <c r="AV17" i="5"/>
  <c r="AV16" i="5"/>
  <c r="AE18" i="5"/>
  <c r="AE17" i="5"/>
  <c r="P6" i="5"/>
  <c r="P14" i="5"/>
  <c r="J28" i="37"/>
  <c r="K28" i="37" s="1"/>
  <c r="E20" i="37"/>
  <c r="D20" i="37"/>
  <c r="E19" i="37"/>
  <c r="D19" i="37"/>
  <c r="E18" i="37"/>
  <c r="D18" i="37"/>
  <c r="E17" i="37"/>
  <c r="F17" i="37" s="1"/>
  <c r="CF6" i="5"/>
  <c r="CD19" i="5"/>
  <c r="CF19" i="5"/>
  <c r="CD21" i="5"/>
  <c r="CD33" i="5"/>
  <c r="BO6" i="5"/>
  <c r="BM19" i="5"/>
  <c r="BO19" i="5"/>
  <c r="BM21" i="5"/>
  <c r="BO21" i="5"/>
  <c r="BM33" i="5"/>
  <c r="AX6" i="5"/>
  <c r="AV18" i="5"/>
  <c r="AX18" i="5"/>
  <c r="AV20" i="5"/>
  <c r="AX20" i="5"/>
  <c r="AV32" i="5"/>
  <c r="AE19" i="5"/>
  <c r="AG19" i="5"/>
  <c r="AG21" i="5"/>
  <c r="AE33" i="5"/>
  <c r="C32" i="33"/>
  <c r="C31" i="33"/>
  <c r="C30" i="33"/>
  <c r="D32" i="33"/>
  <c r="D31" i="33"/>
  <c r="D30" i="33"/>
  <c r="D24" i="33"/>
  <c r="D25" i="33" s="1"/>
  <c r="C24" i="33"/>
  <c r="C25" i="33" s="1"/>
  <c r="C27" i="33"/>
  <c r="C26" i="33"/>
  <c r="D27" i="33"/>
  <c r="D26" i="33"/>
  <c r="E11" i="33"/>
  <c r="B11" i="33"/>
  <c r="E10" i="33"/>
  <c r="B10" i="33"/>
  <c r="C7" i="29"/>
  <c r="E11" i="2"/>
  <c r="C4" i="61" s="1"/>
  <c r="C5" i="61" s="1"/>
  <c r="C27" i="2"/>
  <c r="E35" i="23" s="1"/>
  <c r="C45" i="2"/>
  <c r="G33" i="23" s="1"/>
  <c r="D25" i="12"/>
  <c r="G25" i="12"/>
  <c r="D23" i="14"/>
  <c r="D24" i="14" s="1"/>
  <c r="E25" i="12"/>
  <c r="F25" i="12"/>
  <c r="E51" i="2"/>
  <c r="G4" i="61" s="1"/>
  <c r="E4" i="61"/>
  <c r="E21" i="2"/>
  <c r="D4" i="61" s="1"/>
  <c r="E41" i="2"/>
  <c r="F4" i="61" s="1"/>
  <c r="C46" i="2"/>
  <c r="G34" i="23" s="1"/>
  <c r="C48" i="2"/>
  <c r="C49" i="2"/>
  <c r="G36" i="23" s="1"/>
  <c r="C47" i="2"/>
  <c r="G35" i="23" s="1"/>
  <c r="C36" i="2"/>
  <c r="F34" i="23" s="1"/>
  <c r="C38" i="2"/>
  <c r="C39" i="2"/>
  <c r="F36" i="23" s="1"/>
  <c r="C37" i="2"/>
  <c r="F35" i="23" s="1"/>
  <c r="C35" i="2"/>
  <c r="F33" i="23" s="1"/>
  <c r="C26" i="2"/>
  <c r="E34" i="23" s="1"/>
  <c r="C25" i="2"/>
  <c r="E33" i="23" s="1"/>
  <c r="C16" i="2"/>
  <c r="D34" i="23" s="1"/>
  <c r="C15" i="2"/>
  <c r="D33" i="23" s="1"/>
  <c r="P16" i="5"/>
  <c r="N27" i="5"/>
  <c r="N16" i="5"/>
  <c r="N14" i="5"/>
  <c r="B24" i="31" l="1"/>
  <c r="AV6" i="5"/>
  <c r="CD6" i="5"/>
  <c r="B20" i="23"/>
  <c r="B10" i="25" s="1"/>
  <c r="I21" i="59"/>
  <c r="F9" i="19"/>
  <c r="F13" i="19" s="1"/>
  <c r="F43" i="23" s="1"/>
  <c r="G21" i="59"/>
  <c r="G9" i="19"/>
  <c r="G13" i="19" s="1"/>
  <c r="G43" i="23" s="1"/>
  <c r="E9" i="19"/>
  <c r="E13" i="19" s="1"/>
  <c r="E43" i="23" s="1"/>
  <c r="D9" i="19"/>
  <c r="D13" i="19" s="1"/>
  <c r="D43" i="23" s="1"/>
  <c r="K21" i="59"/>
  <c r="E11" i="28"/>
  <c r="F11" i="28" s="1"/>
  <c r="B11" i="28"/>
  <c r="D11" i="28"/>
  <c r="M16" i="59"/>
  <c r="M21" i="59" s="1"/>
  <c r="F13" i="61"/>
  <c r="E13" i="61"/>
  <c r="C13" i="61"/>
  <c r="G13" i="61"/>
  <c r="D13" i="61"/>
  <c r="E48" i="23"/>
  <c r="E11" i="25" s="1"/>
  <c r="D5" i="39"/>
  <c r="B26" i="2"/>
  <c r="B27" i="2"/>
  <c r="F48" i="23"/>
  <c r="F11" i="25" s="1"/>
  <c r="I9" i="18"/>
  <c r="G19" i="39"/>
  <c r="F22" i="39"/>
  <c r="B35" i="2" s="1"/>
  <c r="B18" i="31"/>
  <c r="D32" i="58"/>
  <c r="I20" i="58"/>
  <c r="I34" i="58" s="1"/>
  <c r="CF25" i="5"/>
  <c r="CF34" i="5" s="1"/>
  <c r="F6" i="1" s="1"/>
  <c r="F19" i="37"/>
  <c r="AG25" i="5"/>
  <c r="AG34" i="5" s="1"/>
  <c r="C6" i="1" s="1"/>
  <c r="F20" i="37"/>
  <c r="G20" i="37" s="1"/>
  <c r="H20" i="37" s="1"/>
  <c r="I20" i="37" s="1"/>
  <c r="C50" i="2"/>
  <c r="BM6" i="5"/>
  <c r="BM25" i="5" s="1"/>
  <c r="BM34" i="5" s="1"/>
  <c r="F49" i="23" s="1"/>
  <c r="F13" i="25" s="1"/>
  <c r="BO25" i="5"/>
  <c r="BO34" i="5" s="1"/>
  <c r="E6" i="1" s="1"/>
  <c r="CD25" i="5"/>
  <c r="CD34" i="5" s="1"/>
  <c r="G49" i="23" s="1"/>
  <c r="G13" i="25" s="1"/>
  <c r="AX24" i="5"/>
  <c r="AX33" i="5" s="1"/>
  <c r="D6" i="1" s="1"/>
  <c r="AV24" i="5"/>
  <c r="AV33" i="5" s="1"/>
  <c r="E49" i="23" s="1"/>
  <c r="E13" i="25" s="1"/>
  <c r="AE6" i="5"/>
  <c r="AE25" i="5" s="1"/>
  <c r="AE34" i="5" s="1"/>
  <c r="D49" i="23" s="1"/>
  <c r="D13" i="25" s="1"/>
  <c r="K17" i="37"/>
  <c r="F18" i="37"/>
  <c r="C30" i="2"/>
  <c r="C40" i="2"/>
  <c r="P20" i="5"/>
  <c r="P28" i="5" s="1"/>
  <c r="B6" i="1" s="1"/>
  <c r="J17" i="37"/>
  <c r="N20" i="5"/>
  <c r="N28" i="5" s="1"/>
  <c r="D10" i="33"/>
  <c r="C10" i="33"/>
  <c r="D11" i="33"/>
  <c r="C11" i="33"/>
  <c r="C20" i="2"/>
  <c r="G19" i="37" l="1"/>
  <c r="H19" i="37" s="1"/>
  <c r="I19" i="37" s="1"/>
  <c r="F9" i="29"/>
  <c r="C49" i="23"/>
  <c r="C13" i="25" s="1"/>
  <c r="B26" i="31"/>
  <c r="B19" i="23" s="1"/>
  <c r="G22" i="39"/>
  <c r="G9" i="29"/>
  <c r="G11" i="28"/>
  <c r="E14" i="1"/>
  <c r="F37" i="23" s="1"/>
  <c r="D44" i="37"/>
  <c r="E5" i="1" s="1"/>
  <c r="F6" i="61"/>
  <c r="G48" i="23"/>
  <c r="G11" i="25" s="1"/>
  <c r="K9" i="18"/>
  <c r="F14" i="1"/>
  <c r="G37" i="23" s="1"/>
  <c r="E44" i="37"/>
  <c r="F5" i="1" s="1"/>
  <c r="G6" i="61"/>
  <c r="C14" i="1"/>
  <c r="D37" i="23" s="1"/>
  <c r="D6" i="61"/>
  <c r="B44" i="37"/>
  <c r="C5" i="1" s="1"/>
  <c r="D33" i="58"/>
  <c r="E33" i="58" s="1"/>
  <c r="F33" i="58" s="1"/>
  <c r="G33" i="58" s="1"/>
  <c r="H33" i="58" s="1"/>
  <c r="C15" i="25"/>
  <c r="F48" i="20"/>
  <c r="D14" i="1"/>
  <c r="E37" i="23" s="1"/>
  <c r="E6" i="61"/>
  <c r="C44" i="37"/>
  <c r="E5" i="39"/>
  <c r="B36" i="2"/>
  <c r="B37" i="2"/>
  <c r="B38" i="2"/>
  <c r="B39" i="2"/>
  <c r="G18" i="37"/>
  <c r="H18" i="37" s="1"/>
  <c r="I18" i="37" s="1"/>
  <c r="G17" i="37"/>
  <c r="H17" i="37" s="1"/>
  <c r="I17" i="37" s="1"/>
  <c r="B9" i="1"/>
  <c r="C4" i="1" s="1"/>
  <c r="B13" i="25" l="1"/>
  <c r="B17" i="25" s="1"/>
  <c r="B18" i="25" s="1"/>
  <c r="B20" i="25" s="1"/>
  <c r="B23" i="25" s="1"/>
  <c r="E21" i="31"/>
  <c r="B21" i="23"/>
  <c r="F98" i="20"/>
  <c r="S17" i="20"/>
  <c r="G5" i="61"/>
  <c r="D7" i="29"/>
  <c r="E12" i="28"/>
  <c r="D12" i="28"/>
  <c r="D13" i="28" s="1"/>
  <c r="F5" i="39"/>
  <c r="B47" i="2"/>
  <c r="B46" i="2"/>
  <c r="B49" i="2"/>
  <c r="B48" i="2"/>
  <c r="D98" i="20"/>
  <c r="Q17" i="20"/>
  <c r="E5" i="61"/>
  <c r="C98" i="20"/>
  <c r="P17" i="20"/>
  <c r="D5" i="61"/>
  <c r="E98" i="20"/>
  <c r="R17" i="20"/>
  <c r="F5" i="61"/>
  <c r="B45" i="2"/>
  <c r="C4" i="29"/>
  <c r="C9" i="29" s="1"/>
  <c r="F12" i="28" l="1"/>
  <c r="E13" i="28"/>
  <c r="C8" i="12"/>
  <c r="C7" i="12"/>
  <c r="C6" i="12"/>
  <c r="C5" i="12"/>
  <c r="H9" i="29"/>
  <c r="D9" i="29"/>
  <c r="E9" i="29"/>
  <c r="C11" i="12"/>
  <c r="G12" i="28" l="1"/>
  <c r="G13" i="28" s="1"/>
  <c r="F13" i="28"/>
  <c r="C10" i="12"/>
  <c r="C9" i="12"/>
  <c r="C13" i="12"/>
  <c r="C12" i="12"/>
  <c r="C12" i="28"/>
  <c r="C13" i="28" s="1"/>
  <c r="E14" i="12" l="1"/>
  <c r="D14" i="12"/>
  <c r="C9" i="1"/>
  <c r="D4" i="1" s="1"/>
  <c r="B11" i="1" l="1"/>
  <c r="B13" i="1" s="1"/>
  <c r="C11" i="1"/>
  <c r="C13" i="1" s="1"/>
  <c r="C20" i="62" l="1"/>
  <c r="G23" i="59"/>
  <c r="D14" i="61"/>
  <c r="B20" i="62"/>
  <c r="E23" i="59"/>
  <c r="C14" i="61"/>
  <c r="D7" i="61"/>
  <c r="C7" i="61"/>
  <c r="F5" i="18"/>
  <c r="D5" i="18"/>
  <c r="C30" i="23"/>
  <c r="B97" i="20"/>
  <c r="O16" i="20"/>
  <c r="O18" i="20" s="1"/>
  <c r="B23" i="20"/>
  <c r="B18" i="62"/>
  <c r="D6" i="18"/>
  <c r="D8" i="18"/>
  <c r="G6" i="20"/>
  <c r="G7" i="20"/>
  <c r="G8" i="20"/>
  <c r="G9" i="20"/>
  <c r="G10" i="20"/>
  <c r="G11" i="20"/>
  <c r="E22" i="59"/>
  <c r="D7" i="18"/>
  <c r="C12" i="19"/>
  <c r="C26" i="23"/>
  <c r="C50" i="23" s="1"/>
  <c r="C14" i="25" s="1"/>
  <c r="C17" i="25" s="1"/>
  <c r="C27" i="23"/>
  <c r="D30" i="23"/>
  <c r="C97" i="20"/>
  <c r="P16" i="20"/>
  <c r="P18" i="20" s="1"/>
  <c r="C23" i="20"/>
  <c r="C18" i="62"/>
  <c r="F6" i="18"/>
  <c r="F8" i="18"/>
  <c r="F7" i="18"/>
  <c r="D4" i="19"/>
  <c r="D12" i="19"/>
  <c r="H6" i="20"/>
  <c r="H7" i="20"/>
  <c r="H8" i="20"/>
  <c r="H9" i="20"/>
  <c r="H10" i="20"/>
  <c r="H11" i="20"/>
  <c r="G22" i="59"/>
  <c r="D27" i="23"/>
  <c r="D26" i="23"/>
  <c r="D50" i="23" s="1"/>
  <c r="D14" i="25" s="1"/>
  <c r="H5" i="58"/>
  <c r="H6" i="58"/>
  <c r="H7" i="58"/>
  <c r="H8" i="58"/>
  <c r="H9" i="58"/>
  <c r="H10" i="58"/>
  <c r="H11" i="58"/>
  <c r="H12" i="58"/>
  <c r="H13" i="58"/>
  <c r="H14" i="58"/>
  <c r="H4" i="58"/>
  <c r="D10" i="19"/>
  <c r="C4" i="19"/>
  <c r="C10" i="19"/>
  <c r="G14" i="58"/>
  <c r="G5" i="58"/>
  <c r="G6" i="58"/>
  <c r="G7" i="58"/>
  <c r="G8" i="58"/>
  <c r="G9" i="58"/>
  <c r="G10" i="58"/>
  <c r="G11" i="58"/>
  <c r="G12" i="58"/>
  <c r="G13" i="58"/>
  <c r="G4" i="58"/>
  <c r="D5" i="19"/>
  <c r="C5" i="19"/>
  <c r="F5" i="2"/>
  <c r="F6" i="2"/>
  <c r="B15" i="1"/>
  <c r="C5" i="25" s="1"/>
  <c r="D9" i="1"/>
  <c r="E4" i="1" s="1"/>
  <c r="F15" i="2"/>
  <c r="F16" i="2"/>
  <c r="C15" i="1"/>
  <c r="D5" i="25" s="1"/>
  <c r="D6" i="28" l="1"/>
  <c r="D37" i="28" s="1"/>
  <c r="C6" i="19"/>
  <c r="D5" i="28"/>
  <c r="C5" i="28"/>
  <c r="B5" i="28" s="1"/>
  <c r="B13" i="23" s="1"/>
  <c r="H12" i="20"/>
  <c r="G12" i="20"/>
  <c r="C6" i="28"/>
  <c r="C37" i="28" s="1"/>
  <c r="G15" i="58"/>
  <c r="D9" i="18"/>
  <c r="C8" i="61" s="1"/>
  <c r="F9" i="18"/>
  <c r="D8" i="61" s="1"/>
  <c r="H15" i="58"/>
  <c r="C31" i="25"/>
  <c r="C30" i="25"/>
  <c r="C52" i="23"/>
  <c r="C14" i="19"/>
  <c r="C15" i="61" s="1"/>
  <c r="C3" i="64" s="1"/>
  <c r="C5" i="64" s="1"/>
  <c r="B25" i="20"/>
  <c r="B24" i="20"/>
  <c r="C40" i="23"/>
  <c r="B99" i="20"/>
  <c r="B102" i="20"/>
  <c r="D31" i="25"/>
  <c r="D14" i="19"/>
  <c r="D17" i="25"/>
  <c r="D30" i="25" s="1"/>
  <c r="D52" i="23"/>
  <c r="C25" i="20"/>
  <c r="C24" i="20"/>
  <c r="D40" i="23"/>
  <c r="C99" i="20"/>
  <c r="C102" i="20"/>
  <c r="D6" i="19"/>
  <c r="G20" i="2"/>
  <c r="G10" i="2"/>
  <c r="F10" i="2"/>
  <c r="N29" i="5"/>
  <c r="AE35" i="5"/>
  <c r="D11" i="1"/>
  <c r="D13" i="1" s="1"/>
  <c r="D20" i="62" l="1"/>
  <c r="I23" i="59"/>
  <c r="E14" i="61"/>
  <c r="E7" i="61"/>
  <c r="H5" i="18"/>
  <c r="D15" i="61"/>
  <c r="D3" i="64" s="1"/>
  <c r="D5" i="64" s="1"/>
  <c r="C16" i="61"/>
  <c r="C10" i="61" s="1"/>
  <c r="B28" i="20"/>
  <c r="B29" i="20" s="1"/>
  <c r="N36" i="20" s="1"/>
  <c r="C28" i="20"/>
  <c r="C29" i="20" s="1"/>
  <c r="N43" i="20" s="1"/>
  <c r="C6" i="25"/>
  <c r="B26" i="20"/>
  <c r="E30" i="23"/>
  <c r="D97" i="20"/>
  <c r="D23" i="20"/>
  <c r="Q16" i="20"/>
  <c r="Q18" i="20" s="1"/>
  <c r="D18" i="62"/>
  <c r="H8" i="18"/>
  <c r="H6" i="18"/>
  <c r="E12" i="19"/>
  <c r="I22" i="59"/>
  <c r="I6" i="20"/>
  <c r="I7" i="20"/>
  <c r="I8" i="20"/>
  <c r="I9" i="20"/>
  <c r="I10" i="20"/>
  <c r="I11" i="20"/>
  <c r="H7" i="18"/>
  <c r="E26" i="23"/>
  <c r="E28" i="23"/>
  <c r="E27" i="23"/>
  <c r="D6" i="25"/>
  <c r="C26" i="20"/>
  <c r="E10" i="19"/>
  <c r="I5" i="58"/>
  <c r="I6" i="58"/>
  <c r="I7" i="58"/>
  <c r="I8" i="58"/>
  <c r="I9" i="58"/>
  <c r="I10" i="58"/>
  <c r="I11" i="58"/>
  <c r="I12" i="58"/>
  <c r="I13" i="58"/>
  <c r="I14" i="58"/>
  <c r="I4" i="58"/>
  <c r="E5" i="19"/>
  <c r="E4" i="19"/>
  <c r="C4" i="33"/>
  <c r="C14" i="33" s="1"/>
  <c r="B30" i="33"/>
  <c r="D4" i="33"/>
  <c r="D15" i="1"/>
  <c r="E5" i="25" s="1"/>
  <c r="F25" i="2"/>
  <c r="F27" i="2"/>
  <c r="F26" i="2"/>
  <c r="E9" i="1"/>
  <c r="F4" i="1" s="1"/>
  <c r="F9" i="1" s="1"/>
  <c r="C6" i="29"/>
  <c r="E6" i="28" l="1"/>
  <c r="E37" i="28" s="1"/>
  <c r="D16" i="61"/>
  <c r="D10" i="61" s="1"/>
  <c r="C17" i="20" s="1"/>
  <c r="N33" i="20"/>
  <c r="N34" i="20"/>
  <c r="N35" i="20"/>
  <c r="E5" i="28"/>
  <c r="I12" i="20"/>
  <c r="N41" i="20"/>
  <c r="N40" i="20"/>
  <c r="N42" i="20"/>
  <c r="E6" i="19"/>
  <c r="C41" i="23"/>
  <c r="C7" i="25" s="1"/>
  <c r="C36" i="25" s="1"/>
  <c r="E37" i="20"/>
  <c r="G37" i="20" s="1"/>
  <c r="E50" i="23"/>
  <c r="I15" i="58"/>
  <c r="H9" i="18"/>
  <c r="E8" i="61" s="1"/>
  <c r="J36" i="20"/>
  <c r="J35" i="20"/>
  <c r="J34" i="20"/>
  <c r="J33" i="20"/>
  <c r="B34" i="20"/>
  <c r="B27" i="20"/>
  <c r="C34" i="20" s="1"/>
  <c r="C36" i="20" s="1"/>
  <c r="E31" i="25"/>
  <c r="E14" i="19"/>
  <c r="C27" i="20"/>
  <c r="C46" i="20" s="1"/>
  <c r="C48" i="20" s="1"/>
  <c r="J43" i="20"/>
  <c r="J42" i="20"/>
  <c r="J41" i="20"/>
  <c r="J40" i="20"/>
  <c r="B46" i="20"/>
  <c r="E40" i="23"/>
  <c r="D24" i="20"/>
  <c r="D25" i="20"/>
  <c r="D99" i="20"/>
  <c r="D102" i="20"/>
  <c r="G30" i="2"/>
  <c r="B3" i="33"/>
  <c r="C15" i="33"/>
  <c r="F11" i="1"/>
  <c r="F13" i="1" s="1"/>
  <c r="E11" i="1"/>
  <c r="E13" i="1" s="1"/>
  <c r="F20" i="62" l="1"/>
  <c r="M23" i="59"/>
  <c r="G14" i="61"/>
  <c r="E20" i="62"/>
  <c r="K23" i="59"/>
  <c r="F14" i="61"/>
  <c r="E48" i="20"/>
  <c r="G48" i="20" s="1"/>
  <c r="C52" i="20" s="1"/>
  <c r="C54" i="20" s="1"/>
  <c r="C93" i="20" s="1"/>
  <c r="E46" i="20"/>
  <c r="G46" i="20" s="1"/>
  <c r="E47" i="20"/>
  <c r="E49" i="20"/>
  <c r="G49" i="20" s="1"/>
  <c r="C103" i="20"/>
  <c r="C16" i="20"/>
  <c r="C18" i="20" s="1"/>
  <c r="C30" i="20" s="1"/>
  <c r="C20" i="20" s="1"/>
  <c r="L40" i="20" s="1"/>
  <c r="Q40" i="20" s="1"/>
  <c r="D41" i="23"/>
  <c r="D7" i="25" s="1"/>
  <c r="D9" i="61"/>
  <c r="G7" i="61"/>
  <c r="F7" i="61"/>
  <c r="L5" i="18"/>
  <c r="J5" i="18"/>
  <c r="E14" i="25"/>
  <c r="E17" i="25" s="1"/>
  <c r="E30" i="25" s="1"/>
  <c r="E15" i="61"/>
  <c r="C42" i="23"/>
  <c r="C44" i="23" s="1"/>
  <c r="E52" i="23"/>
  <c r="D26" i="20"/>
  <c r="J47" i="20" s="1"/>
  <c r="C8" i="25"/>
  <c r="C37" i="25"/>
  <c r="B17" i="20"/>
  <c r="E34" i="20"/>
  <c r="G34" i="20" s="1"/>
  <c r="C9" i="61"/>
  <c r="E36" i="20"/>
  <c r="G36" i="20" s="1"/>
  <c r="C40" i="20" s="1"/>
  <c r="C42" i="20" s="1"/>
  <c r="B93" i="20" s="1"/>
  <c r="E35" i="20"/>
  <c r="B16" i="20"/>
  <c r="B18" i="20" s="1"/>
  <c r="B103" i="20"/>
  <c r="K33" i="20"/>
  <c r="R33" i="20" s="1"/>
  <c r="K34" i="20"/>
  <c r="R34" i="20" s="1"/>
  <c r="K35" i="20"/>
  <c r="R35" i="20" s="1"/>
  <c r="K36" i="20"/>
  <c r="R36" i="20" s="1"/>
  <c r="F30" i="23"/>
  <c r="E97" i="20"/>
  <c r="R16" i="20"/>
  <c r="R18" i="20" s="1"/>
  <c r="E23" i="20"/>
  <c r="E18" i="62"/>
  <c r="J6" i="18"/>
  <c r="J8" i="18"/>
  <c r="F12" i="19"/>
  <c r="J6" i="20"/>
  <c r="J7" i="20"/>
  <c r="J8" i="20"/>
  <c r="J9" i="20"/>
  <c r="J10" i="20"/>
  <c r="J11" i="20"/>
  <c r="J7" i="18"/>
  <c r="K22" i="59"/>
  <c r="F26" i="23"/>
  <c r="F29" i="23"/>
  <c r="F27" i="23"/>
  <c r="F28" i="23"/>
  <c r="G30" i="23"/>
  <c r="F97" i="20"/>
  <c r="S16" i="20"/>
  <c r="S18" i="20" s="1"/>
  <c r="F23" i="20"/>
  <c r="F18" i="62"/>
  <c r="L6" i="18"/>
  <c r="L8" i="18"/>
  <c r="G12" i="19"/>
  <c r="K6" i="20"/>
  <c r="K7" i="20"/>
  <c r="K8" i="20"/>
  <c r="K9" i="20"/>
  <c r="K10" i="20"/>
  <c r="K11" i="20"/>
  <c r="L7" i="18"/>
  <c r="M22" i="59"/>
  <c r="G26" i="23"/>
  <c r="G27" i="23"/>
  <c r="G29" i="23"/>
  <c r="G28" i="23"/>
  <c r="D28" i="20"/>
  <c r="D29" i="20" s="1"/>
  <c r="E6" i="25"/>
  <c r="K40" i="20"/>
  <c r="R40" i="20" s="1"/>
  <c r="K41" i="20"/>
  <c r="R41" i="20" s="1"/>
  <c r="K42" i="20"/>
  <c r="R42" i="20" s="1"/>
  <c r="K43" i="20"/>
  <c r="R43" i="20" s="1"/>
  <c r="AV34" i="5"/>
  <c r="F10" i="19"/>
  <c r="J5" i="58"/>
  <c r="J6" i="58"/>
  <c r="J7" i="58"/>
  <c r="J8" i="58"/>
  <c r="J9" i="58"/>
  <c r="J10" i="58"/>
  <c r="J11" i="58"/>
  <c r="J12" i="58"/>
  <c r="J13" i="58"/>
  <c r="J14" i="58"/>
  <c r="J4" i="58"/>
  <c r="K5" i="58"/>
  <c r="K6" i="58"/>
  <c r="K7" i="58"/>
  <c r="K8" i="58"/>
  <c r="K9" i="58"/>
  <c r="K10" i="58"/>
  <c r="K11" i="58"/>
  <c r="K12" i="58"/>
  <c r="K13" i="58"/>
  <c r="K14" i="58"/>
  <c r="K4" i="58"/>
  <c r="G5" i="19"/>
  <c r="G10" i="19"/>
  <c r="G4" i="19"/>
  <c r="F5" i="19"/>
  <c r="F4" i="19"/>
  <c r="F15" i="1"/>
  <c r="G5" i="25" s="1"/>
  <c r="F46" i="2"/>
  <c r="F45" i="2"/>
  <c r="F49" i="2"/>
  <c r="F48" i="2"/>
  <c r="F47" i="2"/>
  <c r="F38" i="2"/>
  <c r="E15" i="1"/>
  <c r="F5" i="25" s="1"/>
  <c r="F37" i="2"/>
  <c r="F35" i="2"/>
  <c r="F39" i="2"/>
  <c r="F36" i="2"/>
  <c r="E4" i="33"/>
  <c r="E16" i="61" l="1"/>
  <c r="E10" i="61" s="1"/>
  <c r="D103" i="20" s="1"/>
  <c r="E3" i="64"/>
  <c r="E5" i="64" s="1"/>
  <c r="C28" i="25"/>
  <c r="C18" i="28"/>
  <c r="C39" i="28" s="1"/>
  <c r="J48" i="20"/>
  <c r="K48" i="20" s="1"/>
  <c r="R48" i="20" s="1"/>
  <c r="D42" i="23"/>
  <c r="D44" i="23" s="1"/>
  <c r="F5" i="28"/>
  <c r="G5" i="28"/>
  <c r="K12" i="20"/>
  <c r="J12" i="20"/>
  <c r="J50" i="20"/>
  <c r="K50" i="20" s="1"/>
  <c r="R50" i="20" s="1"/>
  <c r="R8" i="20"/>
  <c r="S8" i="20" s="1"/>
  <c r="J49" i="20"/>
  <c r="K49" i="20" s="1"/>
  <c r="R49" i="20" s="1"/>
  <c r="F6" i="19"/>
  <c r="D27" i="20"/>
  <c r="C57" i="20" s="1"/>
  <c r="C59" i="20" s="1"/>
  <c r="B57" i="20"/>
  <c r="R7" i="20"/>
  <c r="S7" i="20" s="1"/>
  <c r="P5" i="20"/>
  <c r="Q5" i="20" s="1"/>
  <c r="P6" i="20"/>
  <c r="N6" i="20" s="1"/>
  <c r="O6" i="20" s="1"/>
  <c r="G6" i="19"/>
  <c r="C9" i="25"/>
  <c r="C18" i="25" s="1"/>
  <c r="D36" i="25"/>
  <c r="D8" i="25"/>
  <c r="D37" i="25"/>
  <c r="P8" i="20"/>
  <c r="R5" i="20"/>
  <c r="S5" i="20" s="1"/>
  <c r="B30" i="20"/>
  <c r="B20" i="20" s="1"/>
  <c r="S36" i="20" s="1"/>
  <c r="L42" i="20"/>
  <c r="Q42" i="20" s="1"/>
  <c r="S42" i="20"/>
  <c r="L41" i="20"/>
  <c r="Q41" i="20" s="1"/>
  <c r="S40" i="20"/>
  <c r="G52" i="20"/>
  <c r="S43" i="20"/>
  <c r="L43" i="20"/>
  <c r="Q43" i="20" s="1"/>
  <c r="S41" i="20"/>
  <c r="D47" i="20"/>
  <c r="G47" i="20" s="1"/>
  <c r="D53" i="20" s="1"/>
  <c r="J15" i="58"/>
  <c r="P7" i="20"/>
  <c r="Q7" i="20" s="1"/>
  <c r="K15" i="58"/>
  <c r="R6" i="20"/>
  <c r="S6" i="20" s="1"/>
  <c r="D40" i="20"/>
  <c r="R37" i="20"/>
  <c r="B40" i="20" s="1"/>
  <c r="F31" i="25"/>
  <c r="G50" i="2"/>
  <c r="G31" i="25"/>
  <c r="G14" i="19"/>
  <c r="F14" i="19"/>
  <c r="D52" i="20"/>
  <c r="R44" i="20"/>
  <c r="B52" i="20" s="1"/>
  <c r="N50" i="20"/>
  <c r="N49" i="20"/>
  <c r="N48" i="20"/>
  <c r="N47" i="20"/>
  <c r="K47" i="20"/>
  <c r="R47" i="20" s="1"/>
  <c r="G6" i="28"/>
  <c r="G37" i="28" s="1"/>
  <c r="G50" i="23"/>
  <c r="G14" i="25" s="1"/>
  <c r="L9" i="18"/>
  <c r="G8" i="61" s="1"/>
  <c r="G40" i="23"/>
  <c r="F25" i="20"/>
  <c r="F24" i="20"/>
  <c r="F99" i="20"/>
  <c r="F102" i="20"/>
  <c r="F6" i="28"/>
  <c r="F37" i="28" s="1"/>
  <c r="F50" i="23"/>
  <c r="F14" i="25" s="1"/>
  <c r="J9" i="18"/>
  <c r="F8" i="61" s="1"/>
  <c r="F40" i="23"/>
  <c r="E25" i="20"/>
  <c r="E24" i="20"/>
  <c r="E99" i="20"/>
  <c r="E102" i="20"/>
  <c r="G40" i="2"/>
  <c r="CD35" i="5"/>
  <c r="E58" i="20" l="1"/>
  <c r="E60" i="20"/>
  <c r="G60" i="20" s="1"/>
  <c r="E57" i="20"/>
  <c r="G57" i="20" s="1"/>
  <c r="D63" i="20" s="1"/>
  <c r="E41" i="23"/>
  <c r="E7" i="25" s="1"/>
  <c r="E36" i="25" s="1"/>
  <c r="E59" i="20"/>
  <c r="G59" i="20" s="1"/>
  <c r="C63" i="20" s="1"/>
  <c r="C65" i="20" s="1"/>
  <c r="D93" i="20" s="1"/>
  <c r="D17" i="20"/>
  <c r="D16" i="20"/>
  <c r="D18" i="20" s="1"/>
  <c r="E9" i="61"/>
  <c r="F15" i="61"/>
  <c r="F3" i="64" s="1"/>
  <c r="F5" i="64" s="1"/>
  <c r="G15" i="61"/>
  <c r="Q6" i="20"/>
  <c r="T8" i="20"/>
  <c r="U8" i="20" s="1"/>
  <c r="C19" i="28"/>
  <c r="F28" i="20"/>
  <c r="F29" i="20" s="1"/>
  <c r="N61" i="20" s="1"/>
  <c r="G40" i="20"/>
  <c r="N5" i="20"/>
  <c r="O5" i="20" s="1"/>
  <c r="N7" i="20"/>
  <c r="O7" i="20" s="1"/>
  <c r="C29" i="25"/>
  <c r="P9" i="20"/>
  <c r="Q8" i="20"/>
  <c r="N8" i="20"/>
  <c r="O8" i="20" s="1"/>
  <c r="D28" i="25"/>
  <c r="D18" i="28"/>
  <c r="D9" i="25"/>
  <c r="L35" i="20"/>
  <c r="Q35" i="20" s="1"/>
  <c r="T7" i="20"/>
  <c r="U7" i="20" s="1"/>
  <c r="L36" i="20"/>
  <c r="Q36" i="20" s="1"/>
  <c r="S35" i="20"/>
  <c r="L33" i="20"/>
  <c r="Q33" i="20" s="1"/>
  <c r="L34" i="20"/>
  <c r="Q34" i="20" s="1"/>
  <c r="D35" i="20"/>
  <c r="G35" i="20" s="1"/>
  <c r="D41" i="20" s="1"/>
  <c r="D42" i="20" s="1"/>
  <c r="B91" i="20" s="1"/>
  <c r="S33" i="20"/>
  <c r="S34" i="20"/>
  <c r="D54" i="20"/>
  <c r="C91" i="20" s="1"/>
  <c r="G50" i="20"/>
  <c r="Q44" i="20"/>
  <c r="B53" i="20" s="1"/>
  <c r="E53" i="20" s="1"/>
  <c r="R51" i="20"/>
  <c r="B63" i="20" s="1"/>
  <c r="S9" i="20"/>
  <c r="T6" i="20"/>
  <c r="U6" i="20" s="1"/>
  <c r="R9" i="20"/>
  <c r="E28" i="20"/>
  <c r="E29" i="20" s="1"/>
  <c r="N57" i="20" s="1"/>
  <c r="T5" i="20"/>
  <c r="U5" i="20" s="1"/>
  <c r="C32" i="25"/>
  <c r="C20" i="25"/>
  <c r="B6" i="31"/>
  <c r="E40" i="20"/>
  <c r="B7" i="31"/>
  <c r="B15" i="23" s="1"/>
  <c r="B8" i="28" s="1"/>
  <c r="E26" i="20"/>
  <c r="F6" i="25"/>
  <c r="F52" i="23"/>
  <c r="F26" i="20"/>
  <c r="G6" i="25"/>
  <c r="G52" i="23"/>
  <c r="E52" i="20"/>
  <c r="BM35" i="5"/>
  <c r="F4" i="33"/>
  <c r="G4" i="33"/>
  <c r="B11" i="31" l="1"/>
  <c r="D30" i="20"/>
  <c r="D20" i="20" s="1"/>
  <c r="L49" i="20" s="1"/>
  <c r="Q49" i="20" s="1"/>
  <c r="E8" i="25"/>
  <c r="E28" i="25" s="1"/>
  <c r="E37" i="25"/>
  <c r="E42" i="23"/>
  <c r="E44" i="23" s="1"/>
  <c r="G16" i="61"/>
  <c r="G10" i="61" s="1"/>
  <c r="E82" i="20" s="1"/>
  <c r="G82" i="20" s="1"/>
  <c r="G3" i="64"/>
  <c r="G5" i="64" s="1"/>
  <c r="Q9" i="20"/>
  <c r="F16" i="61"/>
  <c r="F41" i="23" s="1"/>
  <c r="E63" i="20"/>
  <c r="D62" i="23"/>
  <c r="D8" i="28" s="1"/>
  <c r="N64" i="20"/>
  <c r="N62" i="20"/>
  <c r="N63" i="20"/>
  <c r="N54" i="20"/>
  <c r="N55" i="20"/>
  <c r="N56" i="20"/>
  <c r="B54" i="20"/>
  <c r="D61" i="23" s="1"/>
  <c r="E54" i="20"/>
  <c r="T9" i="20"/>
  <c r="D29" i="25"/>
  <c r="D18" i="25"/>
  <c r="U9" i="20"/>
  <c r="D19" i="28"/>
  <c r="D3" i="33" s="1"/>
  <c r="D39" i="28"/>
  <c r="Q37" i="20"/>
  <c r="B41" i="20" s="1"/>
  <c r="N9" i="20"/>
  <c r="D5" i="33"/>
  <c r="O9" i="20"/>
  <c r="G38" i="20"/>
  <c r="C62" i="23"/>
  <c r="C8" i="28" s="1"/>
  <c r="B14" i="23"/>
  <c r="B7" i="28" s="1"/>
  <c r="B9" i="28" s="1"/>
  <c r="C33" i="25"/>
  <c r="C23" i="25"/>
  <c r="G17" i="25"/>
  <c r="G30" i="25" s="1"/>
  <c r="B26" i="33" s="1"/>
  <c r="B79" i="20"/>
  <c r="J64" i="20"/>
  <c r="J63" i="20"/>
  <c r="J62" i="20"/>
  <c r="J61" i="20"/>
  <c r="F27" i="20"/>
  <c r="C79" i="20" s="1"/>
  <c r="F17" i="25"/>
  <c r="F30" i="25" s="1"/>
  <c r="E27" i="20"/>
  <c r="C68" i="20" s="1"/>
  <c r="C70" i="20" s="1"/>
  <c r="B68" i="20"/>
  <c r="J57" i="20"/>
  <c r="J56" i="20"/>
  <c r="J55" i="20"/>
  <c r="J54" i="20"/>
  <c r="C5" i="33"/>
  <c r="C3" i="33"/>
  <c r="B32" i="33"/>
  <c r="L50" i="20" l="1"/>
  <c r="Q50" i="20" s="1"/>
  <c r="D58" i="20"/>
  <c r="G58" i="20" s="1"/>
  <c r="G61" i="20" s="1"/>
  <c r="S47" i="20"/>
  <c r="L47" i="20"/>
  <c r="Q47" i="20" s="1"/>
  <c r="L48" i="20"/>
  <c r="Q48" i="20" s="1"/>
  <c r="E9" i="25"/>
  <c r="E29" i="25" s="1"/>
  <c r="S48" i="20"/>
  <c r="S49" i="20"/>
  <c r="G63" i="20"/>
  <c r="S50" i="20"/>
  <c r="F103" i="20"/>
  <c r="E80" i="20"/>
  <c r="G41" i="23"/>
  <c r="G7" i="25" s="1"/>
  <c r="G8" i="25" s="1"/>
  <c r="G28" i="25" s="1"/>
  <c r="E18" i="28"/>
  <c r="E39" i="28" s="1"/>
  <c r="F16" i="20"/>
  <c r="F18" i="20" s="1"/>
  <c r="G9" i="61"/>
  <c r="E81" i="20"/>
  <c r="F17" i="20"/>
  <c r="E79" i="20"/>
  <c r="G79" i="20" s="1"/>
  <c r="D85" i="20" s="1"/>
  <c r="F10" i="61"/>
  <c r="E16" i="20" s="1"/>
  <c r="E18" i="20" s="1"/>
  <c r="E41" i="20"/>
  <c r="E42" i="20" s="1"/>
  <c r="C92" i="20"/>
  <c r="C94" i="20" s="1"/>
  <c r="D38" i="28" s="1"/>
  <c r="F7" i="25"/>
  <c r="F8" i="25" s="1"/>
  <c r="B42" i="20"/>
  <c r="B92" i="20" s="1"/>
  <c r="B94" i="20" s="1"/>
  <c r="D19" i="25"/>
  <c r="D20" i="25" s="1"/>
  <c r="D6" i="33" s="1"/>
  <c r="D32" i="25"/>
  <c r="F42" i="23"/>
  <c r="F44" i="23" s="1"/>
  <c r="B34" i="28"/>
  <c r="C8" i="29" s="1"/>
  <c r="C10" i="29" s="1"/>
  <c r="B21" i="28" s="1"/>
  <c r="B15" i="28"/>
  <c r="K54" i="20"/>
  <c r="R54" i="20" s="1"/>
  <c r="K55" i="20"/>
  <c r="R55" i="20" s="1"/>
  <c r="K56" i="20"/>
  <c r="R56" i="20" s="1"/>
  <c r="K57" i="20"/>
  <c r="R57" i="20" s="1"/>
  <c r="C81" i="20"/>
  <c r="K61" i="20"/>
  <c r="R61" i="20" s="1"/>
  <c r="K62" i="20"/>
  <c r="R62" i="20" s="1"/>
  <c r="K63" i="20"/>
  <c r="R63" i="20" s="1"/>
  <c r="K64" i="20"/>
  <c r="R64" i="20" s="1"/>
  <c r="D7" i="28"/>
  <c r="D9" i="28" s="1"/>
  <c r="D63" i="23"/>
  <c r="C17" i="33"/>
  <c r="C16" i="33"/>
  <c r="D14" i="33"/>
  <c r="D16" i="33" s="1"/>
  <c r="D15" i="33"/>
  <c r="D17" i="33" s="1"/>
  <c r="D64" i="20" l="1"/>
  <c r="D65" i="20" s="1"/>
  <c r="D91" i="20" s="1"/>
  <c r="Q51" i="20"/>
  <c r="B64" i="20" s="1"/>
  <c r="B65" i="20" s="1"/>
  <c r="D92" i="20" s="1"/>
  <c r="E18" i="25"/>
  <c r="E32" i="25" s="1"/>
  <c r="F30" i="20"/>
  <c r="F20" i="20" s="1"/>
  <c r="G85" i="20" s="1"/>
  <c r="G18" i="28"/>
  <c r="G39" i="28" s="1"/>
  <c r="G9" i="25"/>
  <c r="G29" i="25" s="1"/>
  <c r="E19" i="28"/>
  <c r="E3" i="33" s="1"/>
  <c r="G42" i="23"/>
  <c r="G44" i="23" s="1"/>
  <c r="G36" i="25"/>
  <c r="G37" i="25"/>
  <c r="G81" i="20"/>
  <c r="C85" i="20" s="1"/>
  <c r="C87" i="20" s="1"/>
  <c r="F93" i="20" s="1"/>
  <c r="B29" i="28"/>
  <c r="B30" i="28" s="1"/>
  <c r="E70" i="20"/>
  <c r="G70" i="20" s="1"/>
  <c r="C74" i="20" s="1"/>
  <c r="C76" i="20" s="1"/>
  <c r="E93" i="20" s="1"/>
  <c r="E69" i="20"/>
  <c r="E71" i="20"/>
  <c r="G71" i="20" s="1"/>
  <c r="E103" i="20"/>
  <c r="E17" i="20"/>
  <c r="E30" i="20" s="1"/>
  <c r="E20" i="20" s="1"/>
  <c r="L57" i="20" s="1"/>
  <c r="Q57" i="20" s="1"/>
  <c r="F9" i="61"/>
  <c r="E68" i="20"/>
  <c r="G68" i="20" s="1"/>
  <c r="D74" i="20" s="1"/>
  <c r="C104" i="20"/>
  <c r="C105" i="20" s="1"/>
  <c r="X5" i="20"/>
  <c r="Y5" i="20" s="1"/>
  <c r="X6" i="20"/>
  <c r="Y6" i="20" s="1"/>
  <c r="V6" i="20"/>
  <c r="W6" i="20" s="1"/>
  <c r="F36" i="25"/>
  <c r="F28" i="25"/>
  <c r="F9" i="25"/>
  <c r="F29" i="25" s="1"/>
  <c r="F18" i="28"/>
  <c r="F19" i="28" s="1"/>
  <c r="C61" i="23"/>
  <c r="C63" i="23" s="1"/>
  <c r="F37" i="25"/>
  <c r="V5" i="20"/>
  <c r="W5" i="20" s="1"/>
  <c r="E6" i="29"/>
  <c r="X7" i="20"/>
  <c r="Y7" i="20" s="1"/>
  <c r="V8" i="20"/>
  <c r="W8" i="20" s="1"/>
  <c r="D23" i="25"/>
  <c r="D33" i="25"/>
  <c r="B24" i="25"/>
  <c r="B25" i="25" s="1"/>
  <c r="B22" i="28" s="1"/>
  <c r="B23" i="28" s="1"/>
  <c r="B25" i="28" s="1"/>
  <c r="B32" i="28" s="1"/>
  <c r="C14" i="29"/>
  <c r="X8" i="20"/>
  <c r="Y8" i="20" s="1"/>
  <c r="V7" i="20"/>
  <c r="W7" i="20" s="1"/>
  <c r="B104" i="20"/>
  <c r="B105" i="20" s="1"/>
  <c r="C38" i="28"/>
  <c r="D15" i="28"/>
  <c r="D34" i="28"/>
  <c r="R65" i="20"/>
  <c r="B85" i="20" s="1"/>
  <c r="R58" i="20"/>
  <c r="B74" i="20" s="1"/>
  <c r="E5" i="33"/>
  <c r="D6" i="29"/>
  <c r="C6" i="33"/>
  <c r="E62" i="23" l="1"/>
  <c r="E8" i="28" s="1"/>
  <c r="E64" i="20"/>
  <c r="E65" i="20" s="1"/>
  <c r="G19" i="28"/>
  <c r="L61" i="20"/>
  <c r="Q61" i="20" s="1"/>
  <c r="S61" i="20"/>
  <c r="S63" i="20"/>
  <c r="L64" i="20"/>
  <c r="Q64" i="20" s="1"/>
  <c r="E19" i="25"/>
  <c r="E20" i="25" s="1"/>
  <c r="E33" i="25" s="1"/>
  <c r="L62" i="20"/>
  <c r="Q62" i="20" s="1"/>
  <c r="L63" i="20"/>
  <c r="Q63" i="20" s="1"/>
  <c r="S64" i="20"/>
  <c r="D80" i="20"/>
  <c r="G80" i="20" s="1"/>
  <c r="D86" i="20" s="1"/>
  <c r="D87" i="20" s="1"/>
  <c r="F91" i="20" s="1"/>
  <c r="G18" i="25"/>
  <c r="G19" i="25" s="1"/>
  <c r="G20" i="25" s="1"/>
  <c r="G33" i="25" s="1"/>
  <c r="E61" i="23"/>
  <c r="E7" i="28" s="1"/>
  <c r="F18" i="25"/>
  <c r="F32" i="25" s="1"/>
  <c r="F39" i="28"/>
  <c r="C7" i="28"/>
  <c r="C9" i="28" s="1"/>
  <c r="C15" i="28" s="1"/>
  <c r="X9" i="20"/>
  <c r="W9" i="20"/>
  <c r="Y9" i="20"/>
  <c r="D69" i="20"/>
  <c r="G69" i="20" s="1"/>
  <c r="G72" i="20" s="1"/>
  <c r="S57" i="20"/>
  <c r="S55" i="20"/>
  <c r="S54" i="20"/>
  <c r="L56" i="20"/>
  <c r="Q56" i="20" s="1"/>
  <c r="S62" i="20"/>
  <c r="L55" i="20"/>
  <c r="Q55" i="20" s="1"/>
  <c r="S56" i="20"/>
  <c r="L54" i="20"/>
  <c r="Q54" i="20" s="1"/>
  <c r="G74" i="20"/>
  <c r="D94" i="20"/>
  <c r="V9" i="20"/>
  <c r="E74" i="20"/>
  <c r="E85" i="20"/>
  <c r="B24" i="33"/>
  <c r="E14" i="33"/>
  <c r="E16" i="33" s="1"/>
  <c r="E15" i="33"/>
  <c r="E17" i="33" s="1"/>
  <c r="B31" i="33"/>
  <c r="E9" i="28" l="1"/>
  <c r="G23" i="25"/>
  <c r="E23" i="25"/>
  <c r="G62" i="23"/>
  <c r="G8" i="28" s="1"/>
  <c r="G83" i="20"/>
  <c r="Q65" i="20"/>
  <c r="B86" i="20" s="1"/>
  <c r="E86" i="20" s="1"/>
  <c r="E87" i="20" s="1"/>
  <c r="G32" i="25"/>
  <c r="E63" i="23"/>
  <c r="F19" i="25"/>
  <c r="F20" i="25" s="1"/>
  <c r="D11" i="58"/>
  <c r="D8" i="58"/>
  <c r="D10" i="58"/>
  <c r="D9" i="58"/>
  <c r="C34" i="28"/>
  <c r="D75" i="20"/>
  <c r="D76" i="20" s="1"/>
  <c r="E91" i="20" s="1"/>
  <c r="Q58" i="20"/>
  <c r="B75" i="20" s="1"/>
  <c r="D7" i="58"/>
  <c r="D4" i="58"/>
  <c r="D6" i="58"/>
  <c r="D5" i="58"/>
  <c r="D12" i="58"/>
  <c r="E15" i="28"/>
  <c r="E34" i="28"/>
  <c r="E38" i="28"/>
  <c r="D104" i="20"/>
  <c r="D105" i="20" s="1"/>
  <c r="D14" i="58"/>
  <c r="D13" i="58"/>
  <c r="B25" i="33"/>
  <c r="G5" i="33"/>
  <c r="F3" i="33"/>
  <c r="G3" i="33"/>
  <c r="E6" i="33"/>
  <c r="F6" i="29"/>
  <c r="F5" i="33"/>
  <c r="B87" i="20" l="1"/>
  <c r="F92" i="20" s="1"/>
  <c r="F94" i="20" s="1"/>
  <c r="G38" i="28" s="1"/>
  <c r="F23" i="25"/>
  <c r="F33" i="25"/>
  <c r="B76" i="20"/>
  <c r="E92" i="20" s="1"/>
  <c r="E94" i="20" s="1"/>
  <c r="E104" i="20" s="1"/>
  <c r="E105" i="20" s="1"/>
  <c r="E75" i="20"/>
  <c r="E76" i="20" s="1"/>
  <c r="F62" i="23"/>
  <c r="F8" i="28" s="1"/>
  <c r="D8" i="29"/>
  <c r="D10" i="29" s="1"/>
  <c r="E8" i="29"/>
  <c r="E10" i="29" s="1"/>
  <c r="D24" i="25" s="1"/>
  <c r="F8" i="29"/>
  <c r="F10" i="29" s="1"/>
  <c r="E24" i="25" s="1"/>
  <c r="E25" i="25" s="1"/>
  <c r="D25" i="25" l="1"/>
  <c r="G61" i="23"/>
  <c r="G7" i="28" s="1"/>
  <c r="G9" i="28" s="1"/>
  <c r="G15" i="28" s="1"/>
  <c r="F104" i="20"/>
  <c r="F105" i="20" s="1"/>
  <c r="F61" i="23"/>
  <c r="F7" i="28" s="1"/>
  <c r="F9" i="28" s="1"/>
  <c r="F15" i="28" s="1"/>
  <c r="F38" i="28"/>
  <c r="C24" i="25"/>
  <c r="C25" i="25" s="1"/>
  <c r="C22" i="28" s="1"/>
  <c r="D22" i="28" s="1"/>
  <c r="E22" i="28" s="1"/>
  <c r="C21" i="28"/>
  <c r="G6" i="33"/>
  <c r="H6" i="29"/>
  <c r="B27" i="33"/>
  <c r="F6" i="33"/>
  <c r="G6" i="29"/>
  <c r="E14" i="29"/>
  <c r="D14" i="29"/>
  <c r="F14" i="29"/>
  <c r="G63" i="23" l="1"/>
  <c r="G34" i="28"/>
  <c r="F63" i="23"/>
  <c r="F34" i="28"/>
  <c r="D21" i="28"/>
  <c r="C23" i="28"/>
  <c r="C25" i="28" s="1"/>
  <c r="C32" i="28" s="1"/>
  <c r="C29" i="28"/>
  <c r="C30" i="28" s="1"/>
  <c r="H8" i="29" l="1"/>
  <c r="H10" i="29" s="1"/>
  <c r="I10" i="29" s="1"/>
  <c r="G8" i="29"/>
  <c r="E21" i="28"/>
  <c r="D23" i="28"/>
  <c r="D25" i="28" s="1"/>
  <c r="D32" i="28" s="1"/>
  <c r="D29" i="28"/>
  <c r="D30" i="28" s="1"/>
  <c r="G24" i="25" l="1"/>
  <c r="G25" i="25" s="1"/>
  <c r="G10" i="29"/>
  <c r="F24" i="25" s="1"/>
  <c r="F25" i="25" s="1"/>
  <c r="F22" i="28" s="1"/>
  <c r="G22" i="28" s="1"/>
  <c r="E23" i="28"/>
  <c r="E25" i="28" s="1"/>
  <c r="E32" i="28" s="1"/>
  <c r="E29" i="28"/>
  <c r="E30" i="28" s="1"/>
  <c r="H12" i="29" l="1"/>
  <c r="H14" i="29" s="1"/>
  <c r="F21" i="28"/>
  <c r="F29" i="28" s="1"/>
  <c r="F30" i="28" s="1"/>
  <c r="G14" i="29"/>
  <c r="B17" i="29" l="1"/>
  <c r="B19" i="29"/>
  <c r="F23" i="28"/>
  <c r="F25" i="28" s="1"/>
  <c r="F32" i="28" s="1"/>
  <c r="G21" i="28"/>
  <c r="G23" i="28" s="1"/>
  <c r="G25" i="28" s="1"/>
  <c r="G32" i="28" s="1"/>
  <c r="D12" i="50" l="1"/>
  <c r="B3" i="52" s="1"/>
  <c r="M18" i="25"/>
  <c r="B8" i="52"/>
  <c r="E7" i="50"/>
  <c r="B4" i="52"/>
  <c r="G29" i="28"/>
  <c r="G30" i="28" s="1"/>
  <c r="E2" i="50"/>
  <c r="E6" i="50"/>
  <c r="E5" i="50"/>
  <c r="H3" i="40"/>
  <c r="I3" i="40" s="1"/>
  <c r="B7" i="52" l="1"/>
  <c r="E4" i="50"/>
  <c r="B5" i="52"/>
  <c r="E3" i="50"/>
  <c r="B6"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tc={B2BAC6AF-19D7-4301-957D-AFDECD897CF6}</author>
  </authors>
  <commentList>
    <comment ref="C44" authorId="0" shapeId="0" xr:uid="{B2BAC6AF-19D7-4301-957D-AFDECD897CF6}">
      <text>
        <t>[Threaded comment]
Your version of Excel allows you to read this threaded comment; however, any edits to it will get removed if the file is opened in a newer version of Excel. Learn more: https://go.microsoft.com/fwlink/?linkid=870924
Comment:
    fill in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tc={AA108351-4A04-4A0C-A52F-756F92E6431A}</author>
    <author>tc={466376E4-91F2-4DFF-AA41-704D196F3032}</author>
    <author>tc={211821C6-9162-4D8B-8A96-F4E379028AF3}</author>
    <author>tc={091D614D-8837-4885-9B86-D0EF99F86002}</author>
  </authors>
  <commentList>
    <comment ref="A5" authorId="0" shapeId="0" xr:uid="{AA108351-4A04-4A0C-A52F-756F92E6431A}">
      <text>
        <t>[Threaded comment]
Your version of Excel allows you to read this threaded comment; however, any edits to it will get removed if the file is opened in a newer version of Excel. Learn more: https://go.microsoft.com/fwlink/?linkid=870924
Comment:
    change the 0.05 to link to assumptions</t>
      </text>
    </comment>
    <comment ref="A6" authorId="1" shapeId="0" xr:uid="{466376E4-91F2-4DFF-AA41-704D196F3032}">
      <text>
        <t>[Threaded comment]
Your version of Excel allows you to read this threaded comment; however, any edits to it will get removed if the file is opened in a newer version of Excel. Learn more: https://go.microsoft.com/fwlink/?linkid=870924
Comment:
    link days to assumptions</t>
      </text>
    </comment>
    <comment ref="A11" authorId="2" shapeId="0" xr:uid="{211821C6-9162-4D8B-8A96-F4E379028AF3}">
      <text>
        <t>[Threaded comment]
Your version of Excel allows you to read this threaded comment; however, any edits to it will get removed if the file is opened in a newer version of Excel. Learn more: https://go.microsoft.com/fwlink/?linkid=870924
Comment:
    ?</t>
      </text>
    </comment>
    <comment ref="A18" authorId="3" shapeId="0" xr:uid="{091D614D-8837-4885-9B86-D0EF99F86002}">
      <text>
        <t>[Threaded comment]
Your version of Excel allows you to read this threaded comment; however, any edits to it will get removed if the file is opened in a newer version of Excel. Learn more: https://go.microsoft.com/fwlink/?linkid=870924
Comment: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Zhang, Qiongyue</author>
  </authors>
  <commentList>
    <comment ref="B8" authorId="0" shapeId="0" xr:uid="{2B3F19A0-E780-4E10-A8F0-E329A825B34B}">
      <text>
        <r>
          <rPr>
            <sz val="12"/>
            <color theme="1"/>
            <rFont val="Calibri"/>
            <family val="2"/>
            <scheme val="minor"/>
          </rPr>
          <t>Zhang, Qiongyue:
Author links open overlay panelStefan Gössling a b c et al., “The Global Scale, Distribution and Growth of Aviation: Implications for Climate Change,” Global Environmental Change (Pergamon, November 1, 2020), https://www.sciencedirect.com/science/article/pii/S0959378020307779#:~:text=Previous%20sections%20have%20determined%20that,et%20al.%2C%202020.</t>
        </r>
      </text>
    </comment>
    <comment ref="B12" authorId="0" shapeId="0" xr:uid="{26BF3CB8-0424-4B48-AE9D-0CEB7D14C45F}">
      <text>
        <r>
          <rPr>
            <sz val="12"/>
            <color theme="1"/>
            <rFont val="Calibri"/>
            <family val="2"/>
            <scheme val="minor"/>
          </rPr>
          <t xml:space="preserve">Zhang, Qiongyue:
“Report Reveals That 81% of People Prefer to Buy from Sustainable Sellers.” Recycling Lives. Accessed April 24, 2023. https://recyclinglives.com/news/report-reveals-81-people-prefer-buy-sustainable-sellers/#:~:text=Report%20reveals%20that%2081%25%20of,from%20sustainable%20sellers%20%2D%20Recycling%20Lives&amp;amp;text=An%20independent%20study%20commissioned%20by,a%20commitment%20to%20environmental%20sustainability. </t>
        </r>
      </text>
    </comment>
    <comment ref="B13" authorId="0" shapeId="0" xr:uid="{26593D27-F272-4D74-B240-9E5D2628F22A}">
      <text>
        <r>
          <rPr>
            <sz val="12"/>
            <color theme="1"/>
            <rFont val="Calibri"/>
            <family val="2"/>
            <scheme val="minor"/>
          </rPr>
          <t>Zhang, Qiongyue:
Avail Car Sharing, “The State of Travel in 2022 - A Survey of American Generations,” Avail Car Sharing (Avail Car Sharing, March 29, 2022), https://availcarsharing.com/resources/sharing-state-of-travel-survey#:~:text=72%25%20of%20Gen%2DZers%20plan,Boomers%20to%20take%20a%20trip.</t>
        </r>
      </text>
    </comment>
    <comment ref="B14" authorId="0" shapeId="0" xr:uid="{0E2292E0-C077-4865-A5AB-FD111A020DF2}">
      <text>
        <r>
          <rPr>
            <sz val="12"/>
            <color theme="1"/>
            <rFont val="Calibri"/>
            <family val="2"/>
            <scheme val="minor"/>
          </rPr>
          <t>Zhang, Qiongyue:
Avail Car Sharing, “The State of Travel in 2022 - A Survey of American Generations,” Avail Car Sharing (Avail Car Sharing, March 29, 2022), https://availcarsharing.com/resources/sharing-state-of-travel-survey#:~:text=72%25%20of%20Gen%2DZers%20plan,Boomers%20to%20take%20a%20trip.</t>
        </r>
      </text>
    </comment>
    <comment ref="B15" authorId="0" shapeId="0" xr:uid="{29B112F5-9658-4119-AA03-C0FC9E9A07A8}">
      <text>
        <r>
          <rPr>
            <sz val="12"/>
            <color theme="1"/>
            <rFont val="Calibri"/>
            <family val="2"/>
            <scheme val="minor"/>
          </rPr>
          <t>Zhang, Qiongyue:
“Population by Birth Cohort Generation and Race and Ethnicity: Kids Count Data Center,” Population by birth cohort generation and race and ethnicity | KIDS COUNT Data Center, accessed April 24, 2023, https://datacenter.aecf.org/data/tables/11504-population-by-birth-cohort-generation-and-race-and-ethnicity#detailed/1/any/false/2048,574,1729,37,871,870,573,869,36,868/8123,8124,8125,8126,8127|4038,4040,4039,2638,2597,4758,1353/22695,22696.</t>
        </r>
      </text>
    </comment>
    <comment ref="B16" authorId="0" shapeId="0" xr:uid="{02705B79-4BE2-4214-9E34-D6C8AA85C3B5}">
      <text>
        <r>
          <rPr>
            <sz val="12"/>
            <color theme="1"/>
            <rFont val="Calibri"/>
            <family val="2"/>
            <scheme val="minor"/>
          </rPr>
          <t>Zhang, Qiongyue:
“Population by Birth Cohort Generation and Race and Ethnicity: Kids Count Data Center,” Population by birth cohort generation and race and ethnicity | KIDS COUNT Data Center, accessed April 24, 2023, https://datacenter.aecf.org/data/tables/11504-population-by-birth-cohort-generation-and-race-and-ethnicity#detailed/1/any/false/2048,574,1729,37,871,870,573,869,36,868/8123,8124,8125,8126,8127|4038,4040,4039,2638,2597,4758,1353/22695,22696.</t>
        </r>
      </text>
    </comment>
    <comment ref="B20" authorId="0" shapeId="0" xr:uid="{BFCED1A4-7E59-406C-AA19-082132AB4F6F}">
      <text>
        <r>
          <rPr>
            <sz val="12"/>
            <color theme="1"/>
            <rFont val="Calibri"/>
            <family val="2"/>
            <scheme val="minor"/>
          </rPr>
          <t>Zhang, Qiongyue:
Dan Boyd / Journal Capitol Bureau Chief, “Bill Calling for Inflation-Related Minimum Wage Increases Stalls at Roundhouse,” Albuquerque Journal, February 14, 2023, https://www.abqjournal.com/2572952/bill-calling-for-inflation-related-minimum-wage-increases-stalls-at-roundhouse.html.</t>
        </r>
      </text>
    </comment>
    <comment ref="B21" authorId="0" shapeId="0" xr:uid="{69580A65-CA86-4D7A-9A69-EB276F42327B}">
      <text>
        <r>
          <rPr>
            <sz val="12"/>
            <color theme="1"/>
            <rFont val="Calibri"/>
            <family val="2"/>
            <scheme val="minor"/>
          </rPr>
          <t>Zhang, Qiongyue:
Site built by: Salary.com, “New Mexico Minimum Wage Data,” Salary.com, accessed April 24, 2023, https://www.salary.com/research/minimum-wage/new-mexico.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<sst xmlns="http://schemas.openxmlformats.org/spreadsheetml/2006/main" count="4140" uniqueCount="1241">
  <si>
    <t>MK</t>
  </si>
  <si>
    <t>OM</t>
  </si>
  <si>
    <t>FE</t>
  </si>
  <si>
    <t>QM</t>
  </si>
  <si>
    <t>MK Assumptions</t>
  </si>
  <si>
    <t>OM Assumptions</t>
  </si>
  <si>
    <t>FE Assumptions</t>
  </si>
  <si>
    <t>QM Assumptions</t>
  </si>
  <si>
    <t>MK Bases Model (Base Case)</t>
  </si>
  <si>
    <t>OM Bill of Material List</t>
  </si>
  <si>
    <t>FE Income Statement Y1-Y5</t>
  </si>
  <si>
    <t>QM Conjoint Analysis</t>
  </si>
  <si>
    <t>MK Avg. Man. Selling Price</t>
  </si>
  <si>
    <t>OM Capital Expenditures Y1-Y5</t>
  </si>
  <si>
    <t>FE Balance Sheet Y1-Y5</t>
  </si>
  <si>
    <t>QM Qualitative Risk Matrix</t>
  </si>
  <si>
    <t>MK Purchase Intent and Price</t>
  </si>
  <si>
    <t>OM Labor Y1-Y5</t>
  </si>
  <si>
    <t>FE Cash Flow Y1-Y5</t>
  </si>
  <si>
    <t>QM Sensitivity Analysis</t>
  </si>
  <si>
    <t>MK IMC Schedule Y1-Y5</t>
  </si>
  <si>
    <t>OM Manufacturing OH Y1-Y5</t>
  </si>
  <si>
    <t>FE Comparable Companies</t>
  </si>
  <si>
    <t>QM Quantitative Risk Matrix</t>
  </si>
  <si>
    <t>MK ACV Y1-Y5</t>
  </si>
  <si>
    <t>OM IS Expenses Y1-Y5</t>
  </si>
  <si>
    <t>QM All RISK Variables</t>
  </si>
  <si>
    <t>MK Segment Variable Analysis</t>
  </si>
  <si>
    <t>OM Logistics Y1-Y5</t>
  </si>
  <si>
    <t>QM Parameters for Simulation</t>
  </si>
  <si>
    <t>OM S&amp;M and G&amp;A Expenses Y1-Y5</t>
  </si>
  <si>
    <t>QM RUN Simulations</t>
  </si>
  <si>
    <t>OM Capacity Analysis Y1-Y5</t>
  </si>
  <si>
    <t>QM Simulation Summary Stats</t>
  </si>
  <si>
    <t>OM Inventory Y1-Y5</t>
  </si>
  <si>
    <t>QM Simulation 1-Pasted Values</t>
  </si>
  <si>
    <t>OM Final COGS Y1-Y5</t>
  </si>
  <si>
    <t>QM Simulation 2-Pasted Values</t>
  </si>
  <si>
    <t>OM Location Analysis</t>
  </si>
  <si>
    <t>QM Simulation 3-Pasted Values</t>
  </si>
  <si>
    <t>OM Y0 Initial Investment</t>
  </si>
  <si>
    <t>Back to Index</t>
  </si>
  <si>
    <t> </t>
  </si>
  <si>
    <t>Initial Target Segment</t>
  </si>
  <si>
    <t>Segment Growth Rate</t>
  </si>
  <si>
    <t>Expenses</t>
  </si>
  <si>
    <t xml:space="preserve">Pre-marketing expense year 0 </t>
  </si>
  <si>
    <t>Manufacturer's Rep Commission</t>
  </si>
  <si>
    <t>Retailer Margin</t>
  </si>
  <si>
    <t>Independent Retailers</t>
  </si>
  <si>
    <t>Online</t>
  </si>
  <si>
    <t>Chain Store</t>
  </si>
  <si>
    <t>Mass Merchants</t>
  </si>
  <si>
    <t>Travel Accessories Market Breakdown</t>
  </si>
  <si>
    <t>Specialty Chain</t>
  </si>
  <si>
    <t>Drugstore Chain</t>
  </si>
  <si>
    <t>Mass Market Total Sales</t>
  </si>
  <si>
    <t>Mass Merchandise</t>
  </si>
  <si>
    <t>Drugstore Chains</t>
  </si>
  <si>
    <t>Specialty Retail</t>
  </si>
  <si>
    <t>Independent Retail Chains</t>
  </si>
  <si>
    <t xml:space="preserve">Online </t>
  </si>
  <si>
    <t>Manufacturer sales increases every year as the average weighted manufactuer's selling price decreases and the adjusted purchase intent increase</t>
  </si>
  <si>
    <t xml:space="preserve">Year </t>
  </si>
  <si>
    <t>Sensitivity</t>
  </si>
  <si>
    <t>Target Market Size</t>
  </si>
  <si>
    <t>Adjusted PI @ $ average weighted retail price *** maximum = 35%</t>
  </si>
  <si>
    <t>Awareness</t>
  </si>
  <si>
    <t>ACV</t>
  </si>
  <si>
    <t>Units at trial</t>
  </si>
  <si>
    <t>Trial Units</t>
  </si>
  <si>
    <t xml:space="preserve">Repeat Units </t>
  </si>
  <si>
    <t>-</t>
  </si>
  <si>
    <t>BASES Sales Units (before competition)</t>
  </si>
  <si>
    <t>* Competition adjustment (units lost to competition)</t>
  </si>
  <si>
    <t>TOTAL UNITS</t>
  </si>
  <si>
    <t>Average weighted manufactuer's selling price to channel (from avg. selling price)</t>
  </si>
  <si>
    <t>Manufacturer sales ($)</t>
  </si>
  <si>
    <t>Manufacturing selling prices decreases every year as more units are sold and we enter new distribution channels</t>
  </si>
  <si>
    <t>Average weighted manufacturer's selling price to channel</t>
  </si>
  <si>
    <t>Year 1</t>
  </si>
  <si>
    <t>% Manufacturer total units</t>
  </si>
  <si>
    <t>Manufacturer selling price</t>
  </si>
  <si>
    <t xml:space="preserve">Retail Selling Price </t>
  </si>
  <si>
    <t>Units</t>
  </si>
  <si>
    <t xml:space="preserve">Manufacturer Sales </t>
  </si>
  <si>
    <t xml:space="preserve">Units into independent retailers </t>
  </si>
  <si>
    <t>Units online (Amazon)</t>
  </si>
  <si>
    <t>Units into drugstore chain</t>
  </si>
  <si>
    <t>N/A</t>
  </si>
  <si>
    <t>Units into specialty chain retailer</t>
  </si>
  <si>
    <t>Units into mass merchants</t>
  </si>
  <si>
    <t xml:space="preserve">Average weighted retailer selling price </t>
  </si>
  <si>
    <t>Year 2</t>
  </si>
  <si>
    <t>Year 3</t>
  </si>
  <si>
    <t>Year 4</t>
  </si>
  <si>
    <t>Year 5</t>
  </si>
  <si>
    <t xml:space="preserve">The revenue maximazing price is $17.5 with a cumulative purchase intent of 19.6% </t>
  </si>
  <si>
    <t>Purchase Intent vs. Expected Price</t>
  </si>
  <si>
    <t>Count of likelihood you will buy the product?</t>
  </si>
  <si>
    <t>At the price you just indicated, what is the likelihood you will buy the product?</t>
  </si>
  <si>
    <t>Pasted Data</t>
  </si>
  <si>
    <t>How much would you pay for a pack of two travel liquid containers?</t>
  </si>
  <si>
    <t>Definitely Not Buy</t>
  </si>
  <si>
    <t>Probably Not Buy</t>
  </si>
  <si>
    <t>Not Sure</t>
  </si>
  <si>
    <t>Probably Buy</t>
  </si>
  <si>
    <t>Definitely Buy</t>
  </si>
  <si>
    <t>Grand Total</t>
  </si>
  <si>
    <t>Prob Buy</t>
  </si>
  <si>
    <t>Def Buy</t>
  </si>
  <si>
    <t>$15-$19.99</t>
  </si>
  <si>
    <t>$20-$24.99</t>
  </si>
  <si>
    <t>$25-$29.99</t>
  </si>
  <si>
    <t>$30-$34.99</t>
  </si>
  <si>
    <t>Total</t>
  </si>
  <si>
    <t>Sample</t>
  </si>
  <si>
    <t>Population</t>
  </si>
  <si>
    <t>Price</t>
  </si>
  <si>
    <t>Adjusted PB</t>
  </si>
  <si>
    <t>Adjusted DB</t>
  </si>
  <si>
    <t>PB * .3</t>
  </si>
  <si>
    <t>DB * .8</t>
  </si>
  <si>
    <t>Sum Across</t>
  </si>
  <si>
    <t>Cumulative PI</t>
  </si>
  <si>
    <t>Quantity</t>
  </si>
  <si>
    <t>Revenue</t>
  </si>
  <si>
    <t>Cummulative PB</t>
  </si>
  <si>
    <t>Cummulative DB</t>
  </si>
  <si>
    <t>Marginal Cost Assumption</t>
  </si>
  <si>
    <t>Demand Curve Instructions</t>
  </si>
  <si>
    <t>RM Price</t>
  </si>
  <si>
    <t>Total Revenue</t>
  </si>
  <si>
    <t>Variable Cost</t>
  </si>
  <si>
    <t>Max Profit (Excluding Fixed Costs)</t>
  </si>
  <si>
    <t>Adjusted PI @ Man. Selling Price (including CSR lift)</t>
  </si>
  <si>
    <t xml:space="preserve">Segmentation Tree Variable Pivot Tables </t>
  </si>
  <si>
    <t>Sustainable Material</t>
  </si>
  <si>
    <t>Wants sustainable materials</t>
  </si>
  <si>
    <t>Would your purchase intent change if the travel liquid container was made of sustainable materials?</t>
  </si>
  <si>
    <t>%</t>
  </si>
  <si>
    <t>Probably Not buy</t>
  </si>
  <si>
    <t xml:space="preserve">Total </t>
  </si>
  <si>
    <t>Not change</t>
  </si>
  <si>
    <t>Slightly more inclined to buy</t>
  </si>
  <si>
    <t>Significantly more inclined to buy</t>
  </si>
  <si>
    <t>Frequency of Travel</t>
  </si>
  <si>
    <t>Without 6+ times travel</t>
  </si>
  <si>
    <t>Total Count</t>
  </si>
  <si>
    <t>Total % of Total</t>
  </si>
  <si>
    <t>Count</t>
  </si>
  <si>
    <t>% of Total</t>
  </si>
  <si>
    <t>Without 6+ and &lt;2 times travel</t>
  </si>
  <si>
    <t>Age</t>
  </si>
  <si>
    <t xml:space="preserve">Without age 55+ </t>
  </si>
  <si>
    <t xml:space="preserve">Total Count </t>
  </si>
  <si>
    <t>% Total</t>
  </si>
  <si>
    <t>We increase our marketing expenses as our product gains more attraction in the market place starting guerrilla marketing in year 2 and choosing higher levels of influencer marketing</t>
  </si>
  <si>
    <t>Target Segment</t>
  </si>
  <si>
    <t>Year 1 IMC Schedule</t>
  </si>
  <si>
    <t>JAN</t>
  </si>
  <si>
    <t>FEB</t>
  </si>
  <si>
    <t>MAR</t>
  </si>
  <si>
    <t>APR</t>
  </si>
  <si>
    <t>MAY</t>
  </si>
  <si>
    <t>JUN</t>
  </si>
  <si>
    <t>JUL</t>
  </si>
  <si>
    <t>AUG</t>
  </si>
  <si>
    <t>SEP</t>
  </si>
  <si>
    <t>OCT</t>
  </si>
  <si>
    <t>NOV</t>
  </si>
  <si>
    <t>DEC</t>
  </si>
  <si>
    <t>TOTAL COST</t>
  </si>
  <si>
    <t>CPM</t>
  </si>
  <si>
    <t>AWARENESS</t>
  </si>
  <si>
    <t>Year 2 IMC Schedule</t>
  </si>
  <si>
    <t>Year 3 IMC Schedule</t>
  </si>
  <si>
    <t>Year 4 IMC Schedule</t>
  </si>
  <si>
    <t>Year 5 IMC Schedule</t>
  </si>
  <si>
    <t>Pull</t>
  </si>
  <si>
    <t>Paid Media</t>
  </si>
  <si>
    <t>Online Advertisting</t>
  </si>
  <si>
    <t>Influencer Marketing</t>
  </si>
  <si>
    <t>Nano (3)</t>
  </si>
  <si>
    <t>Nano (2)</t>
  </si>
  <si>
    <t>Mid-Tier (5)</t>
  </si>
  <si>
    <t>Mid-Tier (1)</t>
  </si>
  <si>
    <t>Mid-Tier (3)</t>
  </si>
  <si>
    <t>Micro (3)</t>
  </si>
  <si>
    <t>Micro (7)</t>
  </si>
  <si>
    <t>Guerrilla Marketing</t>
  </si>
  <si>
    <t>Macro (2)</t>
  </si>
  <si>
    <t>Outdoor/Transit</t>
  </si>
  <si>
    <t>"Find Your Dream Destination"</t>
  </si>
  <si>
    <t>"Kong" Ultra King Bus AD (Total)</t>
  </si>
  <si>
    <t>“The Exploded Shampoo”</t>
  </si>
  <si>
    <t>"Poster" Median Billboard </t>
  </si>
  <si>
    <t>Owned Media</t>
  </si>
  <si>
    <t>Website</t>
  </si>
  <si>
    <t>CSR Initiatives</t>
  </si>
  <si>
    <t>Earned Media</t>
  </si>
  <si>
    <t>4Ocean</t>
  </si>
  <si>
    <t>WOM</t>
  </si>
  <si>
    <t>EOL Program</t>
  </si>
  <si>
    <t>Public Relations</t>
  </si>
  <si>
    <t>Carryover</t>
  </si>
  <si>
    <t>TOTAL PULL</t>
  </si>
  <si>
    <t>Push</t>
  </si>
  <si>
    <t>Trade Shows</t>
  </si>
  <si>
    <t>"International Travel Goods Show"</t>
  </si>
  <si>
    <t>"US Travel Association's IPW"</t>
  </si>
  <si>
    <t>Trade Magazines/Websites</t>
  </si>
  <si>
    <t>"Travel Goods Association Magazine"</t>
  </si>
  <si>
    <t>TOTAL PUSH </t>
  </si>
  <si>
    <t>TOTAL IMC SCHEDULE</t>
  </si>
  <si>
    <t xml:space="preserve">Marketing % of Sales </t>
  </si>
  <si>
    <t>"Travel Goods Show"</t>
  </si>
  <si>
    <t>As our product's life cycle progresses, our ACV will increase as we expand sales to different types of distribution channels</t>
  </si>
  <si>
    <t>Market Share based on Sales</t>
  </si>
  <si>
    <t>% Share</t>
  </si>
  <si>
    <t>ACV Assumption</t>
  </si>
  <si>
    <t>Walmart</t>
  </si>
  <si>
    <t xml:space="preserve">ACV We found </t>
  </si>
  <si>
    <t>Target</t>
  </si>
  <si>
    <t>Kroger</t>
  </si>
  <si>
    <t>Costco</t>
  </si>
  <si>
    <t>Other</t>
  </si>
  <si>
    <t>Retailers Year By Year</t>
  </si>
  <si>
    <t>Independent Stores</t>
  </si>
  <si>
    <t>Pacific Outfitters, Boston General Store,
Topdrawer, and Lazar's Luggage</t>
  </si>
  <si>
    <t>Online Stores</t>
  </si>
  <si>
    <t>Amazon</t>
  </si>
  <si>
    <t>Rite-Aid</t>
  </si>
  <si>
    <t>Speciality Chain</t>
  </si>
  <si>
    <t>Sephora</t>
  </si>
  <si>
    <t>Speciality Retail Chains</t>
  </si>
  <si>
    <t>Ulta Beauty</t>
  </si>
  <si>
    <t xml:space="preserve">Sephora </t>
  </si>
  <si>
    <t>Travel Accessories Breakdown</t>
  </si>
  <si>
    <t>Percentage</t>
  </si>
  <si>
    <t>Year 1 ACV</t>
  </si>
  <si>
    <t>Year 2 ACV</t>
  </si>
  <si>
    <t>Year 3 ACV</t>
  </si>
  <si>
    <t xml:space="preserve">Year 4 ACV </t>
  </si>
  <si>
    <t>Year 5 ACV</t>
  </si>
  <si>
    <t>Sallys Beauty</t>
  </si>
  <si>
    <t>Beautylish</t>
  </si>
  <si>
    <t>Walgreens</t>
  </si>
  <si>
    <t>CVS</t>
  </si>
  <si>
    <t>Health Mart</t>
  </si>
  <si>
    <t xml:space="preserve">Independent Retail </t>
  </si>
  <si>
    <t>Pacific Outfitters</t>
  </si>
  <si>
    <t>Boston General Store</t>
  </si>
  <si>
    <t>Topdrawer</t>
  </si>
  <si>
    <t>Lazar's Luggage</t>
  </si>
  <si>
    <t>Given the popularity among CSR and other general sustainability perogatives among our target audience, we felt highly inclined to incorporate aspects of this in our product development process</t>
  </si>
  <si>
    <t>CSR Initiatives &amp; PI</t>
  </si>
  <si>
    <t>CSR #1</t>
  </si>
  <si>
    <t xml:space="preserve">Base </t>
  </si>
  <si>
    <t>Slightly more inclinded</t>
  </si>
  <si>
    <t>Significantly more inclinded</t>
  </si>
  <si>
    <t>Base Model (no adjustment)</t>
  </si>
  <si>
    <t>Bases Model (Adjusted)</t>
  </si>
  <si>
    <t xml:space="preserve">Segment Size </t>
  </si>
  <si>
    <t>Trial HH's</t>
  </si>
  <si>
    <t>Selling Price</t>
  </si>
  <si>
    <t xml:space="preserve">Total Revenue </t>
  </si>
  <si>
    <t>CSR #2</t>
  </si>
  <si>
    <t>If the company selling this travel liquid container was to partner with 4ocean to remove 1 pound of plastic from the ocean per purchase, would this change your purchase intent?</t>
  </si>
  <si>
    <t xml:space="preserve">Probably Buy </t>
  </si>
  <si>
    <t>CSR Lift Calculations</t>
  </si>
  <si>
    <t># of DB + PB Responses</t>
  </si>
  <si>
    <t>% Total of DB + PB Responses</t>
  </si>
  <si>
    <t>CSR Increase</t>
  </si>
  <si>
    <t>Total CSR Lift</t>
  </si>
  <si>
    <t>Increase Significantly</t>
  </si>
  <si>
    <t>Increase Somewhat</t>
  </si>
  <si>
    <t>TOTAL CSR Lift</t>
  </si>
  <si>
    <t>Segmentation Variables &amp; PI</t>
  </si>
  <si>
    <t xml:space="preserve">                                       -  </t>
  </si>
  <si>
    <t>Adjustment without 6+ times</t>
  </si>
  <si>
    <t>Adjustment without 6+ and &lt;2 times</t>
  </si>
  <si>
    <t>Adjustment without 55+ age</t>
  </si>
  <si>
    <t xml:space="preserve">Purpose of Travel </t>
  </si>
  <si>
    <t>Without work or other</t>
  </si>
  <si>
    <t>Definitely Not buy</t>
  </si>
  <si>
    <t>What is the main purpose of your travel(s)? (Check all that apply) - Selected Choice</t>
  </si>
  <si>
    <t>Work</t>
  </si>
  <si>
    <t>Work &amp; Leisure</t>
  </si>
  <si>
    <t>Work, Leisure &amp; Other</t>
  </si>
  <si>
    <t>Leisure</t>
  </si>
  <si>
    <t>Leisure &amp; Other</t>
  </si>
  <si>
    <t>Adjustment without work or other</t>
  </si>
  <si>
    <t>Income</t>
  </si>
  <si>
    <t>Without &lt;$59,999</t>
  </si>
  <si>
    <t>Adjustment without &lt;$59,999</t>
  </si>
  <si>
    <t>Number of Children</t>
  </si>
  <si>
    <t>Without 0 kids</t>
  </si>
  <si>
    <t>Total Count of Total</t>
  </si>
  <si>
    <t>Count of Total</t>
  </si>
  <si>
    <t>Adjustment without 0 kids</t>
  </si>
  <si>
    <t>CapEx</t>
  </si>
  <si>
    <t>Impact Extrusion Press A</t>
  </si>
  <si>
    <t>Injection Molding Machine A</t>
  </si>
  <si>
    <t>Injection Molding Machine B</t>
  </si>
  <si>
    <t>Injection Molds</t>
  </si>
  <si>
    <t>Aluminum Laser Cutter A</t>
  </si>
  <si>
    <t>Soldering Equipment</t>
  </si>
  <si>
    <t>Chairs</t>
  </si>
  <si>
    <t>Desks</t>
  </si>
  <si>
    <t>Shelves</t>
  </si>
  <si>
    <t>Work Benches</t>
  </si>
  <si>
    <t>Conference Room TV</t>
  </si>
  <si>
    <t>Useful Life of all Equipment in Years</t>
  </si>
  <si>
    <t>Product Development Costs</t>
  </si>
  <si>
    <t>SG&amp;A</t>
  </si>
  <si>
    <t>Annual Rent Y1</t>
  </si>
  <si>
    <t>Expected Annual Growth of Rent Expense</t>
  </si>
  <si>
    <t>Labor</t>
  </si>
  <si>
    <t>Benefits</t>
  </si>
  <si>
    <t>Minutes per working hour</t>
  </si>
  <si>
    <t>Hours per working day (FT)</t>
  </si>
  <si>
    <t>Hours per working day (PT)</t>
  </si>
  <si>
    <t>Work days per week</t>
  </si>
  <si>
    <t>Weeks per year</t>
  </si>
  <si>
    <t>Days in Year</t>
  </si>
  <si>
    <t>Salary Growth Rate</t>
  </si>
  <si>
    <t>Floor Worker Hourly Wage</t>
  </si>
  <si>
    <t>Production Manager Hourly Wage</t>
  </si>
  <si>
    <t>Inventory</t>
  </si>
  <si>
    <t>Lead Time (From China, Weeks)</t>
  </si>
  <si>
    <t>Lead Time (From USA, Weeks)</t>
  </si>
  <si>
    <t>Maximum Probable Demand</t>
  </si>
  <si>
    <t>Minimum Probable Demand</t>
  </si>
  <si>
    <t>Maximum Lead Time</t>
  </si>
  <si>
    <t>Minimum Lead Time</t>
  </si>
  <si>
    <t># of Diff Raw Materials Needed</t>
  </si>
  <si>
    <t>Aluminum Price per Oz</t>
  </si>
  <si>
    <t>Aluminum Needed (in oz)</t>
  </si>
  <si>
    <t xml:space="preserve">Order Costs </t>
  </si>
  <si>
    <t>Holding Costs as % of COGS</t>
  </si>
  <si>
    <t>Yearly Aditional Safety Order</t>
  </si>
  <si>
    <t>Packaging per Unit</t>
  </si>
  <si>
    <t>Scrap Rate % Y1</t>
  </si>
  <si>
    <t>Scrap Rate % Y2-Y5</t>
  </si>
  <si>
    <t>Container (oz)</t>
  </si>
  <si>
    <t>Airtight Lid (oz)</t>
  </si>
  <si>
    <t>Pump (oz)</t>
  </si>
  <si>
    <t>prebilled FGI</t>
  </si>
  <si>
    <t>Capacity Analysis &amp; Logistics</t>
  </si>
  <si>
    <t>Outbound Frieght as a % of COGS Before other Costs</t>
  </si>
  <si>
    <t>Inbound Frieght as a % of Raw Materials</t>
  </si>
  <si>
    <t>Sales &amp; Admin Sq Footage Used</t>
  </si>
  <si>
    <t>Time 0 Start Up Costs Assumptions</t>
  </si>
  <si>
    <t>2 Months Worth of Start Up</t>
  </si>
  <si>
    <t>Square Foot Rennovation Cost</t>
  </si>
  <si>
    <t>Facility Square Footage</t>
  </si>
  <si>
    <t>Info Systems</t>
  </si>
  <si>
    <t>ERP Upfront Cost</t>
  </si>
  <si>
    <t>ERP Annual Expense for Employee</t>
  </si>
  <si>
    <t>ERP Yearly Maintainance Fee</t>
  </si>
  <si>
    <t>Desktop Cost</t>
  </si>
  <si>
    <t>Printer Cost</t>
  </si>
  <si>
    <t>Virtual Private Network</t>
  </si>
  <si>
    <t>Firewall Security Software</t>
  </si>
  <si>
    <t>Website Development</t>
  </si>
  <si>
    <t>Website Annual Maintainance</t>
  </si>
  <si>
    <t>Security Software % Expense</t>
  </si>
  <si>
    <t>Router &amp; Modem</t>
  </si>
  <si>
    <t>Software Cost Expenses Per Year</t>
  </si>
  <si>
    <t>Laptop Cost</t>
  </si>
  <si>
    <t>Photocopier</t>
  </si>
  <si>
    <t>Internet Installation</t>
  </si>
  <si>
    <t>Internet Yearly Expense per Hardware</t>
  </si>
  <si>
    <t>Security Cameras</t>
  </si>
  <si>
    <t>Depreciation Life of IS Hardware in Years</t>
  </si>
  <si>
    <t>Bill of Materials</t>
  </si>
  <si>
    <t>Container</t>
  </si>
  <si>
    <t>Airtight Lid</t>
  </si>
  <si>
    <t>Pump</t>
  </si>
  <si>
    <t>Air Releasing Button</t>
  </si>
  <si>
    <t>Light-up Indicator</t>
  </si>
  <si>
    <t>Nozzle</t>
  </si>
  <si>
    <t>Bottles per Unit</t>
  </si>
  <si>
    <t>MOH</t>
  </si>
  <si>
    <t>Water</t>
  </si>
  <si>
    <t>Electricity</t>
  </si>
  <si>
    <t>Capacity Analysis</t>
  </si>
  <si>
    <t>Tasks List</t>
  </si>
  <si>
    <t>Task Time in Minutes</t>
  </si>
  <si>
    <t>A</t>
  </si>
  <si>
    <t>Sorting of Materials</t>
  </si>
  <si>
    <t>B</t>
  </si>
  <si>
    <t>Impact Extrusion of Aluminum</t>
  </si>
  <si>
    <t>C</t>
  </si>
  <si>
    <t>Laser Cutting of Aluminum</t>
  </si>
  <si>
    <t>D</t>
  </si>
  <si>
    <t>Injection Molding of Lid</t>
  </si>
  <si>
    <t>E</t>
  </si>
  <si>
    <t>Installation of Nozzle</t>
  </si>
  <si>
    <t>F</t>
  </si>
  <si>
    <t>Installation of Pump</t>
  </si>
  <si>
    <t>G</t>
  </si>
  <si>
    <t>Injection Molding of Base Container</t>
  </si>
  <si>
    <t>H</t>
  </si>
  <si>
    <t>Soldering of Button &amp; Lid</t>
  </si>
  <si>
    <t>I</t>
  </si>
  <si>
    <t>Polymer Spray</t>
  </si>
  <si>
    <t>J</t>
  </si>
  <si>
    <t>Soldering of Container &amp; Lid</t>
  </si>
  <si>
    <t>K</t>
  </si>
  <si>
    <t>Packaging</t>
  </si>
  <si>
    <t>Annual Rent Y2</t>
  </si>
  <si>
    <t>Our bill of materials reflects the simplistic and standardized nature of our design for consistent and high volume production</t>
  </si>
  <si>
    <t>Level</t>
  </si>
  <si>
    <t>Name</t>
  </si>
  <si>
    <t>Cost</t>
  </si>
  <si>
    <t>Make or Buy</t>
  </si>
  <si>
    <t>Make</t>
  </si>
  <si>
    <t>* Importing Aluminum, to be designed in house</t>
  </si>
  <si>
    <t>* In house construction</t>
  </si>
  <si>
    <t>*Importing Aluminum, to be designed in house</t>
  </si>
  <si>
    <t>*Redid Pricing to be cheaper</t>
  </si>
  <si>
    <t>* Outsourced Mfg of Button &amp; Indicator?</t>
  </si>
  <si>
    <t>Buy</t>
  </si>
  <si>
    <t>CW Industries</t>
  </si>
  <si>
    <t>Berlin Packaging</t>
  </si>
  <si>
    <t>*BOM stays consistent Y1-Y5</t>
  </si>
  <si>
    <t>SUM:</t>
  </si>
  <si>
    <t>FOR ONE BOTTLE</t>
  </si>
  <si>
    <t>Per Unit:</t>
  </si>
  <si>
    <t>Our capital expenditure costs are primarily attributed to equipment utilized in our product transformation process</t>
  </si>
  <si>
    <t>Name of Equipment</t>
  </si>
  <si>
    <t>Useful-Life</t>
  </si>
  <si>
    <t>Cost per order</t>
  </si>
  <si>
    <t>Shipping Cost</t>
  </si>
  <si>
    <t>Total Cost</t>
  </si>
  <si>
    <t>Y1 Cost Per Unit</t>
  </si>
  <si>
    <t>Y2 Cost Per Unit</t>
  </si>
  <si>
    <t>Y3 Cost Per Unit</t>
  </si>
  <si>
    <t>Y4 Cost Per Unit</t>
  </si>
  <si>
    <t>Y5 Cost Per Unit</t>
  </si>
  <si>
    <t>Soldering Equipment/Device A</t>
  </si>
  <si>
    <t>Total Capital Expenditure</t>
  </si>
  <si>
    <t>Schedule of Planned Depreciation Expenses</t>
  </si>
  <si>
    <t>Description of Equipment</t>
  </si>
  <si>
    <t>Year 0 PPE</t>
  </si>
  <si>
    <t>Remaining Book Value</t>
  </si>
  <si>
    <t>Press-utilized machine to form Containers</t>
  </si>
  <si>
    <t>Molding aluminum to fit containers</t>
  </si>
  <si>
    <t>Molding aluminum to fit lids</t>
  </si>
  <si>
    <t>Molten Aluminum Die-casting</t>
  </si>
  <si>
    <t>Laser Cutting thin Aluminum Materials</t>
  </si>
  <si>
    <t>For joining the container &amp; lid</t>
  </si>
  <si>
    <t>For salaried employees &amp; break room</t>
  </si>
  <si>
    <t>For temporary storage of materials/supplies</t>
  </si>
  <si>
    <t>For workers during the production process</t>
  </si>
  <si>
    <t>To present investment analysis information</t>
  </si>
  <si>
    <t>Total Depreciation Expense (INC Statement)</t>
  </si>
  <si>
    <t>Accumulated Depreciation (BAL Sheet)</t>
  </si>
  <si>
    <t>Total Remaining Book Value</t>
  </si>
  <si>
    <t>Schedule of Planned Capital Expenses</t>
  </si>
  <si>
    <t>Capital Expenditure Spending by Year</t>
  </si>
  <si>
    <t xml:space="preserve"> Y5 Total CapEx </t>
  </si>
  <si>
    <t>Our labor diagram reflects the need for increased direct labor, but at a generally lower rate year-over-year</t>
  </si>
  <si>
    <t>Organizational Design</t>
  </si>
  <si>
    <t>Salaried Labor Description</t>
  </si>
  <si>
    <t># of Employees Y1</t>
  </si>
  <si>
    <t>Base Salary</t>
  </si>
  <si>
    <t>Cost Year 1</t>
  </si>
  <si>
    <t># of Employees Year 2</t>
  </si>
  <si>
    <t>Cost Year 2</t>
  </si>
  <si>
    <t># of Employees Year 3</t>
  </si>
  <si>
    <t>Cost Year 3</t>
  </si>
  <si>
    <t># of Employees Year 4</t>
  </si>
  <si>
    <t>Cost Year 4</t>
  </si>
  <si>
    <t># of Employees Year 5</t>
  </si>
  <si>
    <t>Cost Year 5</t>
  </si>
  <si>
    <t>Buisness Leader</t>
  </si>
  <si>
    <t>Chief Executive Officer</t>
  </si>
  <si>
    <t>Marketing &amp; Comms</t>
  </si>
  <si>
    <t>Head of Product Management</t>
  </si>
  <si>
    <t>Finance</t>
  </si>
  <si>
    <t>Chief Financial Officer</t>
  </si>
  <si>
    <t>Head of Accounts &amp; Investments</t>
  </si>
  <si>
    <t>Operations</t>
  </si>
  <si>
    <t>Chief Operating Officer</t>
  </si>
  <si>
    <t>Head of Production</t>
  </si>
  <si>
    <t>Human Resources</t>
  </si>
  <si>
    <t>Chief Human Resources Officer</t>
  </si>
  <si>
    <t>Systems &amp; Network Administration</t>
  </si>
  <si>
    <t>Factory Staff</t>
  </si>
  <si>
    <t xml:space="preserve">Warehouse Supervisor </t>
  </si>
  <si>
    <t>Factory Employee Description</t>
  </si>
  <si>
    <t xml:space="preserve"> Base Hourly Wage </t>
  </si>
  <si>
    <t xml:space="preserve"> Cost Year 1 </t>
  </si>
  <si>
    <t xml:space="preserve"> Cost Year 2 </t>
  </si>
  <si>
    <t xml:space="preserve"> Cost Year 3 </t>
  </si>
  <si>
    <t xml:space="preserve"> Cost Year 4 </t>
  </si>
  <si>
    <t xml:space="preserve"> Cost Year 5 </t>
  </si>
  <si>
    <t>(IDL)</t>
  </si>
  <si>
    <t>Production Manager</t>
  </si>
  <si>
    <t>DL</t>
  </si>
  <si>
    <t>Impact Extrusion Worker (FT)</t>
  </si>
  <si>
    <t>Dl</t>
  </si>
  <si>
    <t>Aluminum Cutting Worker (FT)</t>
  </si>
  <si>
    <t>Product Assembly Worker (FT)</t>
  </si>
  <si>
    <t>IDL</t>
  </si>
  <si>
    <t>Cleaning Staff PT</t>
  </si>
  <si>
    <t xml:space="preserve">Packaging/Sorting </t>
  </si>
  <si>
    <t>Offloading/Onloading Goods</t>
  </si>
  <si>
    <t>Total Per Unit</t>
  </si>
  <si>
    <t>Direct Labor Per Unit</t>
  </si>
  <si>
    <t>Our manufacturing overhead incorporates the indirect production aspects to maintaining our factory</t>
  </si>
  <si>
    <t>MOH Description</t>
  </si>
  <si>
    <t>Fixed Annual Expense</t>
  </si>
  <si>
    <t>Unit Cost Y1</t>
  </si>
  <si>
    <t>Unit Cost Y2</t>
  </si>
  <si>
    <t>Unit Cost Y3</t>
  </si>
  <si>
    <t>Unit Cost Y4</t>
  </si>
  <si>
    <t>Unit Cost Y5</t>
  </si>
  <si>
    <t>Totals</t>
  </si>
  <si>
    <t>MOH Indirect Costs</t>
  </si>
  <si>
    <t>Y1</t>
  </si>
  <si>
    <t>Y2</t>
  </si>
  <si>
    <t>Y3</t>
  </si>
  <si>
    <t>Y4</t>
  </si>
  <si>
    <t>Y5</t>
  </si>
  <si>
    <t>Indirect Labor Total Yearly</t>
  </si>
  <si>
    <t xml:space="preserve"> Per Unit Indirect Labor</t>
  </si>
  <si>
    <t>Indirect Material Total Yearly</t>
  </si>
  <si>
    <t xml:space="preserve"> Per Unit Indirect Material</t>
  </si>
  <si>
    <t>MOH Total</t>
  </si>
  <si>
    <t>MOH Total Per Unit</t>
  </si>
  <si>
    <t>Our overall IS costs are dependent on both incremental hardware costs and growing systems expenses</t>
  </si>
  <si>
    <t>Expense Type</t>
  </si>
  <si>
    <t>Year 0</t>
  </si>
  <si>
    <t>Software</t>
  </si>
  <si>
    <t>ERP Employee Cost</t>
  </si>
  <si>
    <t>ERP System Implementation</t>
  </si>
  <si>
    <t xml:space="preserve">ERP System Maintanance </t>
  </si>
  <si>
    <t>Security Software</t>
  </si>
  <si>
    <t>Internet/Phone Service</t>
  </si>
  <si>
    <t>Total Software Costs</t>
  </si>
  <si>
    <t>Depreciation per Unit</t>
  </si>
  <si>
    <t>Hardware</t>
  </si>
  <si>
    <t>Desktops</t>
  </si>
  <si>
    <t>Printer</t>
  </si>
  <si>
    <t>Router/Modem</t>
  </si>
  <si>
    <t>Laptops</t>
  </si>
  <si>
    <t>Photcopier</t>
  </si>
  <si>
    <t>Total Hardware Costs</t>
  </si>
  <si>
    <t>Total Costs</t>
  </si>
  <si>
    <t>Newly Issued Laptops</t>
  </si>
  <si>
    <t>Newly Issued Desktops</t>
  </si>
  <si>
    <t>Newly Issued Printers</t>
  </si>
  <si>
    <t>Newly Issued Photocopiers</t>
  </si>
  <si>
    <t>Total Desktops in Use</t>
  </si>
  <si>
    <t>Total Laptops in Use</t>
  </si>
  <si>
    <t>Planned Expense of Depreciation</t>
  </si>
  <si>
    <t>Depreciation</t>
  </si>
  <si>
    <t>Total IS Depreciation Expense</t>
  </si>
  <si>
    <t>Logistics Costs</t>
  </si>
  <si>
    <t>Outbound Freight per Unit (Added to Outbound Freight)</t>
  </si>
  <si>
    <t>Inbound Freight per Unit (Added to Cost of Raw Materials)</t>
  </si>
  <si>
    <t>Total Logistics Costs</t>
  </si>
  <si>
    <t>While our total S&amp;M and G&amp;A expenses increase year over year, we Increase our efficiency with lower per unit costs each year</t>
  </si>
  <si>
    <t>S&amp;M &amp; G&amp;A Expenses</t>
  </si>
  <si>
    <t>Y1 Expense</t>
  </si>
  <si>
    <t>Y1 Units</t>
  </si>
  <si>
    <t>Y2 Expense</t>
  </si>
  <si>
    <t>Y2 Units</t>
  </si>
  <si>
    <t>Y3 Expense</t>
  </si>
  <si>
    <t>Y3 Units</t>
  </si>
  <si>
    <t>Y4 Expense</t>
  </si>
  <si>
    <t>Y4 Units</t>
  </si>
  <si>
    <t>Y5 Expense</t>
  </si>
  <si>
    <t>Y5 Units</t>
  </si>
  <si>
    <t>Selling</t>
  </si>
  <si>
    <t>Utilities</t>
  </si>
  <si>
    <t>Supplies</t>
  </si>
  <si>
    <t>Rent</t>
  </si>
  <si>
    <t>Total SG&amp;A</t>
  </si>
  <si>
    <t>Because of our high CapEx start-up costs, we believe that greater purchases in equipment would not be necessary, and thus, increased our laborers to optimize efficiency</t>
  </si>
  <si>
    <t>Workstation</t>
  </si>
  <si>
    <t>Tasks</t>
  </si>
  <si>
    <t>Work Station Time</t>
  </si>
  <si>
    <t>Preceding Work Station</t>
  </si>
  <si>
    <t>Worker Number</t>
  </si>
  <si>
    <t>Capital Utilization</t>
  </si>
  <si>
    <t xml:space="preserve">Work Station Time </t>
  </si>
  <si>
    <t>D + E + F</t>
  </si>
  <si>
    <t>G + H + I</t>
  </si>
  <si>
    <t>4 or 5</t>
  </si>
  <si>
    <t>Total machines to meet current year's demand</t>
  </si>
  <si>
    <t>Throughput Time(in minutes)</t>
  </si>
  <si>
    <t>Takt Time(in minutes)</t>
  </si>
  <si>
    <t>Cycle Time(in minutes)</t>
  </si>
  <si>
    <t>Capacity Utilization(Whole)</t>
  </si>
  <si>
    <t>Capacity in Units</t>
  </si>
  <si>
    <t>Direct Labor</t>
  </si>
  <si>
    <t>Assembly Line workers</t>
  </si>
  <si>
    <t>Packaging workers</t>
  </si>
  <si>
    <t>Impact workers</t>
  </si>
  <si>
    <t>Laser workers</t>
  </si>
  <si>
    <t>Total Workers</t>
  </si>
  <si>
    <t>Process Analysis Diagram</t>
  </si>
  <si>
    <t>Our inventory costs reflect our product's demand, raw material costs, lead time and accounts for the quantity of bottles within a unit</t>
  </si>
  <si>
    <t>Direct Material Costs</t>
  </si>
  <si>
    <t>Order Costs</t>
  </si>
  <si>
    <t>Orders Y0</t>
  </si>
  <si>
    <t>Cost Y0</t>
  </si>
  <si>
    <t># Orders Y1</t>
  </si>
  <si>
    <t>Order Cost Y1</t>
  </si>
  <si>
    <t># of Orders Y2</t>
  </si>
  <si>
    <t>Order Cost Y2</t>
  </si>
  <si>
    <t># Orders Y3</t>
  </si>
  <si>
    <t>Cost Y3</t>
  </si>
  <si>
    <t># Orders Y4</t>
  </si>
  <si>
    <t>Cost Y4</t>
  </si>
  <si>
    <t># Orders Y5</t>
  </si>
  <si>
    <t>Cost Y5</t>
  </si>
  <si>
    <t>Part</t>
  </si>
  <si>
    <t>Description</t>
  </si>
  <si>
    <t>Supplier</t>
  </si>
  <si>
    <t>Materials per unit (oz)</t>
  </si>
  <si>
    <t>Unit Cost</t>
  </si>
  <si>
    <t>Cost Y1</t>
  </si>
  <si>
    <t>Cost Y2</t>
  </si>
  <si>
    <t>Aluminum (oz)</t>
  </si>
  <si>
    <t>Aluminum-made cylindrical contailners that holds up to 3.4 oz of liquid.</t>
  </si>
  <si>
    <t>COSME packaging, China</t>
  </si>
  <si>
    <t>Aluminum-made lid that covers the container and locks liquid inside the bottle. The lid fits the bottle tightly that no air can get in or out.</t>
  </si>
  <si>
    <t>Light up Indicator</t>
  </si>
  <si>
    <t>It expends energy into the bottle to raise, transport, and compress liquid.</t>
  </si>
  <si>
    <t>When pressing the button, the air inside is released for customers to use the liquid inside.</t>
  </si>
  <si>
    <t>The indicator will light up once the container is filled, ensuring that the container is airtight.</t>
  </si>
  <si>
    <t>Channel that directs or modifies the flow of liquid.</t>
  </si>
  <si>
    <t>Inventory Parameters</t>
  </si>
  <si>
    <t>Service Level Calculations</t>
  </si>
  <si>
    <t>Lead Time Calculations</t>
  </si>
  <si>
    <t>Materials from China</t>
  </si>
  <si>
    <t>Materials from Domestic Suppliers</t>
  </si>
  <si>
    <t>Weighted Average</t>
  </si>
  <si>
    <t>Yr 1</t>
  </si>
  <si>
    <t>Yr 2</t>
  </si>
  <si>
    <t>Yr 3</t>
  </si>
  <si>
    <t>Yr 4</t>
  </si>
  <si>
    <t>Yr 5</t>
  </si>
  <si>
    <t>Supplier Country of Origin</t>
  </si>
  <si>
    <t>% of Cost from Suppliers</t>
  </si>
  <si>
    <t>Annual Holding Cost (30% of COGS)</t>
  </si>
  <si>
    <t>Minimum (Weeks)</t>
  </si>
  <si>
    <t>Projected Annual Units</t>
  </si>
  <si>
    <t>Weighted Cost of USA Sourced Raw Materials</t>
  </si>
  <si>
    <t>Shortage Cost</t>
  </si>
  <si>
    <t>Most Likely (Weeks)</t>
  </si>
  <si>
    <t>Mfg's Price per Unit</t>
  </si>
  <si>
    <t>Weighted Cost of Chinese Sourced Raw Materials</t>
  </si>
  <si>
    <t>Excess Cost (Qurterly Holding Cost)</t>
  </si>
  <si>
    <t>Maximum (Weeks)</t>
  </si>
  <si>
    <t>Projected Annual Revenue</t>
  </si>
  <si>
    <t>Square root Lead Time</t>
  </si>
  <si>
    <t>Z-Score</t>
  </si>
  <si>
    <t>Indirect Materials</t>
  </si>
  <si>
    <t>Cost per unit</t>
  </si>
  <si>
    <t>QTY Y0&amp;Y1</t>
  </si>
  <si>
    <t>Total Cost Y0&amp;Y1</t>
  </si>
  <si>
    <t>QTY Y2</t>
  </si>
  <si>
    <t>Total Cost Y2</t>
  </si>
  <si>
    <t>QTY Y3</t>
  </si>
  <si>
    <t>Total Cost Y3</t>
  </si>
  <si>
    <t>QTY Y4</t>
  </si>
  <si>
    <t>Total Cost Y4</t>
  </si>
  <si>
    <t>QTY Y5</t>
  </si>
  <si>
    <t>Total Cost Y5</t>
  </si>
  <si>
    <t>Steel-Toed Construction Shoes</t>
  </si>
  <si>
    <t>USA Work Uniforms</t>
  </si>
  <si>
    <t>Demand</t>
  </si>
  <si>
    <t>Safety Goggles</t>
  </si>
  <si>
    <t>R.S. Hughes</t>
  </si>
  <si>
    <t>Base</t>
  </si>
  <si>
    <t>Construction Earmuffs</t>
  </si>
  <si>
    <t>IndustrialSafety.com</t>
  </si>
  <si>
    <t>Best</t>
  </si>
  <si>
    <t>Work Vests</t>
  </si>
  <si>
    <t>IdeaStage Promotional Products</t>
  </si>
  <si>
    <t>Worst</t>
  </si>
  <si>
    <t>Construction Gloves</t>
  </si>
  <si>
    <t>Global Industrial</t>
  </si>
  <si>
    <t>Mean Annual Demand</t>
  </si>
  <si>
    <t>Ladders</t>
  </si>
  <si>
    <t>Home Depot</t>
  </si>
  <si>
    <t>Mean Weekly Demand</t>
  </si>
  <si>
    <t>Pallet Jack</t>
  </si>
  <si>
    <t>Grizzly Industrial</t>
  </si>
  <si>
    <t>Annual StdDev</t>
  </si>
  <si>
    <t>First Aid Kit</t>
  </si>
  <si>
    <t>American Red Cross Store</t>
  </si>
  <si>
    <t>Weekly StdDev</t>
  </si>
  <si>
    <t>Grainger Industrial Supply</t>
  </si>
  <si>
    <t>Calculated Service Level</t>
  </si>
  <si>
    <t>Scrap Rate</t>
  </si>
  <si>
    <t>Service Level Calculations Justification</t>
  </si>
  <si>
    <t>Service Level stays rather consistent through our 5 year period, and we can attribute this to our steady growth and overall declining shortage &amp; COGS costs. This service level of roughly 94-96% can further be validated by the constant growth of the sales forecast for our units and thus, growing demand.</t>
  </si>
  <si>
    <t>Raw Material Cycle Stock</t>
  </si>
  <si>
    <t>Annual Material Demand</t>
  </si>
  <si>
    <t>Material EOQ Quantities</t>
  </si>
  <si>
    <t>Raw Material Safety Stock (UNITS)</t>
  </si>
  <si>
    <t>Material Cost per Part</t>
  </si>
  <si>
    <t>Pert Distribution for (LT)</t>
  </si>
  <si>
    <t>Pert Distr for StDevLT</t>
  </si>
  <si>
    <t>Raw Material Safety Stock ($)</t>
  </si>
  <si>
    <t>ROP</t>
  </si>
  <si>
    <t>Mean Annual Product Demand (Units)</t>
  </si>
  <si>
    <t>Product Weekly Demand &amp; WIP (Units)</t>
  </si>
  <si>
    <t>Product Safety Stock (Units)</t>
  </si>
  <si>
    <t>COGS per Unit</t>
  </si>
  <si>
    <t>Material Cost per unit</t>
  </si>
  <si>
    <t>Balance Sheet Value</t>
  </si>
  <si>
    <t>FGI Cycle Stock</t>
  </si>
  <si>
    <t>FGI Safety Stock</t>
  </si>
  <si>
    <t>Product WIP</t>
  </si>
  <si>
    <t>Prebuild FGI at T0</t>
  </si>
  <si>
    <t>TOTAL</t>
  </si>
  <si>
    <t>Total Inventory</t>
  </si>
  <si>
    <t>Raw Materials</t>
  </si>
  <si>
    <t>Finished Goods</t>
  </si>
  <si>
    <t>Mean ROP</t>
  </si>
  <si>
    <t>Raw Material Safety Stock (Units)</t>
  </si>
  <si>
    <t>Pert Distribution for StdDev(LT)</t>
  </si>
  <si>
    <t>Raw Material Safety Stock</t>
  </si>
  <si>
    <t>Weekly Cycle Stock &amp; WIP</t>
  </si>
  <si>
    <t>Safety Stock</t>
  </si>
  <si>
    <t xml:space="preserve">TOTAL </t>
  </si>
  <si>
    <t>Balance Sheet Data</t>
  </si>
  <si>
    <t>Finished Goods Inventory</t>
  </si>
  <si>
    <t>Raw Materials Inventory</t>
  </si>
  <si>
    <t>Work in Progress Inventory</t>
  </si>
  <si>
    <t>Project Annual Units</t>
  </si>
  <si>
    <t>Manufacturer's Price per Product</t>
  </si>
  <si>
    <t>Project Annual Revenue</t>
  </si>
  <si>
    <t>Total Inventory as Weeks of Sales</t>
  </si>
  <si>
    <t>Average Weekly Sales in Units</t>
  </si>
  <si>
    <t>Product COGS</t>
  </si>
  <si>
    <t>Total Inventory as Weeks of Supply</t>
  </si>
  <si>
    <t>Total Days of Inventory</t>
  </si>
  <si>
    <t>While our Cost of Goods Sold remains high, we expect our marginal profit to jump once our product awareness and revenues rise</t>
  </si>
  <si>
    <t>COGS</t>
  </si>
  <si>
    <t>Yr1</t>
  </si>
  <si>
    <t>Yr2</t>
  </si>
  <si>
    <t>Yr3</t>
  </si>
  <si>
    <t>Yr4</t>
  </si>
  <si>
    <t>Yr5</t>
  </si>
  <si>
    <t>Retail Price per unit</t>
  </si>
  <si>
    <t>Channel Margin per unit</t>
  </si>
  <si>
    <t>Manufacturers Price per unit</t>
  </si>
  <si>
    <t>Sales &amp; Marketing per unit</t>
  </si>
  <si>
    <t>General &amp; Administration per unit</t>
  </si>
  <si>
    <t>Marginal Profit per unit</t>
  </si>
  <si>
    <t>Final Calculated COGS</t>
  </si>
  <si>
    <t>Structure of COGS</t>
  </si>
  <si>
    <t>Cost of Raw Materials per unit</t>
  </si>
  <si>
    <t>Direct Labor per unit</t>
  </si>
  <si>
    <t>Mfg Overhead per unit</t>
  </si>
  <si>
    <t>Outbound Freight per unit</t>
  </si>
  <si>
    <t>Due to the proximity to our calculated Center of Gravity, and Attractive Labor Costs, Albuquerque was selected as our ideal Selected Factory Location</t>
  </si>
  <si>
    <t>Center of Gravity Analysis</t>
  </si>
  <si>
    <t>Channel Type</t>
  </si>
  <si>
    <t>% of Total Forecasted Market Demand for Year 5</t>
  </si>
  <si>
    <t>Latitude</t>
  </si>
  <si>
    <t>Longitude</t>
  </si>
  <si>
    <t>Independent Retailer #1 (Pacific)</t>
  </si>
  <si>
    <t>Independent Retailer #2 (Boston General)</t>
  </si>
  <si>
    <t>Independent Retailer #3 (Topdrawer)</t>
  </si>
  <si>
    <t>Independent Retailer #4 (Lazar's Luggage)</t>
  </si>
  <si>
    <t>E-Commerce (Amazon)</t>
  </si>
  <si>
    <t>(Amazon x2)</t>
  </si>
  <si>
    <t>Specialty Chain Retailer (Sephora)</t>
  </si>
  <si>
    <t>Drug Store Chains (Rite Aid)</t>
  </si>
  <si>
    <t>Lancaster CA Distribution Center</t>
  </si>
  <si>
    <t>Mass Merchants (Target)</t>
  </si>
  <si>
    <t>Midlothian TX Distribution Center</t>
  </si>
  <si>
    <t>Calculated Center of Gravity:</t>
  </si>
  <si>
    <t>Region of the US:</t>
  </si>
  <si>
    <t>Colorado</t>
  </si>
  <si>
    <t>Factor Rating Analysis</t>
  </si>
  <si>
    <t>Weighted Scores</t>
  </si>
  <si>
    <t>Factors</t>
  </si>
  <si>
    <t>Weight</t>
  </si>
  <si>
    <t>Location #1</t>
  </si>
  <si>
    <t>Location #2</t>
  </si>
  <si>
    <t>Location #3</t>
  </si>
  <si>
    <t>Location #4</t>
  </si>
  <si>
    <t>Distribution Costs</t>
  </si>
  <si>
    <t>* Values can be inserted once MK Team has established retailer locations &amp; Center of Gravity Analysis is done</t>
  </si>
  <si>
    <t>Factory and Labor Costs</t>
  </si>
  <si>
    <t>* May be subject to change given labor cost analysis</t>
  </si>
  <si>
    <t>Proximity to Suppliers</t>
  </si>
  <si>
    <t>Ability to Attract Employees</t>
  </si>
  <si>
    <t>Room for Future Expansion</t>
  </si>
  <si>
    <t>Tax Considerations</t>
  </si>
  <si>
    <t>Total Weighted Scores:</t>
  </si>
  <si>
    <t>Latest Census Data on Population for Location</t>
  </si>
  <si>
    <t>Selected Location:</t>
  </si>
  <si>
    <t>Albebquerue, NM</t>
  </si>
  <si>
    <t xml:space="preserve">Salt Lake City, Utah </t>
  </si>
  <si>
    <t>Hansen, Idaho</t>
  </si>
  <si>
    <t xml:space="preserve">Uinta County, Wyoming </t>
  </si>
  <si>
    <t>Our Initial Investment Costs are reflective of both our items expensed on the Income Statement and the costs added on the Balance Sheet, and represent the bulk of our Investment Requirements</t>
  </si>
  <si>
    <t>Initial Investment Costs</t>
  </si>
  <si>
    <t>Initial Investment in Fixed Assets</t>
  </si>
  <si>
    <t>CapEx, Rennovation, &amp; Inventory</t>
  </si>
  <si>
    <t>Capital Expenditure</t>
  </si>
  <si>
    <t>CapEx - Equipment</t>
  </si>
  <si>
    <t>Depreciable IS Equipment</t>
  </si>
  <si>
    <t>Raw Materials &amp; WIP Inventory</t>
  </si>
  <si>
    <t>Factory Refurbishing Cost</t>
  </si>
  <si>
    <t>Rennovation</t>
  </si>
  <si>
    <t>Initial Startup Expenses</t>
  </si>
  <si>
    <t>IS Systems</t>
  </si>
  <si>
    <t>Indirect Labor</t>
  </si>
  <si>
    <t>Total Initial Inv Costs</t>
  </si>
  <si>
    <t>Salaried Expenses</t>
  </si>
  <si>
    <t>Salaries</t>
  </si>
  <si>
    <t>Total SGA</t>
  </si>
  <si>
    <t>Total Software Expenses</t>
  </si>
  <si>
    <t>Product Development Expenses</t>
  </si>
  <si>
    <t>Premarketing Expenses</t>
  </si>
  <si>
    <t>Total Startup Expenses</t>
  </si>
  <si>
    <t>Total MOH</t>
  </si>
  <si>
    <t>Pre Marketing Expenses</t>
  </si>
  <si>
    <t>Assumptions</t>
  </si>
  <si>
    <t xml:space="preserve"> </t>
  </si>
  <si>
    <t>(In US Dollars)</t>
  </si>
  <si>
    <t>Start-up</t>
  </si>
  <si>
    <t>Link To</t>
  </si>
  <si>
    <t xml:space="preserve">Initial Startup Costs (Startup Column Only) </t>
  </si>
  <si>
    <t>INITIAL INVESTMENT IN FIXED ASSETS</t>
  </si>
  <si>
    <t xml:space="preserve">  Long Term Balance Sheet Items (Can be depreciated - includes IS equip &amp; Factory/office buildout costs)</t>
  </si>
  <si>
    <t>INITIAL INVESTMENT IN NET WORKING CAPITAL</t>
  </si>
  <si>
    <t xml:space="preserve">  Cash (Additional Cash required in addition to Start Up costs)</t>
  </si>
  <si>
    <t xml:space="preserve">  Raw Materials &amp; Work in Process, Start-Up Period Only  (Put Years 1-5 in table Below)</t>
  </si>
  <si>
    <t xml:space="preserve">  Finished Goods Start-up Period Only (Put Years 1-5 in table Below)</t>
  </si>
  <si>
    <t>INITIAL OPERATING EXPENSES (INCOME STATEMENT, TAX DEDUCTIBLE)</t>
  </si>
  <si>
    <t xml:space="preserve">  Product Development (Prototype, engineer, etc.)</t>
  </si>
  <si>
    <t xml:space="preserve">  Pre-Marketing Expenses (Marketing expenses before Year 1) See Sales Projection Tutorial</t>
  </si>
  <si>
    <t xml:space="preserve">  All Other (Miscellaneous non depreciated expenses, additional salaries, Rent etc.)</t>
  </si>
  <si>
    <t>MK, OM</t>
  </si>
  <si>
    <t>Subtotal Start Up Operating Expenses</t>
  </si>
  <si>
    <t>Operating Information (Years 1 - 5)</t>
  </si>
  <si>
    <t>UNITS SOLD</t>
  </si>
  <si>
    <t xml:space="preserve">   Units into independent retailers</t>
  </si>
  <si>
    <t xml:space="preserve">   Units online</t>
  </si>
  <si>
    <t xml:space="preserve">   Units into chain retailer</t>
  </si>
  <si>
    <t xml:space="preserve">   Units into mass merchants</t>
  </si>
  <si>
    <t>Total Units Sold</t>
  </si>
  <si>
    <t>MANUFACTURER SELLING PRICE</t>
  </si>
  <si>
    <t xml:space="preserve">   To independent retailers</t>
  </si>
  <si>
    <t xml:space="preserve">   For online sales</t>
  </si>
  <si>
    <t xml:space="preserve">   To chain retailer</t>
  </si>
  <si>
    <t xml:space="preserve">   To mass merchants</t>
  </si>
  <si>
    <t>Average WEIGHTED manufacturer's selling price to channel</t>
  </si>
  <si>
    <t>COST OF GOODS SOLD</t>
  </si>
  <si>
    <r>
      <rPr>
        <sz val="12"/>
        <color rgb="FF000000"/>
        <rFont val="Calibri"/>
        <family val="2"/>
      </rPr>
      <t xml:space="preserve">  Variable Cost </t>
    </r>
    <r>
      <rPr>
        <b/>
        <sz val="12"/>
        <color rgb="FF000000"/>
        <rFont val="Calibri"/>
        <family val="2"/>
      </rPr>
      <t>Per Unit</t>
    </r>
    <r>
      <rPr>
        <sz val="12"/>
        <color rgb="FF000000"/>
        <rFont val="Calibri"/>
        <family val="2"/>
      </rPr>
      <t xml:space="preserve"> ($/Unit) (Total Direct Cost = Direct Labor + Direct Materials )</t>
    </r>
  </si>
  <si>
    <r>
      <rPr>
        <b/>
        <sz val="12"/>
        <color rgb="FF000000"/>
        <rFont val="Calibri"/>
        <family val="2"/>
      </rPr>
      <t xml:space="preserve">  Total </t>
    </r>
    <r>
      <rPr>
        <sz val="12"/>
        <color rgb="FF000000"/>
        <rFont val="Calibri"/>
        <family val="2"/>
      </rPr>
      <t>Outbound Freight ($) (The gross amount, Not Per Unit)</t>
    </r>
  </si>
  <si>
    <t>Total Variable Costs Including Freight ($)</t>
  </si>
  <si>
    <t xml:space="preserve">  Fixed Production Costs ($) (Total MOH per year)</t>
  </si>
  <si>
    <t>Total Cost of Goods Sold</t>
  </si>
  <si>
    <t>SELLING &amp; GENERAL ADMINISTRATIVE EXPENSES</t>
  </si>
  <si>
    <t xml:space="preserve">  Production costs not included in Cost of Good sold (if any, you may not have any)</t>
  </si>
  <si>
    <t xml:space="preserve">  Fixed Administrative Costs </t>
  </si>
  <si>
    <t xml:space="preserve">  Marketing Expenses (Push and Pull) Excluding Manufacturers Reps ($)</t>
  </si>
  <si>
    <t xml:space="preserve">  Manufacturer's Sales Reps Commission Expense (10% - excludes Online Units)</t>
  </si>
  <si>
    <t xml:space="preserve">  IS EXPENSES</t>
  </si>
  <si>
    <t xml:space="preserve">Total SG&amp;A Expenses </t>
  </si>
  <si>
    <t>Balance Sheet Information (Year 1-5)</t>
  </si>
  <si>
    <t>Sensititivty</t>
  </si>
  <si>
    <t>Accounts Receivable (Days AR Outstanding) - Online Sales Channel</t>
  </si>
  <si>
    <t>Given Assumption, no further research required</t>
  </si>
  <si>
    <t>Accounts Receivable (Days AR Outstanding) - All other Sales Channels</t>
  </si>
  <si>
    <t>Accounts Payable (Days Payable Outstanding) - US Sourced  Vendors</t>
  </si>
  <si>
    <t>Accounts Payable (Days Payable Outstanding) - Non-US Sourced  Vendors</t>
  </si>
  <si>
    <t>Raw Materials &amp; Work in Process (Time 0 is above in Start Up Section)</t>
  </si>
  <si>
    <t>Cash reserves</t>
  </si>
  <si>
    <t>Finished Goods (Time 0 is above in Start Up Section)</t>
  </si>
  <si>
    <t xml:space="preserve">  Total Inventories</t>
  </si>
  <si>
    <t>Additional Investment in Fixed Assets, more capacity or replacement</t>
  </si>
  <si>
    <t xml:space="preserve">  OTHER ASSUMPTIONS</t>
  </si>
  <si>
    <t xml:space="preserve">       Discount Rate </t>
  </si>
  <si>
    <t xml:space="preserve"> TBD from 10%-30%. Use CAPM. </t>
  </si>
  <si>
    <t xml:space="preserve">       Commission Paid to Manufacturers Reps</t>
  </si>
  <si>
    <t>See MK Instructions</t>
  </si>
  <si>
    <t xml:space="preserve">       Tax Rate</t>
  </si>
  <si>
    <t>Given Assumption (21% Federal, 6% State), no further research required</t>
  </si>
  <si>
    <t xml:space="preserve">       Cash as a Percentage Sales </t>
  </si>
  <si>
    <t>Given Assumption, up to a max of $300K, no further research required</t>
  </si>
  <si>
    <t xml:space="preserve">       Risk Premium</t>
  </si>
  <si>
    <t xml:space="preserve">       Additional small company premium</t>
  </si>
  <si>
    <t xml:space="preserve">       Avg. Weighted Beta</t>
  </si>
  <si>
    <t xml:space="preserve">       Risk Free Rate (10-Year Treasury Rate)</t>
  </si>
  <si>
    <t xml:space="preserve">      Friends and Family Financing</t>
  </si>
  <si>
    <t>Income Statement</t>
  </si>
  <si>
    <t xml:space="preserve"> Notes </t>
  </si>
  <si>
    <t>TOTAL REVENUES</t>
  </si>
  <si>
    <t xml:space="preserve">Add another Revenue line if you </t>
  </si>
  <si>
    <t xml:space="preserve">     Variable Costs</t>
  </si>
  <si>
    <t>have multiple revenue streams,</t>
  </si>
  <si>
    <t xml:space="preserve">     Fixed Production Costs (allocated Manufacturing overhead)</t>
  </si>
  <si>
    <t>along with the corresponding cost of goods sold</t>
  </si>
  <si>
    <t>TOTAL COST OF GOODS SOLD</t>
  </si>
  <si>
    <t>GROSS PROFIT</t>
  </si>
  <si>
    <t>One-time  Start Up Expenses</t>
  </si>
  <si>
    <t xml:space="preserve"> Administrative Overhead (salaries)  </t>
  </si>
  <si>
    <t xml:space="preserve"> General operating expenses not already part of COGS </t>
  </si>
  <si>
    <t xml:space="preserve"> Marketing Expenses  Excluding Mfg Reps Commission </t>
  </si>
  <si>
    <t xml:space="preserve"> Manufacturer's Sales Reps Commission Expense (10%) </t>
  </si>
  <si>
    <t xml:space="preserve"> Depreciation on original PP&amp;E</t>
  </si>
  <si>
    <t xml:space="preserve"> (link total depreciation expense to Accumulated </t>
  </si>
  <si>
    <t xml:space="preserve"> Depreciation on new PP&amp;E (purchased after start-up)</t>
  </si>
  <si>
    <t xml:space="preserve"> Depreciation on the Balance Sheet) </t>
  </si>
  <si>
    <t xml:space="preserve"> Earnings Before Tax </t>
  </si>
  <si>
    <t xml:space="preserve">       Taxes (27%)</t>
  </si>
  <si>
    <t xml:space="preserve"> NET INCOME </t>
  </si>
  <si>
    <t>Statement of Retained Earnings</t>
  </si>
  <si>
    <t xml:space="preserve">Net Income </t>
  </si>
  <si>
    <t>minus cash returned to investors (dividends)</t>
  </si>
  <si>
    <r>
      <t>Dividends</t>
    </r>
    <r>
      <rPr>
        <i/>
        <sz val="12"/>
        <rFont val="Calibri"/>
        <family val="2"/>
      </rPr>
      <t>: see FE Cash Flow tab for any year with positive Free Cash Flow</t>
    </r>
  </si>
  <si>
    <t>Increase (Decrease) in Retained Earnings</t>
  </si>
  <si>
    <t xml:space="preserve">Link changes in Retained Earnings to the Balance Sheet Retained Earnings </t>
  </si>
  <si>
    <t>Income Statement Financial Ratios</t>
  </si>
  <si>
    <t>COGS % Sales</t>
  </si>
  <si>
    <t>Gross Margin %</t>
  </si>
  <si>
    <t>SG&amp;A % Sales</t>
  </si>
  <si>
    <t>Marketing Expenses % Sales</t>
  </si>
  <si>
    <t>Operating Margin</t>
  </si>
  <si>
    <t>Profit Margin</t>
  </si>
  <si>
    <t>Breakeven Calculations</t>
  </si>
  <si>
    <t>Dollars</t>
  </si>
  <si>
    <t>Balance Sheet</t>
  </si>
  <si>
    <t>Time 0</t>
  </si>
  <si>
    <t>Notes</t>
  </si>
  <si>
    <t>Current Assets</t>
  </si>
  <si>
    <t>Accounts Receivable</t>
  </si>
  <si>
    <t>FE assumptions</t>
  </si>
  <si>
    <t>Raw Materials and WIP</t>
  </si>
  <si>
    <t>OM worksheets</t>
  </si>
  <si>
    <t xml:space="preserve">    Current Assets</t>
  </si>
  <si>
    <t>Fixed Assets</t>
  </si>
  <si>
    <t xml:space="preserve">Gross Fixed Assets  </t>
  </si>
  <si>
    <t>OM asset schedule</t>
  </si>
  <si>
    <t xml:space="preserve"> Accumulated Depreciation (cumulative)</t>
  </si>
  <si>
    <t>FE Income Statement</t>
  </si>
  <si>
    <t>Net Fixed Assets</t>
  </si>
  <si>
    <t>TOTAL ASSETS</t>
  </si>
  <si>
    <t>Current Liabilities</t>
  </si>
  <si>
    <t xml:space="preserve">Accounts Payable  </t>
  </si>
  <si>
    <t xml:space="preserve">     Current Liabilities</t>
  </si>
  <si>
    <t>Equity</t>
  </si>
  <si>
    <t>Paid in Capital (cumulative)</t>
  </si>
  <si>
    <t>See FE Cash Flow Tab for any year with Negative FCF</t>
  </si>
  <si>
    <t>Retained Earnings (cumulative)</t>
  </si>
  <si>
    <t>See FE Income Statement Tab for changes in Retained Earnings</t>
  </si>
  <si>
    <t xml:space="preserve">      Total Equity</t>
  </si>
  <si>
    <t>TOTAL LIABILTIES AND EQUITY</t>
  </si>
  <si>
    <t>Friends &amp; Family Funding</t>
  </si>
  <si>
    <t>FoF Funding</t>
  </si>
  <si>
    <t>After FoF Needed External Financing</t>
  </si>
  <si>
    <t>% of Funding needed from External Investors</t>
  </si>
  <si>
    <t>Check Total Assets - Total Liabilities &amp; Equity</t>
  </si>
  <si>
    <t>&lt;&lt;Do not delete or hide this line - you may move.</t>
  </si>
  <si>
    <t>Net Working Capital Balance (Current Assets - Current Liabilities)</t>
  </si>
  <si>
    <t>link to FE Cash Flow schedule</t>
  </si>
  <si>
    <t>Balance Sheet Financial Ratios</t>
  </si>
  <si>
    <t>Accounts Receivable Days DSO</t>
  </si>
  <si>
    <t>These should be calculated Outputs</t>
  </si>
  <si>
    <t>Total Inventory Days DOH (include RM, FPI &amp; WIP categories)</t>
  </si>
  <si>
    <t>Accounts Payable Days DPO</t>
  </si>
  <si>
    <t>Statement of Cash Flow</t>
  </si>
  <si>
    <t xml:space="preserve">   </t>
  </si>
  <si>
    <t xml:space="preserve"> FE Balance Sheet, OM  asset planning </t>
  </si>
  <si>
    <t>Net Income</t>
  </si>
  <si>
    <t xml:space="preserve"> + Depreciation</t>
  </si>
  <si>
    <t>+/- Change in Net Working Capital</t>
  </si>
  <si>
    <t xml:space="preserve"> - Change in Fixed Assets</t>
  </si>
  <si>
    <t>OM asset planning, FE Balance Sheet</t>
  </si>
  <si>
    <t>Net Free Cash Flow</t>
  </si>
  <si>
    <r>
      <t xml:space="preserve">Cash Flow: </t>
    </r>
    <r>
      <rPr>
        <sz val="12"/>
        <rFont val="Calibri"/>
        <family val="2"/>
      </rPr>
      <t>If positive, treat as a dividend,</t>
    </r>
  </si>
  <si>
    <t xml:space="preserve">   if negative, treat as additional paid-in capital.</t>
  </si>
  <si>
    <t>Terminal Value of Business</t>
  </si>
  <si>
    <t>See Note on Terminal Value</t>
  </si>
  <si>
    <t xml:space="preserve">Total Cash Flow </t>
  </si>
  <si>
    <t>Net Present Value: Including TV</t>
  </si>
  <si>
    <t>(requires Total  cash-flows and a discount rate)</t>
  </si>
  <si>
    <t>Internal Rate of Return: Including TV</t>
  </si>
  <si>
    <t>(requires Total cash-flows)</t>
  </si>
  <si>
    <t>Declining 'Growth' Rate*</t>
  </si>
  <si>
    <t>*Assuming 10yr Product Life Cycle</t>
  </si>
  <si>
    <t>Our Firm</t>
  </si>
  <si>
    <t>Y0</t>
  </si>
  <si>
    <t>Net Debt</t>
  </si>
  <si>
    <t>Revenues</t>
  </si>
  <si>
    <t>EBITDA</t>
  </si>
  <si>
    <t>Current Multiples</t>
  </si>
  <si>
    <t>EV</t>
  </si>
  <si>
    <t>EV/REV</t>
  </si>
  <si>
    <t>EV/EBITDA</t>
  </si>
  <si>
    <t>Equity/NI</t>
  </si>
  <si>
    <t>Newell</t>
  </si>
  <si>
    <t>Nippon (Yen)</t>
  </si>
  <si>
    <t>Our Valuation (Y1)</t>
  </si>
  <si>
    <t>EV based on Newell</t>
  </si>
  <si>
    <t>EV Based on Nippon</t>
  </si>
  <si>
    <t>Equity Value (Mkt Cap) Based on Newell</t>
  </si>
  <si>
    <t>Equity Value (Mkt Cap) Based on Nippon</t>
  </si>
  <si>
    <t>* Based on Simplified EV that EV = Equity Value (Mkt Cap?) + Net Debt</t>
  </si>
  <si>
    <t>** Where Equity Value means market value of equity</t>
  </si>
  <si>
    <t xml:space="preserve">Our Firm </t>
  </si>
  <si>
    <t xml:space="preserve">Newell </t>
  </si>
  <si>
    <t xml:space="preserve">Nippon </t>
  </si>
  <si>
    <t>Gross Margin % Sales</t>
  </si>
  <si>
    <t>Net Income % Sales</t>
  </si>
  <si>
    <t>Impact</t>
  </si>
  <si>
    <t>Segment Size Parameter Value Calculations</t>
  </si>
  <si>
    <t>Percentage of people with annual income &gt; $35,000</t>
  </si>
  <si>
    <t>Most likely percentage of people who travel moderately (2-3 times/year)</t>
  </si>
  <si>
    <t>Maximum percentage of people who travel moderately (2-3 times/year)</t>
  </si>
  <si>
    <t>Minimum percentage of people who travel moderately (2-3 times/year)</t>
  </si>
  <si>
    <t>US individuals income &gt; $35,000 that have traveled by plane in the last year</t>
  </si>
  <si>
    <t>Maximum % of people who care about sustainability when making a purchase</t>
  </si>
  <si>
    <t>Minimum % of people who care about sustainability when making a purchase</t>
  </si>
  <si>
    <t>Percentage of people (age 43 - 55) who travel by air</t>
  </si>
  <si>
    <t>Percentage of people (age 24 - 42) who travel by air</t>
  </si>
  <si>
    <t>People age 24-42</t>
  </si>
  <si>
    <t>People age 43-55</t>
  </si>
  <si>
    <t>Floor Worker Hourly Wage Parameter Value Calculations</t>
  </si>
  <si>
    <t>Annual percentage fluctuation of minimum wage in New Mexico</t>
  </si>
  <si>
    <t>Minimum wage in New Mexcico</t>
  </si>
  <si>
    <r>
      <rPr>
        <b/>
        <sz val="12"/>
        <color rgb="FF000000"/>
        <rFont val="Calibri"/>
        <family val="2"/>
      </rPr>
      <t xml:space="preserve">Conjoint Analysis: </t>
    </r>
    <r>
      <rPr>
        <sz val="12"/>
        <color rgb="FF000000"/>
        <rFont val="Calibri"/>
        <family val="2"/>
      </rPr>
      <t xml:space="preserve">We runned the clustering based on the partworths “size” and “reusability”, which have the highest standard deviations.
For the partworth “reusability”, we focused on emphasizing the leak proof aspect of TravelTight bottles for the creatives. We showed this functionality throughout the social media, billboard ads and slogan.
For the partworth “size”, we decided to set the product size TSA approved (3.4 oz) and sell the product in a pack of two. </t>
    </r>
  </si>
  <si>
    <t>High Price</t>
  </si>
  <si>
    <t>Low Price</t>
  </si>
  <si>
    <t>Size</t>
  </si>
  <si>
    <t>Durability</t>
  </si>
  <si>
    <t>Resuability</t>
  </si>
  <si>
    <t>Mean</t>
  </si>
  <si>
    <t>Std Dev</t>
  </si>
  <si>
    <t>Min</t>
  </si>
  <si>
    <t>Max</t>
  </si>
  <si>
    <t xml:space="preserve">Range of Importance </t>
  </si>
  <si>
    <t xml:space="preserve">Sum of Importance </t>
  </si>
  <si>
    <t>Sum of range</t>
  </si>
  <si>
    <t>Data Mining: K-Means Clustering - Predicted Clusters</t>
  </si>
  <si>
    <t>Output Navigator</t>
  </si>
  <si>
    <t>Cluster Labels</t>
  </si>
  <si>
    <t>Inputs</t>
  </si>
  <si>
    <t>Cluster Centers</t>
  </si>
  <si>
    <t>Inter-Cluster Distances</t>
  </si>
  <si>
    <t>Cluster Summary</t>
  </si>
  <si>
    <t>Record ID</t>
  </si>
  <si>
    <t>Cluster</t>
  </si>
  <si>
    <t>Dist.Cluster-1</t>
  </si>
  <si>
    <t>Dist.Cluster-2</t>
  </si>
  <si>
    <t>size</t>
  </si>
  <si>
    <t>reusability</t>
  </si>
  <si>
    <t>Record 1</t>
  </si>
  <si>
    <t>Record 2</t>
  </si>
  <si>
    <t>Record 5</t>
  </si>
  <si>
    <t>Record 7</t>
  </si>
  <si>
    <t>Record 8</t>
  </si>
  <si>
    <t>Record 11</t>
  </si>
  <si>
    <t>Record 12</t>
  </si>
  <si>
    <t>Record 13</t>
  </si>
  <si>
    <t>Record 14</t>
  </si>
  <si>
    <t>Record 15</t>
  </si>
  <si>
    <t>Record 17</t>
  </si>
  <si>
    <t>Record 20</t>
  </si>
  <si>
    <t>Record 21</t>
  </si>
  <si>
    <t>Record 22</t>
  </si>
  <si>
    <t>Record 23</t>
  </si>
  <si>
    <t>Record 25</t>
  </si>
  <si>
    <t>Record 26</t>
  </si>
  <si>
    <t>Record 27</t>
  </si>
  <si>
    <t>Record 30</t>
  </si>
  <si>
    <t>Record 32</t>
  </si>
  <si>
    <t>Record 33</t>
  </si>
  <si>
    <t>Record 34</t>
  </si>
  <si>
    <t>Record 36</t>
  </si>
  <si>
    <t>Record 38</t>
  </si>
  <si>
    <t>Record 39</t>
  </si>
  <si>
    <t>Record 40</t>
  </si>
  <si>
    <t>Record 41</t>
  </si>
  <si>
    <t>Record 42</t>
  </si>
  <si>
    <t>Record 43</t>
  </si>
  <si>
    <t>Record 44</t>
  </si>
  <si>
    <t>Record 45</t>
  </si>
  <si>
    <t>Record 46</t>
  </si>
  <si>
    <t>Record 3</t>
  </si>
  <si>
    <t>Record 4</t>
  </si>
  <si>
    <t>Record 6</t>
  </si>
  <si>
    <t>Record 9</t>
  </si>
  <si>
    <t>Record 10</t>
  </si>
  <si>
    <t>Record 16</t>
  </si>
  <si>
    <t>Record 18</t>
  </si>
  <si>
    <t>Record 19</t>
  </si>
  <si>
    <t>Record 24</t>
  </si>
  <si>
    <t>Record 28</t>
  </si>
  <si>
    <t>Record 29</t>
  </si>
  <si>
    <t>Record 31</t>
  </si>
  <si>
    <t>Safety Hazards</t>
  </si>
  <si>
    <t>Changes in Government Regulations</t>
  </si>
  <si>
    <t>Workers Strike</t>
  </si>
  <si>
    <t>Material Consistency</t>
  </si>
  <si>
    <t>High Impact</t>
  </si>
  <si>
    <t>Reputation Damage</t>
  </si>
  <si>
    <t>Demand Influx</t>
  </si>
  <si>
    <t>Supply Chain Risk</t>
  </si>
  <si>
    <t xml:space="preserve">Fraud </t>
  </si>
  <si>
    <t>Employee Health</t>
  </si>
  <si>
    <t>Facility Fire</t>
  </si>
  <si>
    <t>Fraud</t>
  </si>
  <si>
    <t>Supply Chain Risk of Shut Down</t>
  </si>
  <si>
    <t>Brand Uniformity</t>
  </si>
  <si>
    <t xml:space="preserve">Facility Temperature </t>
  </si>
  <si>
    <t>Website Down</t>
  </si>
  <si>
    <t>Low Impact</t>
  </si>
  <si>
    <t>Distribution Channel Reduction of Shutting Down</t>
  </si>
  <si>
    <t>Employee Shoplift</t>
  </si>
  <si>
    <t>Late Delivery</t>
  </si>
  <si>
    <t>Low Probability</t>
  </si>
  <si>
    <t>High Probability</t>
  </si>
  <si>
    <t>Segment Size</t>
  </si>
  <si>
    <t>Adjusted PI</t>
  </si>
  <si>
    <t xml:space="preserve">Administrative Salaries </t>
  </si>
  <si>
    <t>Selling Expenses</t>
  </si>
  <si>
    <t>Competition Price War</t>
  </si>
  <si>
    <t>Marketing Expense</t>
  </si>
  <si>
    <t>Floor Worker Hourly wage</t>
  </si>
  <si>
    <t>Rent Expense</t>
  </si>
  <si>
    <t>A/R Days</t>
  </si>
  <si>
    <t>Cash Reserves</t>
  </si>
  <si>
    <t>Manufacturing Overhead Total</t>
  </si>
  <si>
    <t>A/P Days</t>
  </si>
  <si>
    <t xml:space="preserve">Manufacturer's Sales Reps Commission Expense (10%) </t>
  </si>
  <si>
    <t>Year 1 Value (Base case)</t>
  </si>
  <si>
    <t>Breakeven Value (Year 1)</t>
  </si>
  <si>
    <t>Breakeven % Change</t>
  </si>
  <si>
    <t>NPV with 1% increase</t>
  </si>
  <si>
    <t>Change in NPV with 1% increase</t>
  </si>
  <si>
    <t>Elasticities (% change due to 1% increase)</t>
  </si>
  <si>
    <t>Absolute Elasticities</t>
  </si>
  <si>
    <t>Probability</t>
  </si>
  <si>
    <t>High</t>
  </si>
  <si>
    <t>Adjusted PI @ $ average weighted retail price</t>
  </si>
  <si>
    <t>Low</t>
  </si>
  <si>
    <t xml:space="preserve">Administrative Overhead (salaries)  </t>
  </si>
  <si>
    <t>Direct Labor Per unit</t>
  </si>
  <si>
    <t>Marketing Expenses</t>
  </si>
  <si>
    <t xml:space="preserve">Rent Expense </t>
  </si>
  <si>
    <t xml:space="preserve">High </t>
  </si>
  <si>
    <t>A/R Days (all channel excluding online)</t>
  </si>
  <si>
    <t>A/P Days( US Sourced)</t>
  </si>
  <si>
    <t>Base Case NPV</t>
  </si>
  <si>
    <t>DO NOT CHANGE</t>
  </si>
  <si>
    <t>Administrative Salaries</t>
  </si>
  <si>
    <t>New Entering Competition (Actual Competitors)</t>
  </si>
  <si>
    <t>Facility Temperature</t>
  </si>
  <si>
    <t>Go to RUN Simulations</t>
  </si>
  <si>
    <t>Go to Simmulation Summary</t>
  </si>
  <si>
    <t>Simulation Number:</t>
  </si>
  <si>
    <t>Parameter to vary:</t>
  </si>
  <si>
    <t>Base Case</t>
  </si>
  <si>
    <t>All Variables</t>
  </si>
  <si>
    <t>Adjusted Parameters for Segment Size based on segmentation tree</t>
  </si>
  <si>
    <t>Calculated Age 24 - 55</t>
  </si>
  <si>
    <t>Distribution Type:</t>
  </si>
  <si>
    <t>Triangular</t>
  </si>
  <si>
    <t>Age group</t>
  </si>
  <si>
    <t>Percentage who travel by air last year</t>
  </si>
  <si>
    <t xml:space="preserve">Number </t>
  </si>
  <si>
    <t>Location of the parameter:</t>
  </si>
  <si>
    <t>In Cell G2 in MK Bases Model (Base Case) Tab</t>
  </si>
  <si>
    <t>In cell B14 in OM Initial Investment Costs</t>
  </si>
  <si>
    <t>Minimum</t>
  </si>
  <si>
    <t xml:space="preserve">Most Likely </t>
  </si>
  <si>
    <t>Maximum</t>
  </si>
  <si>
    <t>24 - 42</t>
  </si>
  <si>
    <t>Parameter1 Name</t>
  </si>
  <si>
    <t>Top on segmentation tree</t>
  </si>
  <si>
    <t>43 - 55</t>
  </si>
  <si>
    <t>Parameter2 Name</t>
  </si>
  <si>
    <t>Most Likely</t>
  </si>
  <si>
    <t>1st level: Age 24-55</t>
  </si>
  <si>
    <t>Parameter3 Name</t>
  </si>
  <si>
    <t>2nd level: Travel Moderately</t>
  </si>
  <si>
    <t>Weighted target age group</t>
  </si>
  <si>
    <t>Parameter1 Value</t>
  </si>
  <si>
    <t xml:space="preserve">3rd level: Care about Sustainabilty </t>
  </si>
  <si>
    <t>Parameter2 Value</t>
  </si>
  <si>
    <t>Segmentation Tree Variables</t>
  </si>
  <si>
    <t>Research Numbers</t>
  </si>
  <si>
    <t>Research Percentage</t>
  </si>
  <si>
    <t>Parameter3 Value</t>
  </si>
  <si>
    <t>Final Parameter Value</t>
  </si>
  <si>
    <t>Age 24 - 55</t>
  </si>
  <si>
    <t>/</t>
  </si>
  <si>
    <t>Parameter1 Comment</t>
  </si>
  <si>
    <t>Segment based on research min</t>
  </si>
  <si>
    <t>base*(1-.06(from research))</t>
  </si>
  <si>
    <t>Travel Moderately</t>
  </si>
  <si>
    <t>Parameter2 Comment</t>
  </si>
  <si>
    <t>Base Value</t>
  </si>
  <si>
    <t>Care about sustainabilitiy</t>
  </si>
  <si>
    <t>Parameter3 Comment</t>
  </si>
  <si>
    <t>Segment based on research max</t>
  </si>
  <si>
    <t>base*(1+.15(from research))</t>
  </si>
  <si>
    <t>FORMULA</t>
  </si>
  <si>
    <t>Calculating Parameters for floor worker hourly wage</t>
  </si>
  <si>
    <t>Rand() (for Triangular Dist.)</t>
  </si>
  <si>
    <t>Floor worker hourly wage</t>
  </si>
  <si>
    <t>Simulation Number (changed in Simulation Summary tab)</t>
  </si>
  <si>
    <t>Comments</t>
  </si>
  <si>
    <t>Summary Statitics</t>
  </si>
  <si>
    <t>Average</t>
  </si>
  <si>
    <t>Go to Parameters for Simulations</t>
  </si>
  <si>
    <t>Median</t>
  </si>
  <si>
    <t>Go to Simulation Summary</t>
  </si>
  <si>
    <t>Standard Deviation</t>
  </si>
  <si>
    <t>VaR@5%</t>
  </si>
  <si>
    <t>95th percentile</t>
  </si>
  <si>
    <t>%NPV &lt; 0</t>
  </si>
  <si>
    <t>Random Number</t>
  </si>
  <si>
    <t>Input Dist.</t>
  </si>
  <si>
    <t>Replication</t>
  </si>
  <si>
    <t>NPV</t>
  </si>
  <si>
    <t>Input Graph</t>
  </si>
  <si>
    <t>Output Graph</t>
  </si>
  <si>
    <t xml:space="preserve">Enter  here ↓ which Simulation number to RUN </t>
  </si>
  <si>
    <t>Copied and pasted as values:</t>
  </si>
  <si>
    <t>pasted  values</t>
  </si>
  <si>
    <t>Data for Tornado Chart</t>
  </si>
  <si>
    <t>All Simuls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</si>
</sst>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6" formatCode="&quot;$&quot;#,##0_);[Red]\(&quot;$&quot;#,##0\)"/>
    <numFmt numFmtId="8" formatCode="&quot;$&quot;#,##0.00_);[Red]\(&quot;$&quot;#,##0.00\)"/>
    <numFmt numFmtId="44" formatCode="_(&quot;$&quot;* #,##0.00_);_(&quot;$&quot;* \(#,##0.00\);_(&quot;$&quot;* &quot;-&quot;??_);_(@_)"/>
    <numFmt numFmtId="43" formatCode="_(* #,##0.00_);_(* \(#,##0.00\);_(* &quot;-&quot;??_);_(@_)"/>
    <numFmt numFmtId="164" formatCode="\$#,##0_);[Red]\(\$#,##0\)"/>
    <numFmt numFmtId="165" formatCode="\$#,##0.00_);[Red]\(\$#,##0.00\)"/>
    <numFmt numFmtId="166" formatCode="&quot;$&quot;#,##0.00"/>
    <numFmt numFmtId="167" formatCode="&quot;$&quot;#,##0"/>
    <numFmt numFmtId="168" formatCode="_(* #,##0_);_(* \(#,##0\);_(* &quot;-&quot;??_);_(@_)"/>
    <numFmt numFmtId="169" formatCode="_(&quot;$&quot;* #,##0_);_(&quot;$&quot;* \(#,##0\);_(&quot;$&quot;* &quot;-&quot;??_);_(@_)"/>
    <numFmt numFmtId="170" formatCode="_([$$-409]* #,##0.00_);_([$$-409]* \(#,##0.00\);_([$$-409]* &quot;-&quot;??_);_(@_)"/>
    <numFmt numFmtId="171" formatCode="0.0%"/>
    <numFmt numFmtId="172" formatCode="0.000"/>
    <numFmt numFmtId="173" formatCode="_([$$-409]* #,##0_);_([$$-409]* \(#,##0\);_([$$-409]* &quot;-&quot;??_);_(@_)"/>
    <numFmt numFmtId="174" formatCode="_([$$-409]* #,##0.000_);_([$$-409]* \(#,##0.000\);_([$$-409]* &quot;-&quot;???_);_(@_)"/>
    <numFmt numFmtId="175" formatCode="0.0"/>
    <numFmt numFmtId="176" formatCode="0.0000%"/>
    <numFmt numFmtId="177" formatCode="_(* #,##0.000_);_(* \(#,##0.000\);_(* &quot;-&quot;??_);_(@_)"/>
    <numFmt numFmtId="178" formatCode="0.00_);[Red]\(0.00\)"/>
  </numFmts>
  <fonts count="76">
    <font>
      <sz val="12"/>
      <color theme="1"/>
      <name val="Calibri"/>
      <family val="2"/>
      <scheme val="minor"/>
    </font>
    <font>
      <b/>
      <sz val="12"/>
      <color theme="1"/>
      <name val="Calibri"/>
      <family val="2"/>
      <scheme val="minor"/>
    </font>
    <font>
      <sz val="12"/>
      <color rgb="FF000000"/>
      <name val="Calibri"/>
      <family val="2"/>
    </font>
    <font>
      <u/>
      <sz val="12"/>
      <color theme="10"/>
      <name val="Calibri"/>
      <family val="2"/>
      <scheme val="minor"/>
    </font>
    <font>
      <sz val="12"/>
      <color theme="1"/>
      <name val="Calibri"/>
      <family val="2"/>
    </font>
    <font>
      <b/>
      <sz val="12"/>
      <color theme="1"/>
      <name val="Calibri"/>
      <family val="2"/>
    </font>
    <font>
      <b/>
      <sz val="12"/>
      <color rgb="FF000000"/>
      <name val="Calibri"/>
      <family val="2"/>
    </font>
    <font>
      <b/>
      <sz val="11"/>
      <color indexed="8"/>
      <name val="Calibri"/>
      <family val="2"/>
      <scheme val="minor"/>
    </font>
    <font>
      <b/>
      <sz val="10"/>
      <color rgb="FFFFFFFF"/>
      <name val="Arial"/>
      <family val="2"/>
    </font>
    <font>
      <b/>
      <sz val="11"/>
      <color rgb="FFFFFFFF"/>
      <name val="Calibri"/>
      <family val="2"/>
    </font>
    <font>
      <sz val="10"/>
      <color rgb="FF000000"/>
      <name val="Arial"/>
      <family val="2"/>
    </font>
    <font>
      <sz val="11"/>
      <color rgb="FF000000"/>
      <name val="Calibri"/>
      <family val="2"/>
    </font>
    <font>
      <b/>
      <sz val="12"/>
      <color rgb="FF000000"/>
      <name val="Calibri"/>
      <family val="2"/>
      <scheme val="minor"/>
    </font>
    <font>
      <sz val="12"/>
      <color rgb="FF000000"/>
      <name val="Calibri"/>
      <family val="2"/>
      <scheme val="minor"/>
    </font>
    <font>
      <b/>
      <u/>
      <sz val="12"/>
      <color theme="1"/>
      <name val="Calibri"/>
      <family val="2"/>
      <scheme val="minor"/>
    </font>
    <font>
      <b/>
      <sz val="12"/>
      <color rgb="FFC00000"/>
      <name val="Calibri"/>
      <family val="2"/>
      <scheme val="minor"/>
    </font>
    <font>
      <sz val="12"/>
      <color rgb="FF040C28"/>
      <name val="Calibri"/>
      <family val="2"/>
      <scheme val="minor"/>
    </font>
    <font>
      <b/>
      <sz val="11"/>
      <color theme="1"/>
      <name val="Calibri"/>
      <family val="2"/>
      <scheme val="minor"/>
    </font>
    <font>
      <sz val="12"/>
      <color theme="1"/>
      <name val="Calibri"/>
      <family val="2"/>
      <scheme val="minor"/>
    </font>
    <font>
      <b/>
      <sz val="12"/>
      <color rgb="FF2A2A33"/>
      <name val="Open Sans"/>
      <charset val="1"/>
    </font>
    <font>
      <sz val="10"/>
      <name val="Arial"/>
      <family val="2"/>
    </font>
    <font>
      <sz val="10"/>
      <name val="Arial"/>
      <family val="2"/>
    </font>
    <font>
      <b/>
      <sz val="10"/>
      <name val="Arial"/>
      <family val="2"/>
    </font>
    <font>
      <b/>
      <sz val="14"/>
      <color rgb="FF4169E1"/>
      <name val="Calibri"/>
      <family val="2"/>
    </font>
    <font>
      <b/>
      <sz val="12"/>
      <name val="Calibri"/>
      <family val="2"/>
    </font>
    <font>
      <b/>
      <sz val="10"/>
      <color rgb="FF4169E1"/>
      <name val="Calibri"/>
      <family val="2"/>
    </font>
    <font>
      <b/>
      <sz val="14"/>
      <name val="Calibri"/>
      <family val="2"/>
    </font>
    <font>
      <b/>
      <sz val="11"/>
      <color rgb="FF000000"/>
      <name val="Calibri"/>
      <family val="2"/>
    </font>
    <font>
      <sz val="12"/>
      <name val="Calibri"/>
      <family val="2"/>
    </font>
    <font>
      <b/>
      <sz val="12"/>
      <color rgb="FFFFFFFF"/>
      <name val="Calibri"/>
      <family val="2"/>
    </font>
    <font>
      <sz val="12"/>
      <color rgb="FFFFFFFF"/>
      <name val="Calibri"/>
      <family val="2"/>
    </font>
    <font>
      <b/>
      <i/>
      <sz val="12"/>
      <name val="Calibri"/>
      <family val="2"/>
    </font>
    <font>
      <i/>
      <sz val="12"/>
      <name val="Calibri"/>
      <family val="2"/>
    </font>
    <font>
      <u/>
      <sz val="12"/>
      <name val="Calibri"/>
      <family val="2"/>
    </font>
    <font>
      <u/>
      <sz val="12"/>
      <color rgb="FF0000FF"/>
      <name val="Calibri"/>
      <family val="2"/>
    </font>
    <font>
      <sz val="12"/>
      <color rgb="FF444444"/>
      <name val="Calibri"/>
      <family val="2"/>
    </font>
    <font>
      <sz val="11"/>
      <color rgb="FF444444"/>
      <name val="Calibri"/>
      <family val="2"/>
      <charset val="1"/>
    </font>
    <font>
      <b/>
      <u/>
      <sz val="10"/>
      <name val="Arial"/>
      <family val="2"/>
    </font>
    <font>
      <b/>
      <sz val="11"/>
      <color rgb="FF000000"/>
      <name val="Calibri"/>
      <family val="2"/>
      <scheme val="minor"/>
    </font>
    <font>
      <sz val="11"/>
      <color rgb="FF000000"/>
      <name val="Calibri"/>
      <family val="2"/>
      <scheme val="minor"/>
    </font>
    <font>
      <b/>
      <sz val="10"/>
      <color rgb="FF000000"/>
      <name val="Arial"/>
      <family val="2"/>
    </font>
    <font>
      <b/>
      <sz val="12"/>
      <color indexed="8"/>
      <name val="Calibri"/>
      <family val="2"/>
      <scheme val="minor"/>
    </font>
    <font>
      <sz val="12"/>
      <color rgb="FF444444"/>
      <name val="Calibri"/>
      <family val="2"/>
      <charset val="1"/>
    </font>
    <font>
      <sz val="11"/>
      <color indexed="8"/>
      <name val="Calibri"/>
      <family val="2"/>
      <scheme val="minor"/>
    </font>
    <font>
      <sz val="12"/>
      <color rgb="FFFF0000"/>
      <name val="Calibri"/>
      <family val="2"/>
      <scheme val="minor"/>
    </font>
    <font>
      <b/>
      <sz val="10"/>
      <color theme="1"/>
      <name val="Arial"/>
      <family val="2"/>
    </font>
    <font>
      <sz val="10"/>
      <color theme="1"/>
      <name val="Arial"/>
      <family val="2"/>
    </font>
    <font>
      <sz val="11"/>
      <color theme="1"/>
      <name val="Calibri"/>
      <family val="2"/>
      <scheme val="minor"/>
    </font>
    <font>
      <b/>
      <sz val="10"/>
      <color rgb="FFFF0000"/>
      <name val="Arial"/>
      <family val="2"/>
    </font>
    <font>
      <b/>
      <u val="singleAccounting"/>
      <sz val="10"/>
      <color theme="1"/>
      <name val="Arial"/>
      <family val="2"/>
    </font>
    <font>
      <u/>
      <sz val="11"/>
      <color theme="10"/>
      <name val="Calibri"/>
      <family val="2"/>
      <scheme val="minor"/>
    </font>
    <font>
      <u/>
      <sz val="10"/>
      <color theme="10"/>
      <name val="Arial"/>
      <family val="2"/>
    </font>
    <font>
      <sz val="10"/>
      <color theme="1"/>
      <name val="Arial"/>
      <family val="2"/>
    </font>
    <font>
      <i/>
      <sz val="10"/>
      <color rgb="FFFF0000"/>
      <name val="Arial"/>
      <family val="2"/>
    </font>
    <font>
      <sz val="12"/>
      <name val="Calibri"/>
      <family val="2"/>
      <scheme val="minor"/>
    </font>
    <font>
      <b/>
      <sz val="12"/>
      <color theme="0"/>
      <name val="Calibri"/>
      <family val="2"/>
    </font>
    <font>
      <b/>
      <sz val="12"/>
      <color rgb="FFFF0000"/>
      <name val="Calibri"/>
      <family val="2"/>
    </font>
    <font>
      <b/>
      <u val="singleAccounting"/>
      <sz val="12"/>
      <color theme="1"/>
      <name val="Calibri"/>
      <family val="2"/>
    </font>
    <font>
      <i/>
      <sz val="12"/>
      <color rgb="FFFF0000"/>
      <name val="Calibri"/>
      <family val="2"/>
    </font>
    <font>
      <sz val="11"/>
      <color rgb="FF444444"/>
      <name val="Calibri"/>
      <family val="2"/>
    </font>
    <font>
      <sz val="12"/>
      <color rgb="FF006100"/>
      <name val="Calibri"/>
      <family val="2"/>
    </font>
    <font>
      <sz val="12"/>
      <color rgb="FF000000"/>
      <name val="Calibri"/>
      <family val="2"/>
      <charset val="1"/>
    </font>
    <font>
      <u/>
      <sz val="12"/>
      <color theme="1"/>
      <name val="Calibri"/>
      <family val="2"/>
      <scheme val="minor"/>
    </font>
    <font>
      <sz val="12"/>
      <color rgb="FF000000"/>
      <name val="PT Serif"/>
      <family val="1"/>
      <charset val="1"/>
    </font>
    <font>
      <b/>
      <u/>
      <sz val="12"/>
      <color rgb="FF000000"/>
      <name val="Calibri"/>
      <family val="2"/>
    </font>
    <font>
      <u/>
      <sz val="12"/>
      <color rgb="FF0563C1"/>
      <name val="Calibri"/>
      <family val="2"/>
    </font>
    <font>
      <b/>
      <sz val="13"/>
      <color theme="1"/>
      <name val="Calibri"/>
      <family val="2"/>
      <scheme val="minor"/>
    </font>
    <font>
      <b/>
      <sz val="13"/>
      <color theme="1"/>
      <name val="Calibri"/>
      <family val="2"/>
    </font>
    <font>
      <sz val="12"/>
      <color rgb="FF1B1B1B"/>
      <name val="Calibri"/>
      <family val="2"/>
    </font>
    <font>
      <sz val="12"/>
      <color rgb="FF000000"/>
      <name val="Times New Roman"/>
      <family val="1"/>
    </font>
    <font>
      <sz val="10.5"/>
      <color rgb="FF000000"/>
      <name val="Times New Roman"/>
      <family val="1"/>
    </font>
    <font>
      <sz val="11"/>
      <color rgb="FF000000"/>
      <name val="Calibri"/>
      <family val="2"/>
      <charset val="1"/>
    </font>
    <font>
      <b/>
      <sz val="14"/>
      <color rgb="FFFF0000"/>
      <name val="Calibri"/>
      <family val="2"/>
    </font>
    <font>
      <sz val="11"/>
      <color rgb="FFFF0000"/>
      <name val="Calibri"/>
      <family val="2"/>
    </font>
    <font>
      <b/>
      <sz val="11"/>
      <color rgb="FFFF0000"/>
      <name val="Calibri"/>
      <family val="2"/>
    </font>
    <font>
      <u/>
      <sz val="12"/>
      <color rgb="FF000000"/>
      <name val="Calibri"/>
      <family val="2"/>
    </font>
  </fonts>
  <fills count="58">
    <fill>
      <patternFill patternType="none"/>
    </fill>
    <fill>
      <patternFill patternType="gray125"/>
    </fill>
    <fill>
      <patternFill patternType="solid">
        <fgColor rgb="FFF4B084"/>
        <bgColor indexed="64"/>
      </patternFill>
    </fill>
    <fill>
      <patternFill patternType="solid">
        <fgColor rgb="FFFFD966"/>
        <bgColor indexed="64"/>
      </patternFill>
    </fill>
    <fill>
      <patternFill patternType="solid">
        <fgColor rgb="FF9BC2E6"/>
        <bgColor indexed="64"/>
      </patternFill>
    </fill>
    <fill>
      <patternFill patternType="solid">
        <fgColor rgb="FF93C47D"/>
        <bgColor indexed="64"/>
      </patternFill>
    </fill>
    <fill>
      <patternFill patternType="solid">
        <fgColor rgb="FFCCCCCC"/>
        <bgColor indexed="64"/>
      </patternFill>
    </fill>
    <fill>
      <patternFill patternType="solid">
        <fgColor rgb="FFD9EAD3"/>
        <bgColor indexed="64"/>
      </patternFill>
    </fill>
    <fill>
      <patternFill patternType="solid">
        <fgColor rgb="FFF9CB9C"/>
        <bgColor indexed="64"/>
      </patternFill>
    </fill>
    <fill>
      <patternFill patternType="solid">
        <fgColor rgb="FFFFFFFF"/>
        <bgColor indexed="64"/>
      </patternFill>
    </fill>
    <fill>
      <patternFill patternType="solid">
        <fgColor rgb="FFEAD1DC"/>
        <bgColor indexed="64"/>
      </patternFill>
    </fill>
    <fill>
      <patternFill patternType="solid">
        <fgColor rgb="FFE06666"/>
        <bgColor indexed="64"/>
      </patternFill>
    </fill>
    <fill>
      <patternFill patternType="solid">
        <fgColor rgb="FF9FC5E8"/>
        <bgColor indexed="64"/>
      </patternFill>
    </fill>
    <fill>
      <patternFill patternType="solid">
        <fgColor rgb="FF4472C4"/>
        <bgColor rgb="FF4472C4"/>
      </patternFill>
    </fill>
    <fill>
      <patternFill patternType="solid">
        <fgColor rgb="FFD9E1F2"/>
        <bgColor rgb="FFD9E1F2"/>
      </patternFill>
    </fill>
    <fill>
      <patternFill patternType="solid">
        <fgColor rgb="FFFCE4D6"/>
        <bgColor indexed="64"/>
      </patternFill>
    </fill>
    <fill>
      <patternFill patternType="solid">
        <fgColor theme="0" tint="-0.14999847407452621"/>
        <bgColor indexed="64"/>
      </patternFill>
    </fill>
    <fill>
      <patternFill patternType="solid">
        <fgColor rgb="FFA5A5A5"/>
        <bgColor indexed="64"/>
      </patternFill>
    </fill>
    <fill>
      <patternFill patternType="solid">
        <fgColor rgb="FFFFF2CC"/>
        <bgColor indexed="64"/>
      </patternFill>
    </fill>
    <fill>
      <patternFill patternType="solid">
        <fgColor rgb="FFE2EFDA"/>
        <bgColor indexed="64"/>
      </patternFill>
    </fill>
    <fill>
      <patternFill patternType="solid">
        <fgColor rgb="FFD9E1F2"/>
        <bgColor indexed="64"/>
      </patternFill>
    </fill>
    <fill>
      <patternFill patternType="solid">
        <fgColor rgb="FFEFDFF5"/>
        <bgColor indexed="64"/>
      </patternFill>
    </fill>
    <fill>
      <patternFill patternType="solid">
        <fgColor rgb="FFFFFF00"/>
        <bgColor indexed="64"/>
      </patternFill>
    </fill>
    <fill>
      <patternFill patternType="solid">
        <fgColor rgb="FF8EA9DB"/>
        <bgColor rgb="FF000000"/>
      </patternFill>
    </fill>
    <fill>
      <patternFill patternType="solid">
        <fgColor rgb="FFD0CECE"/>
        <bgColor rgb="FF000000"/>
      </patternFill>
    </fill>
    <fill>
      <patternFill patternType="solid">
        <fgColor rgb="FFD9D9D9"/>
        <bgColor rgb="FF000000"/>
      </patternFill>
    </fill>
    <fill>
      <patternFill patternType="solid">
        <fgColor rgb="FFD3D3D3"/>
        <bgColor rgb="FF000000"/>
      </patternFill>
    </fill>
    <fill>
      <patternFill patternType="solid">
        <fgColor rgb="FFFFFF00"/>
        <bgColor rgb="FF000000"/>
      </patternFill>
    </fill>
    <fill>
      <patternFill patternType="solid">
        <fgColor rgb="FFFFE699"/>
        <bgColor indexed="64"/>
      </patternFill>
    </fill>
    <fill>
      <patternFill patternType="solid">
        <fgColor rgb="FFE9BFFF"/>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4"/>
        <bgColor indexed="64"/>
      </patternFill>
    </fill>
    <fill>
      <patternFill patternType="solid">
        <fgColor rgb="FFFF0000"/>
        <bgColor indexed="64"/>
      </patternFill>
    </fill>
    <fill>
      <patternFill patternType="solid">
        <fgColor rgb="FFC6E0B4"/>
        <bgColor indexed="64"/>
      </patternFill>
    </fill>
    <fill>
      <patternFill patternType="solid">
        <fgColor rgb="FFEDEDED"/>
        <bgColor rgb="FF000000"/>
      </patternFill>
    </fill>
    <fill>
      <patternFill patternType="solid">
        <fgColor rgb="FFC2DAF0"/>
        <bgColor rgb="FF000000"/>
      </patternFill>
    </fill>
    <fill>
      <patternFill patternType="solid">
        <fgColor rgb="FFA5A5A5"/>
        <bgColor rgb="FF000000"/>
      </patternFill>
    </fill>
    <fill>
      <patternFill patternType="solid">
        <fgColor rgb="FFA9D08E"/>
        <bgColor rgb="FF000000"/>
      </patternFill>
    </fill>
    <fill>
      <patternFill patternType="solid">
        <fgColor rgb="FFBDD7EE"/>
        <bgColor indexed="64"/>
      </patternFill>
    </fill>
    <fill>
      <patternFill patternType="solid">
        <fgColor rgb="FFFFE699"/>
        <bgColor rgb="FF000000"/>
      </patternFill>
    </fill>
    <fill>
      <patternFill patternType="solid">
        <fgColor rgb="FFFFF2CC"/>
        <bgColor rgb="FF000000"/>
      </patternFill>
    </fill>
    <fill>
      <patternFill patternType="solid">
        <fgColor rgb="FF9BC2E6"/>
        <bgColor rgb="FF000000"/>
      </patternFill>
    </fill>
    <fill>
      <patternFill patternType="solid">
        <fgColor rgb="FFAEAAAA"/>
        <bgColor rgb="FF000000"/>
      </patternFill>
    </fill>
    <fill>
      <patternFill patternType="solid">
        <fgColor rgb="FFC6E0B4"/>
        <bgColor rgb="FF000000"/>
      </patternFill>
    </fill>
    <fill>
      <patternFill patternType="solid">
        <fgColor rgb="FFC6EFCE"/>
        <bgColor rgb="FF000000"/>
      </patternFill>
    </fill>
    <fill>
      <patternFill patternType="solid">
        <fgColor rgb="FFFAEBF6"/>
        <bgColor indexed="64"/>
      </patternFill>
    </fill>
    <fill>
      <patternFill patternType="solid">
        <fgColor rgb="FFF7F1DC"/>
        <bgColor indexed="64"/>
      </patternFill>
    </fill>
    <fill>
      <patternFill patternType="solid">
        <fgColor rgb="FFE5B3B3"/>
        <bgColor indexed="64"/>
      </patternFill>
    </fill>
    <fill>
      <patternFill patternType="solid">
        <fgColor rgb="FFDDE3F0"/>
        <bgColor indexed="64"/>
      </patternFill>
    </fill>
    <fill>
      <patternFill patternType="solid">
        <fgColor rgb="FFB4C6E7"/>
        <bgColor indexed="64"/>
      </patternFill>
    </fill>
    <fill>
      <patternFill patternType="solid">
        <fgColor rgb="FFFFFBED"/>
        <bgColor indexed="64"/>
      </patternFill>
    </fill>
    <fill>
      <patternFill patternType="solid">
        <fgColor rgb="FF8EA9DB"/>
        <bgColor indexed="64"/>
      </patternFill>
    </fill>
    <fill>
      <patternFill patternType="solid">
        <fgColor rgb="FFF2E5C2"/>
        <bgColor rgb="FF000000"/>
      </patternFill>
    </fill>
    <fill>
      <patternFill patternType="solid">
        <fgColor rgb="FFD4E3CA"/>
        <bgColor rgb="FF000000"/>
      </patternFill>
    </fill>
    <fill>
      <patternFill patternType="solid">
        <fgColor rgb="FFDBDBDB"/>
        <bgColor rgb="FF000000"/>
      </patternFill>
    </fill>
    <fill>
      <patternFill patternType="solid">
        <fgColor rgb="FFE3F1FF"/>
        <bgColor indexed="64"/>
      </patternFill>
    </fill>
  </fills>
  <borders count="148">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right/>
      <top/>
      <bottom style="medium">
        <color rgb="FF000000"/>
      </bottom>
      <diagonal/>
    </border>
    <border>
      <left/>
      <right/>
      <top style="thin">
        <color rgb="FF8EA9DB"/>
      </top>
      <bottom/>
      <diagonal/>
    </border>
    <border>
      <left style="thin">
        <color rgb="FF000000"/>
      </left>
      <right/>
      <top style="thin">
        <color rgb="FF000000"/>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diagonal/>
    </border>
    <border>
      <left/>
      <right style="medium">
        <color rgb="FF000000"/>
      </right>
      <top/>
      <bottom/>
      <diagonal/>
    </border>
    <border>
      <left/>
      <right/>
      <top/>
      <bottom style="thin">
        <color rgb="FF000000"/>
      </bottom>
      <diagonal/>
    </border>
    <border>
      <left style="medium">
        <color rgb="FF000000"/>
      </left>
      <right style="medium">
        <color indexed="64"/>
      </right>
      <top style="medium">
        <color rgb="FF000000"/>
      </top>
      <bottom style="medium">
        <color indexed="64"/>
      </bottom>
      <diagonal/>
    </border>
    <border>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medium">
        <color indexed="64"/>
      </bottom>
      <diagonal/>
    </border>
    <border>
      <left/>
      <right/>
      <top/>
      <bottom style="medium">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top style="thin">
        <color indexed="64"/>
      </top>
      <bottom style="double">
        <color indexed="64"/>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style="medium">
        <color rgb="FF000000"/>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rgb="FF000000"/>
      </top>
      <bottom style="medium">
        <color indexed="64"/>
      </bottom>
      <diagonal/>
    </border>
    <border>
      <left/>
      <right style="medium">
        <color rgb="FF000000"/>
      </right>
      <top style="medium">
        <color rgb="FF000000"/>
      </top>
      <bottom style="medium">
        <color indexed="64"/>
      </bottom>
      <diagonal/>
    </border>
    <border>
      <left style="medium">
        <color rgb="FF000000"/>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medium">
        <color indexed="64"/>
      </left>
      <right/>
      <top style="medium">
        <color indexed="64"/>
      </top>
      <bottom/>
      <diagonal/>
    </border>
    <border>
      <left style="thin">
        <color rgb="FF000000"/>
      </left>
      <right style="medium">
        <color indexed="64"/>
      </right>
      <top style="medium">
        <color indexed="64"/>
      </top>
      <bottom/>
      <diagonal/>
    </border>
    <border>
      <left style="medium">
        <color indexed="64"/>
      </left>
      <right/>
      <top/>
      <bottom style="medium">
        <color indexed="64"/>
      </bottom>
      <diagonal/>
    </border>
    <border>
      <left style="thin">
        <color rgb="FF000000"/>
      </left>
      <right style="medium">
        <color indexed="64"/>
      </right>
      <top/>
      <bottom style="medium">
        <color indexed="64"/>
      </bottom>
      <diagonal/>
    </border>
    <border>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indexed="64"/>
      </left>
      <right/>
      <top/>
      <bottom style="thin">
        <color rgb="FF000000"/>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rgb="FF000000"/>
      </left>
      <right style="thin">
        <color rgb="FFCCCCCC"/>
      </right>
      <top style="medium">
        <color rgb="FF000000"/>
      </top>
      <bottom style="thin">
        <color rgb="FFCCCCCC"/>
      </bottom>
      <diagonal/>
    </border>
    <border>
      <left style="thin">
        <color rgb="FFCCCCCC"/>
      </left>
      <right style="thin">
        <color rgb="FFCCCCCC"/>
      </right>
      <top style="medium">
        <color rgb="FF000000"/>
      </top>
      <bottom style="thin">
        <color rgb="FFCCCCCC"/>
      </bottom>
      <diagonal/>
    </border>
    <border>
      <left style="thin">
        <color rgb="FFCCCCCC"/>
      </left>
      <right style="medium">
        <color rgb="FF000000"/>
      </right>
      <top style="medium">
        <color rgb="FF000000"/>
      </top>
      <bottom style="thin">
        <color rgb="FFCCCCCC"/>
      </bottom>
      <diagonal/>
    </border>
    <border>
      <left style="medium">
        <color rgb="FF000000"/>
      </left>
      <right style="thin">
        <color rgb="FFCCCCCC"/>
      </right>
      <top style="thin">
        <color rgb="FFCCCCCC"/>
      </top>
      <bottom style="thin">
        <color rgb="FFCCCCCC"/>
      </bottom>
      <diagonal/>
    </border>
    <border>
      <left style="thin">
        <color rgb="FFCCCCCC"/>
      </left>
      <right style="medium">
        <color rgb="FF000000"/>
      </right>
      <top style="thin">
        <color rgb="FFCCCCCC"/>
      </top>
      <bottom style="thin">
        <color rgb="FFCCCCCC"/>
      </bottom>
      <diagonal/>
    </border>
    <border>
      <left style="medium">
        <color rgb="FF000000"/>
      </left>
      <right style="thin">
        <color rgb="FFCCCCCC"/>
      </right>
      <top style="thin">
        <color rgb="FFCCCCCC"/>
      </top>
      <bottom style="thin">
        <color rgb="FF000000"/>
      </bottom>
      <diagonal/>
    </border>
    <border>
      <left style="thin">
        <color rgb="FFCCCCCC"/>
      </left>
      <right style="medium">
        <color rgb="FF000000"/>
      </right>
      <top style="thin">
        <color rgb="FFCCCCCC"/>
      </top>
      <bottom style="thin">
        <color rgb="FF000000"/>
      </bottom>
      <diagonal/>
    </border>
    <border>
      <left style="medium">
        <color rgb="FF000000"/>
      </left>
      <right style="thin">
        <color rgb="FFCCCCCC"/>
      </right>
      <top style="thin">
        <color rgb="FFCCCCCC"/>
      </top>
      <bottom style="medium">
        <color rgb="FF000000"/>
      </bottom>
      <diagonal/>
    </border>
    <border>
      <left style="thin">
        <color rgb="FFCCCCCC"/>
      </left>
      <right style="thin">
        <color rgb="FFCCCCCC"/>
      </right>
      <top style="thin">
        <color rgb="FFCCCCCC"/>
      </top>
      <bottom style="medium">
        <color rgb="FF000000"/>
      </bottom>
      <diagonal/>
    </border>
    <border>
      <left style="thin">
        <color rgb="FFCCCCCC"/>
      </left>
      <right style="medium">
        <color rgb="FF000000"/>
      </right>
      <top style="thin">
        <color rgb="FFCCCCCC"/>
      </top>
      <bottom style="medium">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indexed="64"/>
      </right>
      <top/>
      <bottom/>
      <diagonal/>
    </border>
    <border>
      <left/>
      <right/>
      <top/>
      <bottom style="thin">
        <color rgb="FF8EA9DB"/>
      </bottom>
      <diagonal/>
    </border>
    <border>
      <left/>
      <right/>
      <top style="medium">
        <color rgb="FF000000"/>
      </top>
      <bottom style="medium">
        <color indexed="64"/>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CCCCCC"/>
      </right>
      <top style="thin">
        <color rgb="FFCCCCCC"/>
      </top>
      <bottom/>
      <diagonal/>
    </border>
    <border>
      <left style="thin">
        <color rgb="FFCCCCCC"/>
      </left>
      <right style="thin">
        <color rgb="FFCCCCCC"/>
      </right>
      <top style="thin">
        <color rgb="FFCCCCCC"/>
      </top>
      <bottom/>
      <diagonal/>
    </border>
    <border>
      <left style="thin">
        <color rgb="FFCCCCCC"/>
      </left>
      <right style="medium">
        <color rgb="FF000000"/>
      </right>
      <top style="thin">
        <color rgb="FFCCCCCC"/>
      </top>
      <bottom/>
      <diagonal/>
    </border>
    <border>
      <left style="thin">
        <color rgb="FFF2F2F2"/>
      </left>
      <right style="thin">
        <color rgb="FFF2F2F2"/>
      </right>
      <top style="thin">
        <color rgb="FFF2F2F2"/>
      </top>
      <bottom/>
      <diagonal/>
    </border>
    <border>
      <left/>
      <right style="thin">
        <color rgb="FF000000"/>
      </right>
      <top style="medium">
        <color rgb="FF000000"/>
      </top>
      <bottom style="thin">
        <color rgb="FF000000"/>
      </bottom>
      <diagonal/>
    </border>
    <border>
      <left/>
      <right style="thin">
        <color rgb="FF000000"/>
      </right>
      <top/>
      <bottom style="medium">
        <color rgb="FF000000"/>
      </bottom>
      <diagonal/>
    </border>
    <border>
      <left style="thin">
        <color indexed="64"/>
      </left>
      <right style="thin">
        <color indexed="64"/>
      </right>
      <top/>
      <bottom style="thin">
        <color indexed="64"/>
      </bottom>
      <diagonal/>
    </border>
    <border>
      <left style="thin">
        <color rgb="FF000000"/>
      </left>
      <right/>
      <top style="thin">
        <color rgb="FF000000"/>
      </top>
      <bottom style="medium">
        <color rgb="FF000000"/>
      </bottom>
      <diagonal/>
    </border>
    <border>
      <left style="thin">
        <color rgb="FF000000"/>
      </left>
      <right style="medium">
        <color rgb="FF000000"/>
      </right>
      <top style="medium">
        <color rgb="FF000000"/>
      </top>
      <bottom/>
      <diagonal/>
    </border>
    <border>
      <left/>
      <right style="thin">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s>
  <cellStyleXfs count="12">
    <xf numFmtId="0" fontId="0" fillId="0" borderId="0"/>
    <xf numFmtId="0" fontId="3" fillId="0" borderId="0" applyNumberFormat="0" applyFill="0" applyBorder="0" applyAlignment="0" applyProtection="0"/>
    <xf numFmtId="9" fontId="18" fillId="0" borderId="0" applyFont="0" applyFill="0" applyBorder="0" applyAlignment="0" applyProtection="0"/>
    <xf numFmtId="0" fontId="20" fillId="0" borderId="0"/>
    <xf numFmtId="43" fontId="21" fillId="0" borderId="0" applyFont="0" applyFill="0" applyBorder="0" applyAlignment="0" applyProtection="0"/>
    <xf numFmtId="9" fontId="21" fillId="0" borderId="0" applyFont="0" applyFill="0" applyBorder="0" applyAlignment="0" applyProtection="0"/>
    <xf numFmtId="44" fontId="18" fillId="0" borderId="0" applyFont="0" applyFill="0" applyBorder="0" applyAlignment="0" applyProtection="0"/>
    <xf numFmtId="0" fontId="47" fillId="0" borderId="0"/>
    <xf numFmtId="43" fontId="47" fillId="0" borderId="0" applyFont="0" applyFill="0" applyBorder="0" applyAlignment="0" applyProtection="0"/>
    <xf numFmtId="0" fontId="50" fillId="0" borderId="0" applyNumberFormat="0" applyFill="0" applyBorder="0" applyAlignment="0" applyProtection="0"/>
    <xf numFmtId="9" fontId="47" fillId="0" borderId="0" applyFont="0" applyFill="0" applyBorder="0" applyAlignment="0" applyProtection="0"/>
    <xf numFmtId="43" fontId="18" fillId="0" borderId="0" applyFont="0" applyFill="0" applyBorder="0" applyAlignment="0" applyProtection="0"/>
  </cellStyleXfs>
  <cellXfs count="1115">
    <xf numFmtId="0" fontId="0" fillId="0" borderId="0" xfId="0"/>
    <xf numFmtId="0" fontId="1" fillId="0" borderId="0" xfId="0" applyFont="1"/>
    <xf numFmtId="3" fontId="0" fillId="0" borderId="0" xfId="0" applyNumberFormat="1"/>
    <xf numFmtId="0" fontId="5" fillId="0" borderId="1" xfId="0" applyFont="1" applyBorder="1" applyAlignment="1">
      <alignment readingOrder="1"/>
    </xf>
    <xf numFmtId="0" fontId="4" fillId="0" borderId="1" xfId="0" applyFont="1" applyBorder="1" applyAlignment="1">
      <alignment readingOrder="1"/>
    </xf>
    <xf numFmtId="0" fontId="5" fillId="6" borderId="2" xfId="0" applyFont="1" applyFill="1" applyBorder="1" applyAlignment="1">
      <alignment readingOrder="1"/>
    </xf>
    <xf numFmtId="0" fontId="5" fillId="7" borderId="1" xfId="0" applyFont="1" applyFill="1" applyBorder="1" applyAlignment="1">
      <alignment readingOrder="1"/>
    </xf>
    <xf numFmtId="0" fontId="4" fillId="9" borderId="1" xfId="0" applyFont="1" applyFill="1" applyBorder="1" applyAlignment="1">
      <alignment readingOrder="1"/>
    </xf>
    <xf numFmtId="0" fontId="4" fillId="8" borderId="1" xfId="0" applyFont="1" applyFill="1" applyBorder="1" applyAlignment="1">
      <alignment readingOrder="1"/>
    </xf>
    <xf numFmtId="0" fontId="4" fillId="10" borderId="1" xfId="0" applyFont="1" applyFill="1" applyBorder="1" applyAlignment="1">
      <alignment readingOrder="1"/>
    </xf>
    <xf numFmtId="0" fontId="4" fillId="6" borderId="2" xfId="0" applyFont="1" applyFill="1" applyBorder="1" applyAlignment="1">
      <alignment readingOrder="1"/>
    </xf>
    <xf numFmtId="0" fontId="4" fillId="0" borderId="2" xfId="0" applyFont="1" applyBorder="1" applyAlignment="1">
      <alignment readingOrder="1"/>
    </xf>
    <xf numFmtId="0" fontId="5" fillId="0" borderId="2" xfId="0" applyFont="1" applyBorder="1" applyAlignment="1">
      <alignment readingOrder="1"/>
    </xf>
    <xf numFmtId="0" fontId="4" fillId="11" borderId="1" xfId="0" applyFont="1" applyFill="1" applyBorder="1" applyAlignment="1">
      <alignment readingOrder="1"/>
    </xf>
    <xf numFmtId="0" fontId="4" fillId="3" borderId="2" xfId="0" applyFont="1" applyFill="1" applyBorder="1" applyAlignment="1">
      <alignment readingOrder="1"/>
    </xf>
    <xf numFmtId="0" fontId="4" fillId="12" borderId="1" xfId="0" applyFont="1" applyFill="1" applyBorder="1" applyAlignment="1">
      <alignment readingOrder="1"/>
    </xf>
    <xf numFmtId="0" fontId="5" fillId="8" borderId="1" xfId="0" applyFont="1" applyFill="1" applyBorder="1" applyAlignment="1">
      <alignment readingOrder="1"/>
    </xf>
    <xf numFmtId="8" fontId="4" fillId="0" borderId="1" xfId="0" applyNumberFormat="1" applyFont="1" applyBorder="1" applyAlignment="1">
      <alignment readingOrder="1"/>
    </xf>
    <xf numFmtId="9" fontId="0" fillId="0" borderId="0" xfId="0" applyNumberFormat="1"/>
    <xf numFmtId="6" fontId="0" fillId="0" borderId="0" xfId="0" applyNumberFormat="1"/>
    <xf numFmtId="10" fontId="0" fillId="0" borderId="0" xfId="0" applyNumberFormat="1"/>
    <xf numFmtId="168" fontId="0" fillId="0" borderId="0" xfId="0" applyNumberFormat="1"/>
    <xf numFmtId="44" fontId="0" fillId="0" borderId="0" xfId="0" applyNumberFormat="1"/>
    <xf numFmtId="166" fontId="0" fillId="0" borderId="0" xfId="0" applyNumberFormat="1"/>
    <xf numFmtId="0" fontId="11" fillId="0" borderId="0" xfId="0" applyFont="1"/>
    <xf numFmtId="3" fontId="11" fillId="0" borderId="0" xfId="0" applyNumberFormat="1" applyFont="1"/>
    <xf numFmtId="0" fontId="0" fillId="0" borderId="7" xfId="0" applyBorder="1"/>
    <xf numFmtId="0" fontId="0" fillId="0" borderId="8" xfId="0" applyBorder="1"/>
    <xf numFmtId="0" fontId="0" fillId="0" borderId="9" xfId="0" applyBorder="1"/>
    <xf numFmtId="0" fontId="14" fillId="0" borderId="10" xfId="0" applyFont="1" applyBorder="1" applyAlignment="1">
      <alignment horizontal="center" wrapText="1"/>
    </xf>
    <xf numFmtId="0" fontId="1" fillId="0" borderId="11" xfId="0" applyFont="1" applyBorder="1" applyAlignment="1">
      <alignment horizontal="center" wrapText="1"/>
    </xf>
    <xf numFmtId="0" fontId="14" fillId="0" borderId="11" xfId="0" applyFont="1" applyBorder="1" applyAlignment="1">
      <alignment horizontal="center" vertical="center"/>
    </xf>
    <xf numFmtId="0" fontId="0" fillId="0" borderId="12" xfId="0" applyBorder="1"/>
    <xf numFmtId="0" fontId="0" fillId="0" borderId="13" xfId="0" applyBorder="1" applyAlignment="1">
      <alignment horizontal="center"/>
    </xf>
    <xf numFmtId="0" fontId="0" fillId="0" borderId="11" xfId="0" applyBorder="1" applyAlignment="1">
      <alignment horizontal="center"/>
    </xf>
    <xf numFmtId="0" fontId="0" fillId="0" borderId="11" xfId="0" applyBorder="1"/>
    <xf numFmtId="0" fontId="0" fillId="0" borderId="13" xfId="0" applyBorder="1"/>
    <xf numFmtId="0" fontId="1" fillId="0" borderId="11" xfId="0" applyFont="1" applyBorder="1" applyAlignment="1">
      <alignment horizontal="right"/>
    </xf>
    <xf numFmtId="0" fontId="0" fillId="0" borderId="14" xfId="0" applyBorder="1"/>
    <xf numFmtId="0" fontId="1" fillId="0" borderId="15" xfId="0" applyFont="1" applyBorder="1" applyAlignment="1">
      <alignment horizontal="right"/>
    </xf>
    <xf numFmtId="0" fontId="14" fillId="0" borderId="11" xfId="0" applyFont="1" applyBorder="1" applyAlignment="1">
      <alignment horizontal="center"/>
    </xf>
    <xf numFmtId="0" fontId="14" fillId="0" borderId="11" xfId="0" applyFont="1" applyBorder="1"/>
    <xf numFmtId="3" fontId="0" fillId="0" borderId="11" xfId="0" applyNumberFormat="1" applyBorder="1"/>
    <xf numFmtId="9" fontId="0" fillId="0" borderId="11" xfId="0" applyNumberFormat="1" applyBorder="1" applyAlignment="1">
      <alignment horizontal="center"/>
    </xf>
    <xf numFmtId="0" fontId="3" fillId="0" borderId="0" xfId="1"/>
    <xf numFmtId="0" fontId="0" fillId="18" borderId="17" xfId="0" applyFill="1" applyBorder="1"/>
    <xf numFmtId="0" fontId="0" fillId="19" borderId="17" xfId="0" applyFill="1" applyBorder="1"/>
    <xf numFmtId="0" fontId="0" fillId="15" borderId="18" xfId="0" applyFill="1" applyBorder="1"/>
    <xf numFmtId="0" fontId="0" fillId="20" borderId="19" xfId="0" applyFill="1" applyBorder="1"/>
    <xf numFmtId="0" fontId="0" fillId="21" borderId="18" xfId="0" applyFill="1" applyBorder="1"/>
    <xf numFmtId="0" fontId="0" fillId="0" borderId="20" xfId="0" applyBorder="1" applyAlignment="1">
      <alignment vertical="top"/>
    </xf>
    <xf numFmtId="0" fontId="0" fillId="0" borderId="20" xfId="0" applyBorder="1"/>
    <xf numFmtId="0" fontId="0" fillId="0" borderId="21" xfId="0" applyBorder="1"/>
    <xf numFmtId="170" fontId="0" fillId="0" borderId="0" xfId="0" applyNumberFormat="1"/>
    <xf numFmtId="0" fontId="17" fillId="0" borderId="22" xfId="0" applyFont="1" applyBorder="1"/>
    <xf numFmtId="0" fontId="0" fillId="0" borderId="23" xfId="0" applyBorder="1"/>
    <xf numFmtId="0" fontId="0" fillId="0" borderId="24" xfId="0" applyBorder="1"/>
    <xf numFmtId="170" fontId="0" fillId="0" borderId="24" xfId="0" applyNumberFormat="1" applyBorder="1"/>
    <xf numFmtId="0" fontId="17" fillId="0" borderId="0" xfId="0" applyFont="1"/>
    <xf numFmtId="0" fontId="17" fillId="0" borderId="17" xfId="0" applyFont="1" applyBorder="1"/>
    <xf numFmtId="0" fontId="0" fillId="0" borderId="18" xfId="0" applyBorder="1"/>
    <xf numFmtId="0" fontId="0" fillId="0" borderId="19" xfId="0" applyBorder="1"/>
    <xf numFmtId="170" fontId="0" fillId="0" borderId="18" xfId="0" applyNumberFormat="1" applyBorder="1"/>
    <xf numFmtId="0" fontId="0" fillId="0" borderId="25" xfId="0" applyBorder="1"/>
    <xf numFmtId="0" fontId="1" fillId="0" borderId="20" xfId="0" applyFont="1" applyBorder="1"/>
    <xf numFmtId="0" fontId="2" fillId="0" borderId="0" xfId="0" applyFont="1"/>
    <xf numFmtId="0" fontId="2" fillId="0" borderId="31" xfId="0" applyFont="1" applyBorder="1"/>
    <xf numFmtId="44" fontId="0" fillId="0" borderId="31" xfId="0" applyNumberFormat="1" applyBorder="1"/>
    <xf numFmtId="169" fontId="0" fillId="0" borderId="3" xfId="0" applyNumberFormat="1" applyBorder="1"/>
    <xf numFmtId="169" fontId="0" fillId="0" borderId="29" xfId="0" applyNumberFormat="1" applyBorder="1"/>
    <xf numFmtId="171" fontId="0" fillId="0" borderId="0" xfId="0" applyNumberFormat="1"/>
    <xf numFmtId="0" fontId="0" fillId="22" borderId="11" xfId="0" applyFill="1" applyBorder="1"/>
    <xf numFmtId="166" fontId="0" fillId="0" borderId="0" xfId="2" applyNumberFormat="1" applyFont="1"/>
    <xf numFmtId="3" fontId="16" fillId="0" borderId="0" xfId="0" applyNumberFormat="1" applyFont="1"/>
    <xf numFmtId="0" fontId="1" fillId="16" borderId="33" xfId="0" applyFont="1" applyFill="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0" fontId="14" fillId="0" borderId="39" xfId="0" applyFont="1" applyBorder="1" applyAlignment="1">
      <alignment horizontal="center"/>
    </xf>
    <xf numFmtId="0" fontId="14" fillId="0" borderId="38" xfId="0" applyFont="1" applyBorder="1"/>
    <xf numFmtId="0" fontId="0" fillId="0" borderId="39" xfId="0" applyBorder="1" applyAlignment="1">
      <alignment horizontal="center"/>
    </xf>
    <xf numFmtId="0" fontId="0" fillId="0" borderId="38" xfId="0" applyBorder="1"/>
    <xf numFmtId="0" fontId="0" fillId="0" borderId="39" xfId="0" applyBorder="1"/>
    <xf numFmtId="3" fontId="0" fillId="0" borderId="38" xfId="0" applyNumberFormat="1" applyBorder="1"/>
    <xf numFmtId="0" fontId="0" fillId="0" borderId="40" xfId="0" applyBorder="1"/>
    <xf numFmtId="0" fontId="1" fillId="0" borderId="41" xfId="0" applyFont="1" applyBorder="1" applyAlignment="1">
      <alignment horizontal="right"/>
    </xf>
    <xf numFmtId="0" fontId="0" fillId="22" borderId="41" xfId="0" applyFill="1" applyBorder="1"/>
    <xf numFmtId="0" fontId="0" fillId="0" borderId="41" xfId="0" applyBorder="1"/>
    <xf numFmtId="0" fontId="0" fillId="0" borderId="42" xfId="0" applyBorder="1"/>
    <xf numFmtId="0" fontId="1" fillId="2" borderId="0" xfId="0" applyFont="1" applyFill="1"/>
    <xf numFmtId="172" fontId="0" fillId="0" borderId="0" xfId="0" applyNumberFormat="1"/>
    <xf numFmtId="2" fontId="0" fillId="0" borderId="0" xfId="0" applyNumberFormat="1"/>
    <xf numFmtId="0" fontId="0" fillId="0" borderId="44" xfId="0" applyBorder="1"/>
    <xf numFmtId="44" fontId="0" fillId="0" borderId="44" xfId="0" applyNumberFormat="1" applyBorder="1"/>
    <xf numFmtId="44" fontId="0" fillId="0" borderId="43" xfId="0" applyNumberFormat="1" applyBorder="1"/>
    <xf numFmtId="0" fontId="0" fillId="0" borderId="46" xfId="0" applyBorder="1"/>
    <xf numFmtId="44" fontId="0" fillId="0" borderId="46" xfId="0" applyNumberFormat="1" applyBorder="1"/>
    <xf numFmtId="0" fontId="0" fillId="0" borderId="28" xfId="0" applyBorder="1"/>
    <xf numFmtId="0" fontId="0" fillId="0" borderId="31" xfId="0" applyBorder="1"/>
    <xf numFmtId="0" fontId="0" fillId="0" borderId="3" xfId="0" applyBorder="1"/>
    <xf numFmtId="0" fontId="0" fillId="0" borderId="29" xfId="0" applyBorder="1"/>
    <xf numFmtId="170" fontId="0" fillId="0" borderId="43" xfId="0" applyNumberFormat="1" applyBorder="1"/>
    <xf numFmtId="6" fontId="19" fillId="0" borderId="0" xfId="0" applyNumberFormat="1" applyFont="1"/>
    <xf numFmtId="0" fontId="0" fillId="0" borderId="17" xfId="0" applyBorder="1"/>
    <xf numFmtId="44" fontId="0" fillId="0" borderId="20" xfId="0" applyNumberFormat="1" applyBorder="1"/>
    <xf numFmtId="0" fontId="0" fillId="0" borderId="61" xfId="0" applyBorder="1"/>
    <xf numFmtId="0" fontId="0" fillId="0" borderId="63" xfId="0" applyBorder="1"/>
    <xf numFmtId="44" fontId="0" fillId="0" borderId="62" xfId="0" applyNumberFormat="1" applyBorder="1"/>
    <xf numFmtId="0" fontId="0" fillId="0" borderId="22" xfId="0" applyBorder="1"/>
    <xf numFmtId="0" fontId="0" fillId="0" borderId="27" xfId="0" applyBorder="1"/>
    <xf numFmtId="1" fontId="0" fillId="0" borderId="0" xfId="0" applyNumberFormat="1"/>
    <xf numFmtId="44" fontId="0" fillId="0" borderId="19" xfId="0" applyNumberFormat="1" applyBorder="1"/>
    <xf numFmtId="0" fontId="23" fillId="0" borderId="0" xfId="0" applyFont="1"/>
    <xf numFmtId="0" fontId="26" fillId="0" borderId="0" xfId="0" applyFont="1"/>
    <xf numFmtId="0" fontId="27" fillId="0" borderId="0" xfId="0" applyFont="1"/>
    <xf numFmtId="0" fontId="24" fillId="0" borderId="0" xfId="0" applyFont="1" applyAlignment="1">
      <alignment wrapText="1"/>
    </xf>
    <xf numFmtId="0" fontId="28" fillId="0" borderId="0" xfId="0" applyFont="1"/>
    <xf numFmtId="0" fontId="29" fillId="23" borderId="0" xfId="0" applyFont="1" applyFill="1" applyAlignment="1">
      <alignment wrapText="1"/>
    </xf>
    <xf numFmtId="0" fontId="30" fillId="23" borderId="0" xfId="0" applyFont="1" applyFill="1"/>
    <xf numFmtId="0" fontId="24" fillId="0" borderId="0" xfId="0" applyFont="1"/>
    <xf numFmtId="0" fontId="31" fillId="0" borderId="0" xfId="0" applyFont="1"/>
    <xf numFmtId="0" fontId="32" fillId="0" borderId="0" xfId="0" applyFont="1"/>
    <xf numFmtId="0" fontId="33" fillId="0" borderId="0" xfId="0" applyFont="1"/>
    <xf numFmtId="0" fontId="24" fillId="0" borderId="57" xfId="0" applyFont="1" applyBorder="1" applyAlignment="1">
      <alignment horizontal="center"/>
    </xf>
    <xf numFmtId="0" fontId="0" fillId="0" borderId="77" xfId="0" applyBorder="1"/>
    <xf numFmtId="0" fontId="0" fillId="0" borderId="78" xfId="0" applyBorder="1"/>
    <xf numFmtId="0" fontId="0" fillId="0" borderId="79" xfId="0" applyBorder="1"/>
    <xf numFmtId="44" fontId="0" fillId="0" borderId="21" xfId="0" applyNumberFormat="1" applyBorder="1"/>
    <xf numFmtId="0" fontId="9" fillId="0" borderId="0" xfId="0" applyFont="1"/>
    <xf numFmtId="8" fontId="0" fillId="0" borderId="0" xfId="0" applyNumberFormat="1"/>
    <xf numFmtId="0" fontId="0" fillId="0" borderId="0" xfId="0" applyAlignment="1">
      <alignment horizontal="right"/>
    </xf>
    <xf numFmtId="43" fontId="0" fillId="0" borderId="0" xfId="0" applyNumberFormat="1"/>
    <xf numFmtId="0" fontId="0" fillId="0" borderId="81" xfId="0" applyBorder="1"/>
    <xf numFmtId="0" fontId="0" fillId="0" borderId="3" xfId="0" applyBorder="1" applyAlignment="1">
      <alignment horizontal="right"/>
    </xf>
    <xf numFmtId="0" fontId="0" fillId="0" borderId="26" xfId="0" applyBorder="1"/>
    <xf numFmtId="169" fontId="0" fillId="0" borderId="0" xfId="0" applyNumberFormat="1"/>
    <xf numFmtId="10" fontId="28" fillId="0" borderId="0" xfId="0" applyNumberFormat="1" applyFont="1"/>
    <xf numFmtId="44" fontId="0" fillId="0" borderId="18" xfId="0" applyNumberFormat="1" applyBorder="1"/>
    <xf numFmtId="0" fontId="34" fillId="0" borderId="0" xfId="0" applyFont="1"/>
    <xf numFmtId="2" fontId="0" fillId="0" borderId="3" xfId="0" applyNumberFormat="1" applyBorder="1"/>
    <xf numFmtId="0" fontId="0" fillId="0" borderId="66" xfId="0" applyBorder="1"/>
    <xf numFmtId="0" fontId="0" fillId="0" borderId="51" xfId="0" applyBorder="1"/>
    <xf numFmtId="0" fontId="22" fillId="0" borderId="0" xfId="0" applyFont="1"/>
    <xf numFmtId="0" fontId="22" fillId="0" borderId="91" xfId="0" applyFont="1" applyBorder="1"/>
    <xf numFmtId="0" fontId="22" fillId="0" borderId="82" xfId="0" applyFont="1" applyBorder="1"/>
    <xf numFmtId="0" fontId="22" fillId="0" borderId="93" xfId="0" applyFont="1" applyBorder="1"/>
    <xf numFmtId="0" fontId="22" fillId="0" borderId="94" xfId="0" applyFont="1" applyBorder="1"/>
    <xf numFmtId="0" fontId="22" fillId="0" borderId="96" xfId="0" applyFont="1" applyBorder="1"/>
    <xf numFmtId="0" fontId="22" fillId="0" borderId="97" xfId="0" applyFont="1" applyBorder="1"/>
    <xf numFmtId="0" fontId="4" fillId="0" borderId="99" xfId="0" applyFont="1" applyBorder="1" applyAlignment="1">
      <alignment readingOrder="1"/>
    </xf>
    <xf numFmtId="0" fontId="4" fillId="0" borderId="100" xfId="0" applyFont="1" applyBorder="1" applyAlignment="1">
      <alignment readingOrder="1"/>
    </xf>
    <xf numFmtId="0" fontId="4" fillId="0" borderId="35" xfId="0" applyFont="1" applyBorder="1" applyAlignment="1">
      <alignment readingOrder="1"/>
    </xf>
    <xf numFmtId="3" fontId="4" fillId="0" borderId="35" xfId="0" applyNumberFormat="1" applyFont="1" applyBorder="1" applyAlignment="1">
      <alignment readingOrder="1"/>
    </xf>
    <xf numFmtId="0" fontId="4" fillId="0" borderId="101" xfId="0" applyFont="1" applyBorder="1" applyAlignment="1">
      <alignment readingOrder="1"/>
    </xf>
    <xf numFmtId="0" fontId="5" fillId="5" borderId="102" xfId="0" applyFont="1" applyFill="1" applyBorder="1" applyAlignment="1">
      <alignment readingOrder="1"/>
    </xf>
    <xf numFmtId="0" fontId="5" fillId="0" borderId="103" xfId="0" applyFont="1" applyBorder="1" applyAlignment="1">
      <alignment readingOrder="1"/>
    </xf>
    <xf numFmtId="0" fontId="5" fillId="0" borderId="102" xfId="0" applyFont="1" applyBorder="1" applyAlignment="1">
      <alignment horizontal="center" readingOrder="1"/>
    </xf>
    <xf numFmtId="0" fontId="4" fillId="0" borderId="103" xfId="0" applyFont="1" applyBorder="1" applyAlignment="1">
      <alignment readingOrder="1"/>
    </xf>
    <xf numFmtId="0" fontId="5" fillId="6" borderId="104" xfId="0" applyFont="1" applyFill="1" applyBorder="1" applyAlignment="1">
      <alignment readingOrder="1"/>
    </xf>
    <xf numFmtId="10" fontId="5" fillId="6" borderId="105" xfId="0" applyNumberFormat="1" applyFont="1" applyFill="1" applyBorder="1" applyAlignment="1">
      <alignment readingOrder="1"/>
    </xf>
    <xf numFmtId="0" fontId="5" fillId="7" borderId="102" xfId="0" applyFont="1" applyFill="1" applyBorder="1" applyAlignment="1">
      <alignment readingOrder="1"/>
    </xf>
    <xf numFmtId="10" fontId="4" fillId="0" borderId="103" xfId="0" applyNumberFormat="1" applyFont="1" applyBorder="1" applyAlignment="1">
      <alignment readingOrder="1"/>
    </xf>
    <xf numFmtId="0" fontId="5" fillId="8" borderId="102" xfId="0" applyFont="1" applyFill="1" applyBorder="1" applyAlignment="1">
      <alignment readingOrder="1"/>
    </xf>
    <xf numFmtId="9" fontId="4" fillId="0" borderId="103" xfId="0" applyNumberFormat="1" applyFont="1" applyBorder="1" applyAlignment="1">
      <alignment readingOrder="1"/>
    </xf>
    <xf numFmtId="0" fontId="4" fillId="0" borderId="102" xfId="0" applyFont="1" applyBorder="1" applyAlignment="1">
      <alignment readingOrder="1"/>
    </xf>
    <xf numFmtId="0" fontId="5" fillId="12" borderId="102" xfId="0" applyFont="1" applyFill="1" applyBorder="1" applyAlignment="1">
      <alignment readingOrder="1"/>
    </xf>
    <xf numFmtId="0" fontId="5" fillId="10" borderId="102" xfId="0" applyFont="1" applyFill="1" applyBorder="1" applyAlignment="1">
      <alignment readingOrder="1"/>
    </xf>
    <xf numFmtId="0" fontId="1" fillId="29" borderId="20" xfId="0" applyFont="1" applyFill="1" applyBorder="1"/>
    <xf numFmtId="0" fontId="0" fillId="29" borderId="0" xfId="0" applyFill="1"/>
    <xf numFmtId="167" fontId="0" fillId="0" borderId="0" xfId="0" applyNumberFormat="1"/>
    <xf numFmtId="0" fontId="0" fillId="28" borderId="0" xfId="0" applyFill="1"/>
    <xf numFmtId="9" fontId="5" fillId="6" borderId="105" xfId="0" applyNumberFormat="1" applyFont="1" applyFill="1" applyBorder="1" applyAlignment="1">
      <alignment readingOrder="1"/>
    </xf>
    <xf numFmtId="0" fontId="4" fillId="0" borderId="104" xfId="0" applyFont="1" applyBorder="1" applyAlignment="1">
      <alignment readingOrder="1"/>
    </xf>
    <xf numFmtId="9" fontId="4" fillId="0" borderId="105" xfId="0" applyNumberFormat="1" applyFont="1" applyBorder="1" applyAlignment="1">
      <alignment readingOrder="1"/>
    </xf>
    <xf numFmtId="0" fontId="5" fillId="0" borderId="104" xfId="0" applyFont="1" applyBorder="1" applyAlignment="1">
      <alignment readingOrder="1"/>
    </xf>
    <xf numFmtId="10" fontId="5" fillId="0" borderId="105" xfId="0" applyNumberFormat="1" applyFont="1" applyBorder="1" applyAlignment="1">
      <alignment readingOrder="1"/>
    </xf>
    <xf numFmtId="0" fontId="4" fillId="0" borderId="103" xfId="0" applyFont="1" applyBorder="1" applyAlignment="1">
      <alignment horizontal="right" readingOrder="1"/>
    </xf>
    <xf numFmtId="0" fontId="6" fillId="0" borderId="104" xfId="0" applyFont="1" applyBorder="1" applyAlignment="1">
      <alignment readingOrder="1"/>
    </xf>
    <xf numFmtId="0" fontId="5" fillId="0" borderId="105" xfId="0" applyFont="1" applyBorder="1" applyAlignment="1">
      <alignment readingOrder="1"/>
    </xf>
    <xf numFmtId="0" fontId="5" fillId="0" borderId="105" xfId="0" applyFont="1" applyBorder="1" applyAlignment="1">
      <alignment horizontal="right" readingOrder="1"/>
    </xf>
    <xf numFmtId="0" fontId="5" fillId="0" borderId="106" xfId="0" applyFont="1" applyBorder="1" applyAlignment="1">
      <alignment readingOrder="1"/>
    </xf>
    <xf numFmtId="0" fontId="5" fillId="0" borderId="107" xfId="0" applyFont="1" applyBorder="1" applyAlignment="1">
      <alignment readingOrder="1"/>
    </xf>
    <xf numFmtId="10" fontId="5" fillId="0" borderId="108" xfId="0" applyNumberFormat="1" applyFont="1" applyBorder="1" applyAlignment="1">
      <alignment readingOrder="1"/>
    </xf>
    <xf numFmtId="0" fontId="4" fillId="0" borderId="105" xfId="0" applyFont="1" applyBorder="1" applyAlignment="1">
      <alignment horizontal="right" readingOrder="1"/>
    </xf>
    <xf numFmtId="0" fontId="5" fillId="0" borderId="102" xfId="0" applyFont="1" applyBorder="1" applyAlignment="1">
      <alignment readingOrder="1"/>
    </xf>
    <xf numFmtId="0" fontId="0" fillId="3" borderId="0" xfId="0" applyFill="1"/>
    <xf numFmtId="0" fontId="4" fillId="0" borderId="105" xfId="0" applyFont="1" applyBorder="1" applyAlignment="1">
      <alignment readingOrder="1"/>
    </xf>
    <xf numFmtId="169" fontId="0" fillId="0" borderId="0" xfId="6" applyNumberFormat="1" applyFont="1"/>
    <xf numFmtId="10" fontId="2" fillId="0" borderId="28" xfId="0" applyNumberFormat="1" applyFont="1" applyBorder="1"/>
    <xf numFmtId="0" fontId="1" fillId="0" borderId="77" xfId="0" applyFont="1" applyBorder="1"/>
    <xf numFmtId="0" fontId="0" fillId="0" borderId="109" xfId="0" applyBorder="1"/>
    <xf numFmtId="0" fontId="0" fillId="0" borderId="110" xfId="0" applyBorder="1"/>
    <xf numFmtId="0" fontId="7" fillId="0" borderId="0" xfId="0" applyFont="1"/>
    <xf numFmtId="0" fontId="36" fillId="0" borderId="0" xfId="0" quotePrefix="1" applyFont="1"/>
    <xf numFmtId="10" fontId="39" fillId="0" borderId="0" xfId="0" applyNumberFormat="1" applyFont="1"/>
    <xf numFmtId="0" fontId="1" fillId="30" borderId="0" xfId="0" applyFont="1" applyFill="1"/>
    <xf numFmtId="0" fontId="1" fillId="31" borderId="0" xfId="0" applyFont="1" applyFill="1"/>
    <xf numFmtId="0" fontId="38" fillId="0" borderId="0" xfId="0" applyFont="1"/>
    <xf numFmtId="0" fontId="7" fillId="0" borderId="11" xfId="0" applyFont="1" applyBorder="1"/>
    <xf numFmtId="3" fontId="39" fillId="0" borderId="111" xfId="0" applyNumberFormat="1" applyFont="1" applyBorder="1"/>
    <xf numFmtId="10" fontId="39" fillId="0" borderId="111" xfId="0" applyNumberFormat="1" applyFont="1" applyBorder="1"/>
    <xf numFmtId="0" fontId="39" fillId="0" borderId="55" xfId="0" applyFont="1" applyBorder="1"/>
    <xf numFmtId="0" fontId="39" fillId="0" borderId="58" xfId="0" applyFont="1" applyBorder="1"/>
    <xf numFmtId="0" fontId="0" fillId="0" borderId="55" xfId="0" applyBorder="1"/>
    <xf numFmtId="0" fontId="0" fillId="0" borderId="111" xfId="0" applyBorder="1"/>
    <xf numFmtId="0" fontId="20" fillId="0" borderId="0" xfId="0" applyFont="1"/>
    <xf numFmtId="8" fontId="20" fillId="0" borderId="55" xfId="0" applyNumberFormat="1" applyFont="1" applyBorder="1"/>
    <xf numFmtId="10" fontId="20" fillId="0" borderId="0" xfId="0" applyNumberFormat="1" applyFont="1"/>
    <xf numFmtId="168" fontId="20" fillId="0" borderId="0" xfId="0" applyNumberFormat="1" applyFont="1"/>
    <xf numFmtId="167" fontId="20" fillId="0" borderId="64" xfId="0" applyNumberFormat="1" applyFont="1" applyBorder="1"/>
    <xf numFmtId="8" fontId="20" fillId="0" borderId="95" xfId="0" applyNumberFormat="1" applyFont="1" applyBorder="1"/>
    <xf numFmtId="10" fontId="20" fillId="0" borderId="32" xfId="0" applyNumberFormat="1" applyFont="1" applyBorder="1"/>
    <xf numFmtId="168" fontId="20" fillId="0" borderId="32" xfId="0" applyNumberFormat="1" applyFont="1" applyBorder="1"/>
    <xf numFmtId="167" fontId="20" fillId="0" borderId="66" xfId="0" applyNumberFormat="1" applyFont="1" applyBorder="1"/>
    <xf numFmtId="0" fontId="20" fillId="27" borderId="97" xfId="0" applyFont="1" applyFill="1" applyBorder="1"/>
    <xf numFmtId="10" fontId="20" fillId="0" borderId="64" xfId="0" applyNumberFormat="1" applyFont="1" applyBorder="1"/>
    <xf numFmtId="0" fontId="20" fillId="0" borderId="58" xfId="0" applyFont="1" applyBorder="1"/>
    <xf numFmtId="10" fontId="20" fillId="0" borderId="52" xfId="0" applyNumberFormat="1" applyFont="1" applyBorder="1"/>
    <xf numFmtId="6" fontId="20" fillId="0" borderId="52" xfId="0" applyNumberFormat="1" applyFont="1" applyBorder="1"/>
    <xf numFmtId="0" fontId="20" fillId="0" borderId="52" xfId="0" applyFont="1" applyBorder="1"/>
    <xf numFmtId="0" fontId="20" fillId="0" borderId="98" xfId="0" applyFont="1" applyBorder="1"/>
    <xf numFmtId="10" fontId="20" fillId="0" borderId="66" xfId="0" applyNumberFormat="1" applyFont="1" applyBorder="1"/>
    <xf numFmtId="0" fontId="6" fillId="29" borderId="20" xfId="0" applyFont="1" applyFill="1" applyBorder="1"/>
    <xf numFmtId="0" fontId="11" fillId="0" borderId="30" xfId="0" applyFont="1" applyBorder="1"/>
    <xf numFmtId="0" fontId="4" fillId="0" borderId="0" xfId="0" applyFont="1"/>
    <xf numFmtId="0" fontId="2" fillId="0" borderId="0" xfId="0" applyFont="1" applyAlignment="1">
      <alignment wrapText="1"/>
    </xf>
    <xf numFmtId="9" fontId="28" fillId="0" borderId="0" xfId="0" applyNumberFormat="1" applyFont="1"/>
    <xf numFmtId="0" fontId="24" fillId="0" borderId="57" xfId="0" applyFont="1" applyBorder="1"/>
    <xf numFmtId="44" fontId="28" fillId="0" borderId="0" xfId="0" applyNumberFormat="1" applyFont="1"/>
    <xf numFmtId="173" fontId="28" fillId="0" borderId="0" xfId="0" applyNumberFormat="1" applyFont="1"/>
    <xf numFmtId="0" fontId="28" fillId="0" borderId="0" xfId="0" quotePrefix="1" applyFont="1"/>
    <xf numFmtId="173" fontId="28" fillId="0" borderId="52" xfId="0" applyNumberFormat="1" applyFont="1" applyBorder="1"/>
    <xf numFmtId="173" fontId="28" fillId="24" borderId="0" xfId="0" applyNumberFormat="1" applyFont="1" applyFill="1"/>
    <xf numFmtId="173" fontId="28" fillId="0" borderId="76" xfId="0" applyNumberFormat="1" applyFont="1" applyBorder="1"/>
    <xf numFmtId="44" fontId="28" fillId="24" borderId="0" xfId="0" applyNumberFormat="1" applyFont="1" applyFill="1"/>
    <xf numFmtId="6" fontId="28" fillId="0" borderId="0" xfId="0" applyNumberFormat="1" applyFont="1"/>
    <xf numFmtId="174" fontId="28" fillId="0" borderId="0" xfId="0" applyNumberFormat="1" applyFont="1"/>
    <xf numFmtId="0" fontId="40" fillId="0" borderId="0" xfId="0" applyFont="1" applyAlignment="1">
      <alignment wrapText="1"/>
    </xf>
    <xf numFmtId="0" fontId="3" fillId="0" borderId="0" xfId="1" applyFill="1" applyBorder="1" applyAlignment="1"/>
    <xf numFmtId="0" fontId="10" fillId="0" borderId="0" xfId="0" applyFont="1"/>
    <xf numFmtId="10" fontId="10" fillId="0" borderId="0" xfId="0" applyNumberFormat="1" applyFont="1"/>
    <xf numFmtId="0" fontId="40" fillId="0" borderId="0" xfId="0" applyFont="1"/>
    <xf numFmtId="10" fontId="11" fillId="0" borderId="0" xfId="0" applyNumberFormat="1" applyFont="1"/>
    <xf numFmtId="10" fontId="27" fillId="14" borderId="4" xfId="0" applyNumberFormat="1" applyFont="1" applyFill="1" applyBorder="1"/>
    <xf numFmtId="0" fontId="27" fillId="14" borderId="4" xfId="0" applyFont="1" applyFill="1" applyBorder="1"/>
    <xf numFmtId="0" fontId="1" fillId="17" borderId="11" xfId="0" applyFont="1" applyFill="1" applyBorder="1"/>
    <xf numFmtId="0" fontId="1" fillId="17" borderId="49" xfId="0" applyFont="1" applyFill="1" applyBorder="1"/>
    <xf numFmtId="0" fontId="41" fillId="17" borderId="49" xfId="0" applyFont="1" applyFill="1" applyBorder="1"/>
    <xf numFmtId="167" fontId="0" fillId="0" borderId="51" xfId="0" applyNumberFormat="1" applyBorder="1"/>
    <xf numFmtId="0" fontId="13" fillId="0" borderId="30" xfId="0" applyFont="1" applyBorder="1"/>
    <xf numFmtId="0" fontId="13" fillId="0" borderId="64" xfId="0" applyFont="1" applyBorder="1"/>
    <xf numFmtId="0" fontId="2" fillId="0" borderId="30" xfId="0" applyFont="1" applyBorder="1"/>
    <xf numFmtId="0" fontId="2" fillId="0" borderId="64" xfId="0" applyFont="1" applyBorder="1"/>
    <xf numFmtId="168" fontId="13" fillId="0" borderId="64" xfId="0" applyNumberFormat="1" applyFont="1" applyBorder="1"/>
    <xf numFmtId="168" fontId="42" fillId="0" borderId="64" xfId="0" applyNumberFormat="1" applyFont="1" applyBorder="1"/>
    <xf numFmtId="10" fontId="13" fillId="0" borderId="64" xfId="0" applyNumberFormat="1" applyFont="1" applyBorder="1"/>
    <xf numFmtId="10" fontId="2" fillId="0" borderId="64" xfId="0" applyNumberFormat="1" applyFont="1" applyBorder="1"/>
    <xf numFmtId="9" fontId="39" fillId="0" borderId="111" xfId="0" applyNumberFormat="1" applyFont="1" applyBorder="1"/>
    <xf numFmtId="0" fontId="13" fillId="0" borderId="55" xfId="0" applyFont="1" applyBorder="1"/>
    <xf numFmtId="9" fontId="13" fillId="0" borderId="111" xfId="0" applyNumberFormat="1" applyFont="1" applyBorder="1"/>
    <xf numFmtId="9" fontId="13" fillId="0" borderId="64" xfId="0" applyNumberFormat="1" applyFont="1" applyBorder="1"/>
    <xf numFmtId="10" fontId="38" fillId="0" borderId="0" xfId="0" applyNumberFormat="1" applyFont="1"/>
    <xf numFmtId="0" fontId="13" fillId="0" borderId="65" xfId="0" applyFont="1" applyBorder="1"/>
    <xf numFmtId="0" fontId="2" fillId="0" borderId="65" xfId="0" applyFont="1" applyBorder="1"/>
    <xf numFmtId="0" fontId="7" fillId="17" borderId="11" xfId="0" applyFont="1" applyFill="1" applyBorder="1"/>
    <xf numFmtId="0" fontId="0" fillId="17" borderId="51" xfId="0" applyFill="1" applyBorder="1"/>
    <xf numFmtId="167" fontId="0" fillId="17" borderId="51" xfId="0" applyNumberFormat="1" applyFill="1" applyBorder="1"/>
    <xf numFmtId="3" fontId="2" fillId="0" borderId="64" xfId="0" applyNumberFormat="1" applyFont="1" applyBorder="1"/>
    <xf numFmtId="9" fontId="2" fillId="0" borderId="64" xfId="0" applyNumberFormat="1" applyFont="1" applyBorder="1"/>
    <xf numFmtId="6" fontId="2" fillId="0" borderId="66" xfId="0" applyNumberFormat="1" applyFont="1" applyBorder="1"/>
    <xf numFmtId="0" fontId="27" fillId="14" borderId="0" xfId="0" applyFont="1" applyFill="1"/>
    <xf numFmtId="0" fontId="27" fillId="14" borderId="112" xfId="0" applyFont="1" applyFill="1" applyBorder="1"/>
    <xf numFmtId="10" fontId="20" fillId="27" borderId="0" xfId="0" applyNumberFormat="1" applyFont="1" applyFill="1"/>
    <xf numFmtId="3" fontId="20" fillId="0" borderId="0" xfId="0" applyNumberFormat="1" applyFont="1"/>
    <xf numFmtId="6" fontId="20" fillId="0" borderId="64" xfId="0" applyNumberFormat="1" applyFont="1" applyBorder="1"/>
    <xf numFmtId="3" fontId="20" fillId="0" borderId="32" xfId="0" applyNumberFormat="1" applyFont="1" applyBorder="1"/>
    <xf numFmtId="6" fontId="20" fillId="0" borderId="66" xfId="0" applyNumberFormat="1" applyFont="1" applyBorder="1"/>
    <xf numFmtId="0" fontId="43" fillId="17" borderId="51" xfId="0" applyFont="1" applyFill="1" applyBorder="1"/>
    <xf numFmtId="0" fontId="1" fillId="17" borderId="5" xfId="0" applyFont="1" applyFill="1" applyBorder="1"/>
    <xf numFmtId="0" fontId="43" fillId="17" borderId="48" xfId="0" applyFont="1" applyFill="1" applyBorder="1"/>
    <xf numFmtId="0" fontId="13" fillId="0" borderId="5" xfId="0" applyFont="1" applyBorder="1"/>
    <xf numFmtId="0" fontId="13" fillId="0" borderId="48" xfId="0" applyFont="1" applyBorder="1"/>
    <xf numFmtId="3" fontId="13" fillId="0" borderId="111" xfId="0" applyNumberFormat="1" applyFont="1" applyBorder="1"/>
    <xf numFmtId="10" fontId="13" fillId="0" borderId="111" xfId="0" applyNumberFormat="1" applyFont="1" applyBorder="1"/>
    <xf numFmtId="0" fontId="13" fillId="0" borderId="58" xfId="0" applyFont="1" applyBorder="1"/>
    <xf numFmtId="0" fontId="27" fillId="14" borderId="0" xfId="0" applyFont="1" applyFill="1" applyAlignment="1">
      <alignment wrapText="1"/>
    </xf>
    <xf numFmtId="0" fontId="22" fillId="0" borderId="84" xfId="0" applyFont="1" applyBorder="1"/>
    <xf numFmtId="0" fontId="22" fillId="0" borderId="113" xfId="0" applyFont="1" applyBorder="1"/>
    <xf numFmtId="0" fontId="22" fillId="0" borderId="85" xfId="0" applyFont="1" applyBorder="1"/>
    <xf numFmtId="8" fontId="20" fillId="0" borderId="20" xfId="0" applyNumberFormat="1" applyFont="1" applyBorder="1"/>
    <xf numFmtId="10" fontId="20" fillId="22" borderId="0" xfId="0" applyNumberFormat="1" applyFont="1" applyFill="1"/>
    <xf numFmtId="6" fontId="20" fillId="0" borderId="31" xfId="0" applyNumberFormat="1" applyFont="1" applyBorder="1"/>
    <xf numFmtId="8" fontId="20" fillId="0" borderId="28" xfId="0" applyNumberFormat="1" applyFont="1" applyBorder="1"/>
    <xf numFmtId="10" fontId="20" fillId="0" borderId="3" xfId="0" applyNumberFormat="1" applyFont="1" applyBorder="1"/>
    <xf numFmtId="3" fontId="20" fillId="0" borderId="3" xfId="0" applyNumberFormat="1" applyFont="1" applyBorder="1"/>
    <xf numFmtId="6" fontId="20" fillId="0" borderId="29" xfId="0" applyNumberFormat="1" applyFont="1" applyBorder="1"/>
    <xf numFmtId="0" fontId="0" fillId="0" borderId="48" xfId="0" applyBorder="1"/>
    <xf numFmtId="0" fontId="1" fillId="0" borderId="30" xfId="0" applyFont="1" applyBorder="1"/>
    <xf numFmtId="0" fontId="0" fillId="0" borderId="64" xfId="0" applyBorder="1"/>
    <xf numFmtId="0" fontId="0" fillId="0" borderId="0" xfId="0" applyAlignment="1">
      <alignment horizontal="center"/>
    </xf>
    <xf numFmtId="2" fontId="0" fillId="0" borderId="0" xfId="0" applyNumberFormat="1" applyAlignment="1">
      <alignment horizontal="center"/>
    </xf>
    <xf numFmtId="0" fontId="0" fillId="4" borderId="0" xfId="0" applyFill="1"/>
    <xf numFmtId="0" fontId="0" fillId="4" borderId="0" xfId="0" applyFill="1" applyAlignment="1">
      <alignment horizontal="center"/>
    </xf>
    <xf numFmtId="0" fontId="48" fillId="0" borderId="0" xfId="7" applyFont="1" applyAlignment="1">
      <alignment horizontal="right" wrapText="1"/>
    </xf>
    <xf numFmtId="0" fontId="22" fillId="0" borderId="0" xfId="7" applyFont="1" applyAlignment="1">
      <alignment horizontal="center"/>
    </xf>
    <xf numFmtId="168" fontId="49" fillId="0" borderId="0" xfId="8" applyNumberFormat="1" applyFont="1"/>
    <xf numFmtId="0" fontId="46" fillId="0" borderId="0" xfId="7" applyFont="1"/>
    <xf numFmtId="0" fontId="51" fillId="0" borderId="0" xfId="9" applyFont="1"/>
    <xf numFmtId="0" fontId="46" fillId="0" borderId="0" xfId="7" applyFont="1" applyAlignment="1">
      <alignment horizontal="right"/>
    </xf>
    <xf numFmtId="167" fontId="46" fillId="0" borderId="0" xfId="7" applyNumberFormat="1" applyFont="1"/>
    <xf numFmtId="168" fontId="46" fillId="0" borderId="0" xfId="8" applyNumberFormat="1" applyFont="1"/>
    <xf numFmtId="177" fontId="46" fillId="0" borderId="0" xfId="8" applyNumberFormat="1" applyFont="1"/>
    <xf numFmtId="0" fontId="46" fillId="0" borderId="0" xfId="7" applyFont="1" applyAlignment="1">
      <alignment horizontal="center"/>
    </xf>
    <xf numFmtId="43" fontId="46" fillId="0" borderId="0" xfId="8" applyFont="1" applyAlignment="1">
      <alignment horizontal="center"/>
    </xf>
    <xf numFmtId="0" fontId="52" fillId="0" borderId="0" xfId="7" applyFont="1"/>
    <xf numFmtId="0" fontId="45" fillId="0" borderId="0" xfId="7" applyFont="1" applyAlignment="1">
      <alignment horizontal="center"/>
    </xf>
    <xf numFmtId="0" fontId="45" fillId="0" borderId="0" xfId="7" applyFont="1"/>
    <xf numFmtId="0" fontId="53" fillId="0" borderId="0" xfId="7" applyFont="1" applyAlignment="1">
      <alignment horizontal="center"/>
    </xf>
    <xf numFmtId="171" fontId="45" fillId="0" borderId="0" xfId="10" applyNumberFormat="1" applyFont="1" applyAlignment="1">
      <alignment horizontal="center"/>
    </xf>
    <xf numFmtId="0" fontId="20" fillId="0" borderId="32" xfId="0" applyFont="1" applyBorder="1"/>
    <xf numFmtId="0" fontId="22" fillId="0" borderId="57" xfId="0" applyFont="1" applyBorder="1"/>
    <xf numFmtId="6" fontId="2" fillId="0" borderId="0" xfId="0" applyNumberFormat="1" applyFont="1"/>
    <xf numFmtId="171" fontId="46" fillId="0" borderId="0" xfId="10" applyNumberFormat="1" applyFont="1"/>
    <xf numFmtId="167" fontId="46" fillId="0" borderId="0" xfId="10" applyNumberFormat="1" applyFont="1"/>
    <xf numFmtId="0" fontId="0" fillId="0" borderId="0" xfId="0" applyAlignment="1">
      <alignment horizontal="left" wrapText="1"/>
    </xf>
    <xf numFmtId="0" fontId="0" fillId="18" borderId="0" xfId="0" applyFill="1"/>
    <xf numFmtId="0" fontId="1" fillId="0" borderId="64" xfId="0" applyFont="1" applyBorder="1"/>
    <xf numFmtId="0" fontId="55" fillId="33" borderId="0" xfId="7" applyFont="1" applyFill="1"/>
    <xf numFmtId="0" fontId="56" fillId="0" borderId="0" xfId="7" applyFont="1" applyAlignment="1">
      <alignment horizontal="right" wrapText="1"/>
    </xf>
    <xf numFmtId="168" fontId="57" fillId="0" borderId="0" xfId="8" applyNumberFormat="1" applyFont="1"/>
    <xf numFmtId="0" fontId="56" fillId="0" borderId="0" xfId="7" applyFont="1"/>
    <xf numFmtId="0" fontId="58" fillId="0" borderId="0" xfId="7" applyFont="1" applyAlignment="1">
      <alignment horizontal="center"/>
    </xf>
    <xf numFmtId="0" fontId="14" fillId="0" borderId="0" xfId="0" applyFont="1"/>
    <xf numFmtId="0" fontId="13" fillId="0" borderId="0" xfId="0" applyFont="1"/>
    <xf numFmtId="0" fontId="4" fillId="0" borderId="0" xfId="0" applyFont="1" applyAlignment="1">
      <alignment horizontal="center"/>
    </xf>
    <xf numFmtId="0" fontId="24" fillId="0" borderId="0" xfId="7" applyFont="1" applyAlignment="1">
      <alignment horizontal="center"/>
    </xf>
    <xf numFmtId="0" fontId="5" fillId="0" borderId="0" xfId="7" applyFont="1"/>
    <xf numFmtId="0" fontId="4" fillId="0" borderId="0" xfId="7" applyFont="1"/>
    <xf numFmtId="0" fontId="4" fillId="0" borderId="0" xfId="7" applyFont="1" applyAlignment="1">
      <alignment horizontal="right"/>
    </xf>
    <xf numFmtId="167" fontId="4" fillId="0" borderId="0" xfId="7" applyNumberFormat="1" applyFont="1"/>
    <xf numFmtId="0" fontId="2" fillId="36" borderId="0" xfId="0" applyFont="1" applyFill="1"/>
    <xf numFmtId="168" fontId="4" fillId="0" borderId="0" xfId="8" applyNumberFormat="1" applyFont="1"/>
    <xf numFmtId="0" fontId="5" fillId="0" borderId="0" xfId="7" applyFont="1" applyAlignment="1">
      <alignment horizontal="center"/>
    </xf>
    <xf numFmtId="168" fontId="24" fillId="0" borderId="0" xfId="8" applyNumberFormat="1" applyFont="1" applyBorder="1" applyAlignment="1">
      <alignment horizontal="center"/>
    </xf>
    <xf numFmtId="177" fontId="4" fillId="0" borderId="0" xfId="8" applyNumberFormat="1" applyFont="1"/>
    <xf numFmtId="0" fontId="4" fillId="0" borderId="0" xfId="7" applyFont="1" applyAlignment="1">
      <alignment horizontal="center"/>
    </xf>
    <xf numFmtId="43" fontId="4" fillId="0" borderId="0" xfId="8" applyFont="1" applyAlignment="1">
      <alignment horizontal="center"/>
    </xf>
    <xf numFmtId="0" fontId="4" fillId="34" borderId="0" xfId="7" applyFont="1" applyFill="1" applyAlignment="1">
      <alignment horizontal="center"/>
    </xf>
    <xf numFmtId="171" fontId="4" fillId="0" borderId="0" xfId="10" applyNumberFormat="1" applyFont="1"/>
    <xf numFmtId="171" fontId="5" fillId="0" borderId="0" xfId="10" applyNumberFormat="1" applyFont="1" applyAlignment="1">
      <alignment horizontal="center"/>
    </xf>
    <xf numFmtId="167" fontId="4" fillId="0" borderId="0" xfId="10" applyNumberFormat="1" applyFont="1"/>
    <xf numFmtId="0" fontId="28" fillId="0" borderId="0" xfId="7" applyFont="1" applyAlignment="1">
      <alignment horizontal="center"/>
    </xf>
    <xf numFmtId="2" fontId="4" fillId="32" borderId="0" xfId="7" applyNumberFormat="1" applyFont="1" applyFill="1" applyAlignment="1">
      <alignment horizontal="center"/>
    </xf>
    <xf numFmtId="0" fontId="6" fillId="37" borderId="49" xfId="0" applyFont="1" applyFill="1" applyBorder="1"/>
    <xf numFmtId="0" fontId="2" fillId="37" borderId="51" xfId="0" applyFont="1" applyFill="1" applyBorder="1"/>
    <xf numFmtId="0" fontId="6" fillId="37" borderId="43" xfId="0" applyFont="1" applyFill="1" applyBorder="1"/>
    <xf numFmtId="0" fontId="6" fillId="37" borderId="0" xfId="0" applyFont="1" applyFill="1"/>
    <xf numFmtId="6" fontId="2" fillId="0" borderId="64" xfId="0" applyNumberFormat="1" applyFont="1" applyBorder="1"/>
    <xf numFmtId="0" fontId="11" fillId="0" borderId="65" xfId="0" applyFont="1" applyBorder="1"/>
    <xf numFmtId="0" fontId="22" fillId="0" borderId="86" xfId="0" applyFont="1" applyBorder="1"/>
    <xf numFmtId="0" fontId="22" fillId="0" borderId="31" xfId="0" applyFont="1" applyBorder="1"/>
    <xf numFmtId="0" fontId="2" fillId="0" borderId="63" xfId="0" applyFont="1" applyBorder="1"/>
    <xf numFmtId="0" fontId="2" fillId="0" borderId="114" xfId="0" applyFont="1" applyBorder="1"/>
    <xf numFmtId="0" fontId="2" fillId="0" borderId="61" xfId="0" applyFont="1" applyBorder="1"/>
    <xf numFmtId="0" fontId="2" fillId="0" borderId="115" xfId="0" applyFont="1" applyBorder="1"/>
    <xf numFmtId="0" fontId="2" fillId="0" borderId="86" xfId="0" applyFont="1" applyBorder="1"/>
    <xf numFmtId="0" fontId="2" fillId="0" borderId="87" xfId="0" applyFont="1" applyBorder="1"/>
    <xf numFmtId="0" fontId="2" fillId="0" borderId="116" xfId="0" applyFont="1" applyBorder="1"/>
    <xf numFmtId="0" fontId="20" fillId="0" borderId="88" xfId="0" applyFont="1" applyBorder="1"/>
    <xf numFmtId="0" fontId="20" fillId="0" borderId="117" xfId="0" applyFont="1" applyBorder="1"/>
    <xf numFmtId="0" fontId="22" fillId="0" borderId="89" xfId="0" applyFont="1" applyBorder="1"/>
    <xf numFmtId="0" fontId="20" fillId="0" borderId="90" xfId="0" applyFont="1" applyBorder="1"/>
    <xf numFmtId="3" fontId="20" fillId="0" borderId="92" xfId="0" applyNumberFormat="1" applyFont="1" applyBorder="1"/>
    <xf numFmtId="176" fontId="20" fillId="0" borderId="0" xfId="0" applyNumberFormat="1" applyFont="1"/>
    <xf numFmtId="0" fontId="1" fillId="18" borderId="0" xfId="0" applyFont="1" applyFill="1"/>
    <xf numFmtId="173" fontId="0" fillId="0" borderId="0" xfId="0" applyNumberFormat="1" applyAlignment="1">
      <alignment horizontal="right"/>
    </xf>
    <xf numFmtId="170" fontId="0" fillId="0" borderId="0" xfId="0" applyNumberFormat="1" applyAlignment="1">
      <alignment horizontal="right"/>
    </xf>
    <xf numFmtId="169" fontId="0" fillId="0" borderId="0" xfId="0" applyNumberFormat="1" applyAlignment="1">
      <alignment horizontal="right"/>
    </xf>
    <xf numFmtId="0" fontId="1" fillId="18" borderId="17" xfId="0" applyFont="1" applyFill="1" applyBorder="1"/>
    <xf numFmtId="0" fontId="1" fillId="18" borderId="19" xfId="0" applyFont="1" applyFill="1" applyBorder="1"/>
    <xf numFmtId="0" fontId="1" fillId="18" borderId="25" xfId="0" applyFont="1" applyFill="1" applyBorder="1"/>
    <xf numFmtId="0" fontId="0" fillId="0" borderId="88" xfId="0" applyBorder="1"/>
    <xf numFmtId="169" fontId="0" fillId="0" borderId="118" xfId="0" applyNumberFormat="1" applyBorder="1"/>
    <xf numFmtId="44" fontId="0" fillId="0" borderId="118" xfId="0" applyNumberFormat="1" applyBorder="1"/>
    <xf numFmtId="0" fontId="1" fillId="18" borderId="45" xfId="0" applyFont="1" applyFill="1" applyBorder="1"/>
    <xf numFmtId="169" fontId="0" fillId="0" borderId="44" xfId="0" applyNumberFormat="1" applyBorder="1"/>
    <xf numFmtId="169" fontId="0" fillId="0" borderId="43" xfId="0" applyNumberFormat="1" applyBorder="1"/>
    <xf numFmtId="44" fontId="0" fillId="0" borderId="121" xfId="0" applyNumberFormat="1" applyBorder="1"/>
    <xf numFmtId="173" fontId="0" fillId="0" borderId="43" xfId="0" applyNumberFormat="1" applyBorder="1"/>
    <xf numFmtId="170" fontId="0" fillId="0" borderId="118" xfId="0" applyNumberFormat="1" applyBorder="1"/>
    <xf numFmtId="9" fontId="0" fillId="0" borderId="0" xfId="0" applyNumberFormat="1" applyAlignment="1">
      <alignment horizontal="right"/>
    </xf>
    <xf numFmtId="44" fontId="0" fillId="0" borderId="0" xfId="0" applyNumberFormat="1" applyAlignment="1">
      <alignment horizontal="right"/>
    </xf>
    <xf numFmtId="2" fontId="0" fillId="0" borderId="0" xfId="0" applyNumberFormat="1" applyAlignment="1">
      <alignment horizontal="right"/>
    </xf>
    <xf numFmtId="168" fontId="0" fillId="0" borderId="0" xfId="0" applyNumberFormat="1" applyAlignment="1">
      <alignment horizontal="right"/>
    </xf>
    <xf numFmtId="171" fontId="0" fillId="0" borderId="0" xfId="0" applyNumberFormat="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3" fontId="0" fillId="0" borderId="0" xfId="0" applyNumberFormat="1" applyAlignment="1">
      <alignment horizontal="right"/>
    </xf>
    <xf numFmtId="9" fontId="0" fillId="0" borderId="0" xfId="0" applyNumberFormat="1" applyAlignment="1">
      <alignment horizontal="right" wrapText="1"/>
    </xf>
    <xf numFmtId="10" fontId="0" fillId="0" borderId="0" xfId="0" applyNumberFormat="1" applyAlignment="1">
      <alignment horizontal="right"/>
    </xf>
    <xf numFmtId="8" fontId="0" fillId="0" borderId="0" xfId="0" applyNumberFormat="1" applyAlignment="1">
      <alignment horizontal="right"/>
    </xf>
    <xf numFmtId="1" fontId="0" fillId="0" borderId="0" xfId="0" applyNumberFormat="1" applyAlignment="1">
      <alignment horizontal="right"/>
    </xf>
    <xf numFmtId="0" fontId="1" fillId="18" borderId="28" xfId="0" applyFont="1" applyFill="1" applyBorder="1"/>
    <xf numFmtId="0" fontId="1" fillId="18" borderId="122" xfId="0" applyFont="1" applyFill="1" applyBorder="1"/>
    <xf numFmtId="0" fontId="0" fillId="0" borderId="118" xfId="0" applyBorder="1"/>
    <xf numFmtId="0" fontId="1" fillId="18" borderId="118" xfId="0" applyFont="1" applyFill="1" applyBorder="1"/>
    <xf numFmtId="0" fontId="1" fillId="18" borderId="118" xfId="0" applyFont="1" applyFill="1" applyBorder="1" applyAlignment="1">
      <alignment wrapText="1"/>
    </xf>
    <xf numFmtId="0" fontId="1" fillId="18" borderId="123" xfId="0" applyFont="1" applyFill="1" applyBorder="1"/>
    <xf numFmtId="169" fontId="0" fillId="18" borderId="124" xfId="0" applyNumberFormat="1" applyFill="1" applyBorder="1"/>
    <xf numFmtId="0" fontId="1" fillId="18" borderId="124" xfId="0" applyFont="1" applyFill="1" applyBorder="1"/>
    <xf numFmtId="0" fontId="1" fillId="18" borderId="125" xfId="0" applyFont="1" applyFill="1" applyBorder="1"/>
    <xf numFmtId="169" fontId="0" fillId="0" borderId="65" xfId="0" applyNumberFormat="1" applyBorder="1"/>
    <xf numFmtId="169" fontId="0" fillId="0" borderId="46" xfId="0" applyNumberFormat="1" applyBorder="1"/>
    <xf numFmtId="169" fontId="0" fillId="0" borderId="19" xfId="0" applyNumberFormat="1" applyBorder="1"/>
    <xf numFmtId="44" fontId="0" fillId="0" borderId="17" xfId="0" applyNumberFormat="1" applyBorder="1"/>
    <xf numFmtId="0" fontId="1" fillId="18" borderId="22" xfId="0" applyFont="1" applyFill="1" applyBorder="1"/>
    <xf numFmtId="0" fontId="1" fillId="18" borderId="26" xfId="0" applyFont="1" applyFill="1" applyBorder="1"/>
    <xf numFmtId="0" fontId="0" fillId="18" borderId="18" xfId="0" applyFill="1" applyBorder="1"/>
    <xf numFmtId="0" fontId="0" fillId="18" borderId="20" xfId="0" applyFill="1" applyBorder="1"/>
    <xf numFmtId="0" fontId="1" fillId="18" borderId="24" xfId="0" applyFont="1" applyFill="1" applyBorder="1"/>
    <xf numFmtId="169" fontId="0" fillId="0" borderId="77" xfId="0" applyNumberFormat="1" applyBorder="1"/>
    <xf numFmtId="169" fontId="0" fillId="0" borderId="78" xfId="0" applyNumberFormat="1" applyBorder="1"/>
    <xf numFmtId="169" fontId="0" fillId="0" borderId="79" xfId="0" applyNumberFormat="1" applyBorder="1"/>
    <xf numFmtId="169" fontId="0" fillId="0" borderId="17" xfId="0" applyNumberFormat="1" applyBorder="1"/>
    <xf numFmtId="169" fontId="0" fillId="0" borderId="109" xfId="0" applyNumberFormat="1" applyBorder="1"/>
    <xf numFmtId="169" fontId="0" fillId="0" borderId="126" xfId="0" applyNumberFormat="1" applyBorder="1"/>
    <xf numFmtId="169" fontId="0" fillId="0" borderId="50" xfId="0" applyNumberFormat="1" applyBorder="1"/>
    <xf numFmtId="169" fontId="0" fillId="0" borderId="31" xfId="0" applyNumberFormat="1" applyBorder="1"/>
    <xf numFmtId="169" fontId="0" fillId="0" borderId="120" xfId="0" applyNumberFormat="1" applyBorder="1"/>
    <xf numFmtId="169" fontId="0" fillId="0" borderId="24" xfId="0" applyNumberFormat="1" applyBorder="1"/>
    <xf numFmtId="169" fontId="1" fillId="18" borderId="28" xfId="0" applyNumberFormat="1" applyFont="1" applyFill="1" applyBorder="1" applyAlignment="1">
      <alignment wrapText="1"/>
    </xf>
    <xf numFmtId="169" fontId="1" fillId="0" borderId="18" xfId="0" applyNumberFormat="1" applyFont="1" applyBorder="1"/>
    <xf numFmtId="0" fontId="1" fillId="18" borderId="18" xfId="0" applyFont="1" applyFill="1" applyBorder="1"/>
    <xf numFmtId="0" fontId="0" fillId="0" borderId="128" xfId="0" applyBorder="1"/>
    <xf numFmtId="0" fontId="0" fillId="0" borderId="127" xfId="0" applyBorder="1"/>
    <xf numFmtId="0" fontId="0" fillId="0" borderId="129" xfId="0" applyBorder="1"/>
    <xf numFmtId="0" fontId="0" fillId="18" borderId="21" xfId="0" applyFill="1" applyBorder="1"/>
    <xf numFmtId="169" fontId="1" fillId="18" borderId="27" xfId="0" applyNumberFormat="1" applyFont="1" applyFill="1" applyBorder="1"/>
    <xf numFmtId="0" fontId="1" fillId="40" borderId="22" xfId="0" applyFont="1" applyFill="1" applyBorder="1" applyAlignment="1">
      <alignment horizontal="center"/>
    </xf>
    <xf numFmtId="0" fontId="1" fillId="0" borderId="18" xfId="0" applyFont="1" applyBorder="1"/>
    <xf numFmtId="169" fontId="0" fillId="0" borderId="18" xfId="0" applyNumberFormat="1" applyBorder="1"/>
    <xf numFmtId="0" fontId="2" fillId="0" borderId="21" xfId="0" applyFont="1" applyBorder="1"/>
    <xf numFmtId="168" fontId="2" fillId="0" borderId="21" xfId="0" applyNumberFormat="1" applyFont="1" applyBorder="1"/>
    <xf numFmtId="0" fontId="2" fillId="0" borderId="21" xfId="0" quotePrefix="1" applyFont="1" applyBorder="1"/>
    <xf numFmtId="0" fontId="1" fillId="0" borderId="17" xfId="0" applyFont="1" applyBorder="1"/>
    <xf numFmtId="169" fontId="0" fillId="0" borderId="25" xfId="0" applyNumberFormat="1" applyBorder="1"/>
    <xf numFmtId="3" fontId="2" fillId="0" borderId="20" xfId="0" applyNumberFormat="1" applyFont="1" applyBorder="1"/>
    <xf numFmtId="10" fontId="2" fillId="0" borderId="20" xfId="0" applyNumberFormat="1" applyFont="1" applyBorder="1"/>
    <xf numFmtId="0" fontId="2" fillId="0" borderId="20" xfId="0" applyFont="1" applyBorder="1"/>
    <xf numFmtId="168" fontId="2" fillId="0" borderId="20" xfId="0" applyNumberFormat="1" applyFont="1" applyBorder="1"/>
    <xf numFmtId="0" fontId="2" fillId="0" borderId="20" xfId="0" quotePrefix="1" applyFont="1" applyBorder="1"/>
    <xf numFmtId="168" fontId="0" fillId="0" borderId="17" xfId="0" applyNumberFormat="1" applyBorder="1"/>
    <xf numFmtId="9" fontId="2" fillId="0" borderId="20" xfId="0" applyNumberFormat="1" applyFont="1" applyBorder="1"/>
    <xf numFmtId="0" fontId="1" fillId="4" borderId="18" xfId="0" applyFont="1" applyFill="1" applyBorder="1"/>
    <xf numFmtId="0" fontId="0" fillId="40" borderId="23" xfId="0" applyFill="1" applyBorder="1"/>
    <xf numFmtId="0" fontId="1" fillId="0" borderId="21" xfId="0" applyFont="1" applyBorder="1"/>
    <xf numFmtId="0" fontId="1" fillId="40" borderId="20" xfId="0" applyFont="1" applyFill="1" applyBorder="1"/>
    <xf numFmtId="0" fontId="1" fillId="40" borderId="28" xfId="0" applyFont="1" applyFill="1" applyBorder="1"/>
    <xf numFmtId="9" fontId="0" fillId="0" borderId="20" xfId="0" applyNumberFormat="1" applyBorder="1"/>
    <xf numFmtId="9" fontId="0" fillId="40" borderId="20" xfId="0" applyNumberFormat="1" applyFill="1" applyBorder="1"/>
    <xf numFmtId="0" fontId="0" fillId="40" borderId="28" xfId="0" applyFill="1" applyBorder="1"/>
    <xf numFmtId="10" fontId="0" fillId="40" borderId="20" xfId="0" applyNumberFormat="1" applyFill="1" applyBorder="1"/>
    <xf numFmtId="10" fontId="0" fillId="40" borderId="28" xfId="0" applyNumberFormat="1" applyFill="1" applyBorder="1"/>
    <xf numFmtId="0" fontId="0" fillId="40" borderId="20" xfId="0" applyFill="1" applyBorder="1"/>
    <xf numFmtId="168" fontId="0" fillId="0" borderId="20" xfId="0" applyNumberFormat="1" applyBorder="1"/>
    <xf numFmtId="0" fontId="12" fillId="40" borderId="21" xfId="0" applyFont="1" applyFill="1" applyBorder="1"/>
    <xf numFmtId="0" fontId="12" fillId="40" borderId="27" xfId="0" applyFont="1" applyFill="1" applyBorder="1"/>
    <xf numFmtId="9" fontId="0" fillId="0" borderId="31" xfId="0" applyNumberFormat="1" applyBorder="1"/>
    <xf numFmtId="9" fontId="13" fillId="40" borderId="0" xfId="0" applyNumberFormat="1" applyFont="1" applyFill="1"/>
    <xf numFmtId="0" fontId="13" fillId="40" borderId="3" xfId="0" applyFont="1" applyFill="1" applyBorder="1"/>
    <xf numFmtId="0" fontId="13" fillId="40" borderId="28" xfId="0" applyFont="1" applyFill="1" applyBorder="1"/>
    <xf numFmtId="10" fontId="13" fillId="40" borderId="20" xfId="0" applyNumberFormat="1" applyFont="1" applyFill="1" applyBorder="1"/>
    <xf numFmtId="10" fontId="13" fillId="40" borderId="28" xfId="0" applyNumberFormat="1" applyFont="1" applyFill="1" applyBorder="1"/>
    <xf numFmtId="0" fontId="13" fillId="40" borderId="20" xfId="0" applyFont="1" applyFill="1" applyBorder="1"/>
    <xf numFmtId="43" fontId="0" fillId="0" borderId="23" xfId="0" applyNumberFormat="1" applyBorder="1"/>
    <xf numFmtId="0" fontId="0" fillId="0" borderId="20" xfId="0" applyBorder="1" applyAlignment="1">
      <alignment horizontal="right"/>
    </xf>
    <xf numFmtId="43" fontId="0" fillId="40" borderId="20" xfId="0" applyNumberFormat="1" applyFill="1" applyBorder="1"/>
    <xf numFmtId="43" fontId="0" fillId="40" borderId="28" xfId="0" applyNumberFormat="1" applyFill="1" applyBorder="1"/>
    <xf numFmtId="43" fontId="1" fillId="0" borderId="18" xfId="0" applyNumberFormat="1" applyFont="1" applyBorder="1"/>
    <xf numFmtId="0" fontId="1" fillId="4" borderId="17" xfId="0" applyFont="1" applyFill="1" applyBorder="1"/>
    <xf numFmtId="44" fontId="0" fillId="18" borderId="22" xfId="0" applyNumberFormat="1" applyFill="1" applyBorder="1"/>
    <xf numFmtId="44" fontId="0" fillId="18" borderId="23" xfId="0" applyNumberFormat="1" applyFill="1" applyBorder="1"/>
    <xf numFmtId="44" fontId="0" fillId="18" borderId="26" xfId="0" applyNumberFormat="1" applyFill="1" applyBorder="1"/>
    <xf numFmtId="44" fontId="0" fillId="18" borderId="24" xfId="0" applyNumberFormat="1" applyFill="1" applyBorder="1"/>
    <xf numFmtId="44" fontId="0" fillId="18" borderId="20" xfId="0" applyNumberFormat="1" applyFill="1" applyBorder="1"/>
    <xf numFmtId="169" fontId="0" fillId="0" borderId="63" xfId="0" applyNumberFormat="1" applyBorder="1"/>
    <xf numFmtId="169" fontId="0" fillId="0" borderId="130" xfId="0" applyNumberFormat="1" applyBorder="1"/>
    <xf numFmtId="0" fontId="0" fillId="18" borderId="22" xfId="0" applyFill="1" applyBorder="1"/>
    <xf numFmtId="0" fontId="0" fillId="18" borderId="31" xfId="0" applyFill="1" applyBorder="1"/>
    <xf numFmtId="0" fontId="0" fillId="18" borderId="26" xfId="0" applyFill="1" applyBorder="1"/>
    <xf numFmtId="0" fontId="0" fillId="18" borderId="24" xfId="0" applyFill="1" applyBorder="1"/>
    <xf numFmtId="0" fontId="0" fillId="18" borderId="19" xfId="0" applyFill="1" applyBorder="1"/>
    <xf numFmtId="0" fontId="0" fillId="18" borderId="25" xfId="0" applyFill="1" applyBorder="1"/>
    <xf numFmtId="0" fontId="0" fillId="0" borderId="49" xfId="0" applyBorder="1"/>
    <xf numFmtId="0" fontId="0" fillId="0" borderId="50" xfId="0" applyBorder="1"/>
    <xf numFmtId="0" fontId="5" fillId="0" borderId="131" xfId="0" applyFont="1" applyBorder="1" applyAlignment="1">
      <alignment readingOrder="1"/>
    </xf>
    <xf numFmtId="0" fontId="5" fillId="0" borderId="132" xfId="0" applyFont="1" applyBorder="1" applyAlignment="1">
      <alignment readingOrder="1"/>
    </xf>
    <xf numFmtId="10" fontId="5" fillId="0" borderId="133" xfId="0" applyNumberFormat="1" applyFont="1" applyBorder="1" applyAlignment="1">
      <alignment readingOrder="1"/>
    </xf>
    <xf numFmtId="10" fontId="0" fillId="0" borderId="50" xfId="0" applyNumberFormat="1" applyBorder="1"/>
    <xf numFmtId="169" fontId="0" fillId="18" borderId="19" xfId="0" applyNumberFormat="1" applyFill="1" applyBorder="1"/>
    <xf numFmtId="169" fontId="0" fillId="0" borderId="21" xfId="0" applyNumberFormat="1" applyBorder="1"/>
    <xf numFmtId="169" fontId="0" fillId="18" borderId="20" xfId="0" applyNumberFormat="1" applyFill="1" applyBorder="1"/>
    <xf numFmtId="169" fontId="0" fillId="18" borderId="0" xfId="0" applyNumberFormat="1" applyFill="1"/>
    <xf numFmtId="0" fontId="1" fillId="0" borderId="32" xfId="0" applyFont="1" applyBorder="1"/>
    <xf numFmtId="10" fontId="0" fillId="0" borderId="31" xfId="0" applyNumberFormat="1" applyBorder="1"/>
    <xf numFmtId="10" fontId="0" fillId="0" borderId="29" xfId="0" applyNumberFormat="1" applyBorder="1"/>
    <xf numFmtId="172" fontId="0" fillId="18" borderId="19" xfId="0" applyNumberFormat="1" applyFill="1" applyBorder="1"/>
    <xf numFmtId="0" fontId="0" fillId="18" borderId="19" xfId="0" applyFill="1" applyBorder="1" applyAlignment="1">
      <alignment horizontal="left"/>
    </xf>
    <xf numFmtId="10" fontId="0" fillId="18" borderId="25" xfId="0" applyNumberFormat="1" applyFill="1" applyBorder="1"/>
    <xf numFmtId="0" fontId="13" fillId="0" borderId="20" xfId="0" applyFont="1" applyBorder="1"/>
    <xf numFmtId="43" fontId="0" fillId="18" borderId="19" xfId="0" applyNumberFormat="1" applyFill="1" applyBorder="1"/>
    <xf numFmtId="0" fontId="1" fillId="18" borderId="6" xfId="0" applyFont="1" applyFill="1" applyBorder="1" applyAlignment="1">
      <alignment horizontal="center"/>
    </xf>
    <xf numFmtId="0" fontId="2" fillId="42" borderId="18" xfId="0" applyFont="1" applyFill="1" applyBorder="1"/>
    <xf numFmtId="0" fontId="2" fillId="42" borderId="123" xfId="0" applyFont="1" applyFill="1" applyBorder="1"/>
    <xf numFmtId="0" fontId="2" fillId="42" borderId="135" xfId="0" applyFont="1" applyFill="1" applyBorder="1"/>
    <xf numFmtId="0" fontId="2" fillId="42" borderId="110" xfId="0" applyFont="1" applyFill="1" applyBorder="1"/>
    <xf numFmtId="0" fontId="2" fillId="42" borderId="28" xfId="0" applyFont="1" applyFill="1" applyBorder="1"/>
    <xf numFmtId="0" fontId="2" fillId="42" borderId="19" xfId="0" applyFont="1" applyFill="1" applyBorder="1"/>
    <xf numFmtId="0" fontId="2" fillId="42" borderId="26" xfId="0" applyFont="1" applyFill="1" applyBorder="1"/>
    <xf numFmtId="0" fontId="2" fillId="42" borderId="24" xfId="0" applyFont="1" applyFill="1" applyBorder="1"/>
    <xf numFmtId="0" fontId="2" fillId="0" borderId="66" xfId="0" quotePrefix="1" applyFont="1" applyBorder="1"/>
    <xf numFmtId="0" fontId="2" fillId="0" borderId="0" xfId="0" quotePrefix="1" applyFont="1"/>
    <xf numFmtId="0" fontId="2" fillId="0" borderId="22" xfId="0" applyFont="1" applyBorder="1"/>
    <xf numFmtId="0" fontId="2" fillId="0" borderId="130" xfId="0" applyFont="1" applyBorder="1"/>
    <xf numFmtId="0" fontId="2" fillId="0" borderId="136" xfId="0" quotePrefix="1" applyFont="1" applyBorder="1"/>
    <xf numFmtId="0" fontId="2" fillId="0" borderId="28" xfId="0" applyFont="1" applyBorder="1"/>
    <xf numFmtId="0" fontId="2" fillId="0" borderId="27" xfId="0" quotePrefix="1" applyFont="1" applyBorder="1"/>
    <xf numFmtId="0" fontId="2" fillId="0" borderId="18" xfId="0" applyFont="1" applyBorder="1"/>
    <xf numFmtId="0" fontId="2" fillId="0" borderId="19" xfId="0" applyFont="1" applyBorder="1"/>
    <xf numFmtId="0" fontId="2" fillId="0" borderId="3" xfId="0" applyFont="1" applyBorder="1"/>
    <xf numFmtId="0" fontId="2" fillId="0" borderId="3" xfId="0" quotePrefix="1" applyFont="1" applyBorder="1"/>
    <xf numFmtId="0" fontId="2" fillId="42" borderId="23" xfId="0" applyFont="1" applyFill="1" applyBorder="1"/>
    <xf numFmtId="0" fontId="2" fillId="42" borderId="17" xfId="0" applyFont="1" applyFill="1" applyBorder="1"/>
    <xf numFmtId="0" fontId="2" fillId="42" borderId="17" xfId="0" applyFont="1" applyFill="1" applyBorder="1" applyAlignment="1">
      <alignment wrapText="1"/>
    </xf>
    <xf numFmtId="0" fontId="2" fillId="42" borderId="18" xfId="0" applyFont="1" applyFill="1" applyBorder="1" applyAlignment="1">
      <alignment wrapText="1"/>
    </xf>
    <xf numFmtId="0" fontId="2" fillId="42" borderId="25" xfId="0" applyFont="1" applyFill="1" applyBorder="1" applyAlignment="1">
      <alignment wrapText="1"/>
    </xf>
    <xf numFmtId="0" fontId="2" fillId="42" borderId="25" xfId="0" applyFont="1" applyFill="1" applyBorder="1"/>
    <xf numFmtId="0" fontId="6" fillId="42" borderId="17" xfId="0" applyFont="1" applyFill="1" applyBorder="1" applyAlignment="1">
      <alignment wrapText="1"/>
    </xf>
    <xf numFmtId="0" fontId="6" fillId="42" borderId="25" xfId="0" applyFont="1" applyFill="1" applyBorder="1" applyAlignment="1">
      <alignment wrapText="1"/>
    </xf>
    <xf numFmtId="0" fontId="2" fillId="0" borderId="20" xfId="0" applyFont="1" applyBorder="1" applyAlignment="1">
      <alignment wrapText="1"/>
    </xf>
    <xf numFmtId="0" fontId="2" fillId="0" borderId="28" xfId="0" applyFont="1" applyBorder="1" applyAlignment="1">
      <alignment wrapText="1"/>
    </xf>
    <xf numFmtId="0" fontId="2" fillId="0" borderId="80" xfId="0" applyFont="1" applyBorder="1"/>
    <xf numFmtId="0" fontId="2" fillId="42" borderId="22" xfId="0" applyFont="1" applyFill="1" applyBorder="1"/>
    <xf numFmtId="0" fontId="2" fillId="0" borderId="49" xfId="0" applyFont="1" applyBorder="1"/>
    <xf numFmtId="0" fontId="2" fillId="0" borderId="19" xfId="0" quotePrefix="1" applyFont="1" applyBorder="1"/>
    <xf numFmtId="0" fontId="2" fillId="0" borderId="25" xfId="0" applyFont="1" applyBorder="1"/>
    <xf numFmtId="0" fontId="2" fillId="42" borderId="21" xfId="0" applyFont="1" applyFill="1" applyBorder="1"/>
    <xf numFmtId="0" fontId="2" fillId="42" borderId="19" xfId="0" applyFont="1" applyFill="1" applyBorder="1" applyAlignment="1">
      <alignment wrapText="1"/>
    </xf>
    <xf numFmtId="0" fontId="2" fillId="38" borderId="0" xfId="0" applyFont="1" applyFill="1"/>
    <xf numFmtId="0" fontId="2" fillId="38" borderId="20" xfId="0" applyFont="1" applyFill="1" applyBorder="1"/>
    <xf numFmtId="0" fontId="2" fillId="0" borderId="17" xfId="0" applyFont="1" applyBorder="1"/>
    <xf numFmtId="0" fontId="2" fillId="38" borderId="19" xfId="0" applyFont="1" applyFill="1" applyBorder="1"/>
    <xf numFmtId="0" fontId="2" fillId="41" borderId="0" xfId="0" applyFont="1" applyFill="1"/>
    <xf numFmtId="0" fontId="2" fillId="38" borderId="17" xfId="0" applyFont="1" applyFill="1" applyBorder="1"/>
    <xf numFmtId="0" fontId="2" fillId="38" borderId="25" xfId="0" applyFont="1" applyFill="1" applyBorder="1"/>
    <xf numFmtId="0" fontId="2" fillId="44" borderId="0" xfId="0" applyFont="1" applyFill="1"/>
    <xf numFmtId="44" fontId="2" fillId="0" borderId="29" xfId="0" applyNumberFormat="1" applyFont="1" applyBorder="1"/>
    <xf numFmtId="43" fontId="2" fillId="0" borderId="20" xfId="0" applyNumberFormat="1" applyFont="1" applyBorder="1"/>
    <xf numFmtId="43" fontId="2" fillId="0" borderId="21" xfId="0" applyNumberFormat="1" applyFont="1" applyBorder="1"/>
    <xf numFmtId="2" fontId="2" fillId="0" borderId="21" xfId="0" quotePrefix="1" applyNumberFormat="1" applyFont="1" applyBorder="1"/>
    <xf numFmtId="168" fontId="2" fillId="0" borderId="0" xfId="0" applyNumberFormat="1" applyFont="1"/>
    <xf numFmtId="44" fontId="2" fillId="0" borderId="0" xfId="0" applyNumberFormat="1" applyFont="1"/>
    <xf numFmtId="44" fontId="2" fillId="0" borderId="31" xfId="0" applyNumberFormat="1" applyFont="1" applyBorder="1"/>
    <xf numFmtId="44" fontId="2" fillId="0" borderId="19" xfId="0" applyNumberFormat="1" applyFont="1" applyBorder="1"/>
    <xf numFmtId="168" fontId="2" fillId="0" borderId="0" xfId="0" quotePrefix="1" applyNumberFormat="1" applyFont="1"/>
    <xf numFmtId="168" fontId="2" fillId="0" borderId="3" xfId="0" quotePrefix="1" applyNumberFormat="1" applyFont="1" applyBorder="1"/>
    <xf numFmtId="168" fontId="2" fillId="0" borderId="3" xfId="0" applyNumberFormat="1" applyFont="1" applyBorder="1"/>
    <xf numFmtId="0" fontId="2" fillId="0" borderId="79" xfId="0" applyFont="1" applyBorder="1"/>
    <xf numFmtId="172" fontId="2" fillId="0" borderId="0" xfId="0" applyNumberFormat="1" applyFont="1"/>
    <xf numFmtId="172" fontId="2" fillId="0" borderId="3" xfId="0" applyNumberFormat="1" applyFont="1" applyBorder="1"/>
    <xf numFmtId="2" fontId="2" fillId="0" borderId="0" xfId="0" applyNumberFormat="1" applyFont="1"/>
    <xf numFmtId="2" fontId="2" fillId="0" borderId="3" xfId="0" applyNumberFormat="1" applyFont="1" applyBorder="1"/>
    <xf numFmtId="1" fontId="2" fillId="0" borderId="0" xfId="0" applyNumberFormat="1" applyFont="1"/>
    <xf numFmtId="2" fontId="2" fillId="0" borderId="0" xfId="0" quotePrefix="1" applyNumberFormat="1" applyFont="1"/>
    <xf numFmtId="172" fontId="2" fillId="0" borderId="0" xfId="0" quotePrefix="1" applyNumberFormat="1" applyFont="1"/>
    <xf numFmtId="172" fontId="2" fillId="0" borderId="3" xfId="0" quotePrefix="1" applyNumberFormat="1" applyFont="1" applyBorder="1"/>
    <xf numFmtId="168" fontId="2" fillId="0" borderId="20" xfId="0" quotePrefix="1" applyNumberFormat="1" applyFont="1" applyBorder="1"/>
    <xf numFmtId="168" fontId="2" fillId="0" borderId="28" xfId="0" quotePrefix="1" applyNumberFormat="1" applyFont="1" applyBorder="1"/>
    <xf numFmtId="168" fontId="2" fillId="0" borderId="28" xfId="0" applyNumberFormat="1" applyFont="1" applyBorder="1"/>
    <xf numFmtId="168" fontId="2" fillId="0" borderId="31" xfId="0" quotePrefix="1" applyNumberFormat="1" applyFont="1" applyBorder="1"/>
    <xf numFmtId="44" fontId="2" fillId="0" borderId="25" xfId="0" applyNumberFormat="1" applyFont="1" applyBorder="1"/>
    <xf numFmtId="43" fontId="6" fillId="41" borderId="0" xfId="0" applyNumberFormat="1" applyFont="1" applyFill="1"/>
    <xf numFmtId="1" fontId="2" fillId="0" borderId="31" xfId="0" quotePrefix="1" applyNumberFormat="1" applyFont="1" applyBorder="1"/>
    <xf numFmtId="44" fontId="2" fillId="0" borderId="3" xfId="0" applyNumberFormat="1" applyFont="1" applyBorder="1"/>
    <xf numFmtId="44" fontId="2" fillId="0" borderId="22" xfId="0" applyNumberFormat="1" applyFont="1" applyBorder="1"/>
    <xf numFmtId="44" fontId="2" fillId="0" borderId="19" xfId="0" quotePrefix="1" applyNumberFormat="1" applyFont="1" applyBorder="1"/>
    <xf numFmtId="169" fontId="2" fillId="0" borderId="0" xfId="0" applyNumberFormat="1" applyFont="1"/>
    <xf numFmtId="44" fontId="2" fillId="0" borderId="0" xfId="0" quotePrefix="1" applyNumberFormat="1" applyFont="1"/>
    <xf numFmtId="169" fontId="2" fillId="0" borderId="0" xfId="0" quotePrefix="1" applyNumberFormat="1" applyFont="1"/>
    <xf numFmtId="44" fontId="2" fillId="0" borderId="31" xfId="0" quotePrefix="1" applyNumberFormat="1" applyFont="1" applyBorder="1"/>
    <xf numFmtId="169" fontId="2" fillId="0" borderId="31" xfId="0" quotePrefix="1" applyNumberFormat="1" applyFont="1" applyBorder="1"/>
    <xf numFmtId="44" fontId="2" fillId="0" borderId="25" xfId="0" quotePrefix="1" applyNumberFormat="1" applyFont="1" applyBorder="1"/>
    <xf numFmtId="2" fontId="2" fillId="0" borderId="31" xfId="0" quotePrefix="1" applyNumberFormat="1" applyFont="1" applyBorder="1"/>
    <xf numFmtId="44" fontId="2" fillId="0" borderId="29" xfId="0" quotePrefix="1" applyNumberFormat="1" applyFont="1" applyBorder="1"/>
    <xf numFmtId="169" fontId="2" fillId="0" borderId="3" xfId="0" quotePrefix="1" applyNumberFormat="1" applyFont="1" applyBorder="1"/>
    <xf numFmtId="169" fontId="2" fillId="0" borderId="3" xfId="0" applyNumberFormat="1" applyFont="1" applyBorder="1"/>
    <xf numFmtId="169" fontId="2" fillId="0" borderId="29" xfId="0" quotePrefix="1" applyNumberFormat="1" applyFont="1" applyBorder="1"/>
    <xf numFmtId="9" fontId="2" fillId="0" borderId="31" xfId="0" applyNumberFormat="1" applyFont="1" applyBorder="1"/>
    <xf numFmtId="9" fontId="2" fillId="0" borderId="29" xfId="0" applyNumberFormat="1" applyFont="1" applyBorder="1"/>
    <xf numFmtId="2" fontId="2" fillId="0" borderId="29" xfId="0" quotePrefix="1" applyNumberFormat="1" applyFont="1" applyBorder="1"/>
    <xf numFmtId="44" fontId="2" fillId="0" borderId="22" xfId="0" quotePrefix="1" applyNumberFormat="1" applyFont="1" applyBorder="1"/>
    <xf numFmtId="44" fontId="2" fillId="0" borderId="20" xfId="0" quotePrefix="1" applyNumberFormat="1" applyFont="1" applyBorder="1"/>
    <xf numFmtId="44" fontId="2" fillId="0" borderId="18" xfId="0" quotePrefix="1" applyNumberFormat="1" applyFont="1" applyBorder="1"/>
    <xf numFmtId="2" fontId="2" fillId="0" borderId="20" xfId="0" quotePrefix="1" applyNumberFormat="1" applyFont="1" applyBorder="1"/>
    <xf numFmtId="177" fontId="2" fillId="0" borderId="20" xfId="0" applyNumberFormat="1" applyFont="1" applyBorder="1"/>
    <xf numFmtId="44" fontId="2" fillId="0" borderId="0" xfId="0" applyNumberFormat="1" applyFont="1" applyAlignment="1">
      <alignment wrapText="1"/>
    </xf>
    <xf numFmtId="169" fontId="2" fillId="0" borderId="25" xfId="0" applyNumberFormat="1" applyFont="1" applyBorder="1"/>
    <xf numFmtId="0" fontId="30" fillId="35" borderId="0" xfId="0" applyFont="1" applyFill="1"/>
    <xf numFmtId="0" fontId="6" fillId="35" borderId="0" xfId="0" applyFont="1" applyFill="1" applyAlignment="1">
      <alignment wrapText="1"/>
    </xf>
    <xf numFmtId="168" fontId="6" fillId="41" borderId="0" xfId="0" applyNumberFormat="1" applyFont="1" applyFill="1"/>
    <xf numFmtId="168" fontId="6" fillId="41" borderId="0" xfId="0" quotePrefix="1" applyNumberFormat="1" applyFont="1" applyFill="1"/>
    <xf numFmtId="169" fontId="2" fillId="0" borderId="19" xfId="0" applyNumberFormat="1" applyFont="1" applyBorder="1"/>
    <xf numFmtId="169" fontId="2" fillId="0" borderId="25" xfId="0" quotePrefix="1" applyNumberFormat="1" applyFont="1" applyBorder="1"/>
    <xf numFmtId="169" fontId="2" fillId="0" borderId="31" xfId="0" applyNumberFormat="1" applyFont="1" applyBorder="1"/>
    <xf numFmtId="169" fontId="2" fillId="38" borderId="0" xfId="0" applyNumberFormat="1" applyFont="1" applyFill="1"/>
    <xf numFmtId="169" fontId="2" fillId="0" borderId="47" xfId="0" applyNumberFormat="1" applyFont="1" applyBorder="1"/>
    <xf numFmtId="169" fontId="2" fillId="0" borderId="32" xfId="0" applyNumberFormat="1" applyFont="1" applyBorder="1"/>
    <xf numFmtId="169" fontId="2" fillId="0" borderId="19" xfId="0" quotePrefix="1" applyNumberFormat="1" applyFont="1" applyBorder="1"/>
    <xf numFmtId="0" fontId="60" fillId="46" borderId="0" xfId="0" applyFont="1" applyFill="1"/>
    <xf numFmtId="175" fontId="2" fillId="0" borderId="19" xfId="0" applyNumberFormat="1" applyFont="1" applyBorder="1"/>
    <xf numFmtId="175" fontId="2" fillId="0" borderId="19" xfId="0" quotePrefix="1" applyNumberFormat="1" applyFont="1" applyBorder="1"/>
    <xf numFmtId="175" fontId="2" fillId="0" borderId="25" xfId="0" quotePrefix="1" applyNumberFormat="1" applyFont="1" applyBorder="1"/>
    <xf numFmtId="169" fontId="2" fillId="0" borderId="22" xfId="0" quotePrefix="1" applyNumberFormat="1" applyFont="1" applyBorder="1"/>
    <xf numFmtId="169" fontId="2" fillId="0" borderId="23" xfId="0" quotePrefix="1" applyNumberFormat="1" applyFont="1" applyBorder="1"/>
    <xf numFmtId="169" fontId="2" fillId="0" borderId="20" xfId="0" quotePrefix="1" applyNumberFormat="1" applyFont="1" applyBorder="1"/>
    <xf numFmtId="169" fontId="2" fillId="0" borderId="21" xfId="0" quotePrefix="1" applyNumberFormat="1" applyFont="1" applyBorder="1"/>
    <xf numFmtId="169" fontId="2" fillId="0" borderId="28" xfId="0" quotePrefix="1" applyNumberFormat="1" applyFont="1" applyBorder="1"/>
    <xf numFmtId="169" fontId="2" fillId="0" borderId="27" xfId="0" quotePrefix="1" applyNumberFormat="1" applyFont="1" applyBorder="1"/>
    <xf numFmtId="169" fontId="2" fillId="0" borderId="66" xfId="0" applyNumberFormat="1" applyFont="1" applyBorder="1"/>
    <xf numFmtId="169" fontId="2" fillId="0" borderId="136" xfId="0" applyNumberFormat="1" applyFont="1" applyBorder="1"/>
    <xf numFmtId="1" fontId="2" fillId="0" borderId="66" xfId="0" applyNumberFormat="1" applyFont="1" applyBorder="1"/>
    <xf numFmtId="1" fontId="2" fillId="0" borderId="136" xfId="0" applyNumberFormat="1" applyFont="1" applyBorder="1"/>
    <xf numFmtId="169" fontId="11" fillId="0" borderId="66" xfId="0" applyNumberFormat="1" applyFont="1" applyBorder="1"/>
    <xf numFmtId="169" fontId="2" fillId="0" borderId="115" xfId="0" applyNumberFormat="1" applyFont="1" applyBorder="1"/>
    <xf numFmtId="169" fontId="2" fillId="0" borderId="29" xfId="0" applyNumberFormat="1" applyFont="1" applyBorder="1"/>
    <xf numFmtId="171" fontId="2" fillId="0" borderId="28" xfId="0" applyNumberFormat="1" applyFont="1" applyBorder="1"/>
    <xf numFmtId="171" fontId="2" fillId="0" borderId="27" xfId="0" applyNumberFormat="1" applyFont="1" applyBorder="1"/>
    <xf numFmtId="9" fontId="2" fillId="0" borderId="28" xfId="0" applyNumberFormat="1" applyFont="1" applyBorder="1"/>
    <xf numFmtId="168" fontId="2" fillId="0" borderId="22" xfId="0" applyNumberFormat="1" applyFont="1" applyBorder="1"/>
    <xf numFmtId="168" fontId="2" fillId="0" borderId="23" xfId="0" applyNumberFormat="1" applyFont="1" applyBorder="1"/>
    <xf numFmtId="168" fontId="2" fillId="42" borderId="25" xfId="0" applyNumberFormat="1" applyFont="1" applyFill="1" applyBorder="1"/>
    <xf numFmtId="0" fontId="2" fillId="42" borderId="26" xfId="0" applyFont="1" applyFill="1" applyBorder="1" applyAlignment="1">
      <alignment wrapText="1"/>
    </xf>
    <xf numFmtId="168" fontId="2" fillId="0" borderId="43" xfId="0" quotePrefix="1" applyNumberFormat="1" applyFont="1" applyBorder="1"/>
    <xf numFmtId="0" fontId="2" fillId="0" borderId="43" xfId="0" quotePrefix="1" applyFont="1" applyBorder="1"/>
    <xf numFmtId="2" fontId="2" fillId="0" borderId="43" xfId="0" quotePrefix="1" applyNumberFormat="1" applyFont="1" applyBorder="1"/>
    <xf numFmtId="169" fontId="2" fillId="0" borderId="43" xfId="0" quotePrefix="1" applyNumberFormat="1" applyFont="1" applyBorder="1"/>
    <xf numFmtId="172" fontId="2" fillId="0" borderId="43" xfId="0" quotePrefix="1" applyNumberFormat="1" applyFont="1" applyBorder="1"/>
    <xf numFmtId="169" fontId="2" fillId="0" borderId="121" xfId="0" quotePrefix="1" applyNumberFormat="1" applyFont="1" applyBorder="1"/>
    <xf numFmtId="0" fontId="2" fillId="0" borderId="88" xfId="0" applyFont="1" applyBorder="1"/>
    <xf numFmtId="168" fontId="2" fillId="0" borderId="118" xfId="0" quotePrefix="1" applyNumberFormat="1" applyFont="1" applyBorder="1"/>
    <xf numFmtId="0" fontId="2" fillId="0" borderId="118" xfId="0" quotePrefix="1" applyFont="1" applyBorder="1"/>
    <xf numFmtId="172" fontId="2" fillId="0" borderId="118" xfId="0" quotePrefix="1" applyNumberFormat="1" applyFont="1" applyBorder="1"/>
    <xf numFmtId="169" fontId="2" fillId="0" borderId="119" xfId="0" quotePrefix="1" applyNumberFormat="1" applyFont="1" applyBorder="1"/>
    <xf numFmtId="2" fontId="2" fillId="0" borderId="46" xfId="0" quotePrefix="1" applyNumberFormat="1" applyFont="1" applyBorder="1"/>
    <xf numFmtId="169" fontId="2" fillId="0" borderId="46" xfId="0" quotePrefix="1" applyNumberFormat="1" applyFont="1" applyBorder="1"/>
    <xf numFmtId="169" fontId="2" fillId="0" borderId="17" xfId="0" applyNumberFormat="1" applyFont="1" applyBorder="1"/>
    <xf numFmtId="168" fontId="2" fillId="42" borderId="19" xfId="0" applyNumberFormat="1" applyFont="1" applyFill="1" applyBorder="1"/>
    <xf numFmtId="0" fontId="2" fillId="25" borderId="0" xfId="0" applyFont="1" applyFill="1"/>
    <xf numFmtId="44" fontId="2" fillId="25" borderId="54" xfId="0" quotePrefix="1" applyNumberFormat="1" applyFont="1" applyFill="1" applyBorder="1"/>
    <xf numFmtId="169" fontId="2" fillId="25" borderId="0" xfId="0" quotePrefix="1" applyNumberFormat="1" applyFont="1" applyFill="1"/>
    <xf numFmtId="169" fontId="28" fillId="0" borderId="0" xfId="0" quotePrefix="1" applyNumberFormat="1" applyFont="1"/>
    <xf numFmtId="168" fontId="2" fillId="25" borderId="0" xfId="0" quotePrefix="1" applyNumberFormat="1" applyFont="1" applyFill="1"/>
    <xf numFmtId="10" fontId="2" fillId="0" borderId="0" xfId="0" quotePrefix="1" applyNumberFormat="1" applyFont="1"/>
    <xf numFmtId="10" fontId="28" fillId="0" borderId="0" xfId="0" quotePrefix="1" applyNumberFormat="1" applyFont="1"/>
    <xf numFmtId="169" fontId="33" fillId="0" borderId="52" xfId="0" quotePrefix="1" applyNumberFormat="1" applyFont="1" applyBorder="1"/>
    <xf numFmtId="169" fontId="33" fillId="0" borderId="52" xfId="0" applyNumberFormat="1" applyFont="1" applyBorder="1"/>
    <xf numFmtId="169" fontId="2" fillId="0" borderId="52" xfId="0" quotePrefix="1" applyNumberFormat="1" applyFont="1" applyBorder="1"/>
    <xf numFmtId="169" fontId="28" fillId="0" borderId="52" xfId="0" quotePrefix="1" applyNumberFormat="1" applyFont="1" applyBorder="1"/>
    <xf numFmtId="1" fontId="28" fillId="0" borderId="0" xfId="0" quotePrefix="1" applyNumberFormat="1" applyFont="1"/>
    <xf numFmtId="169" fontId="28" fillId="0" borderId="0" xfId="0" applyNumberFormat="1" applyFont="1"/>
    <xf numFmtId="0" fontId="6" fillId="47" borderId="5" xfId="0" applyFont="1" applyFill="1" applyBorder="1"/>
    <xf numFmtId="0" fontId="1" fillId="47" borderId="30" xfId="0" applyFont="1" applyFill="1" applyBorder="1"/>
    <xf numFmtId="0" fontId="6" fillId="47" borderId="30" xfId="0" applyFont="1" applyFill="1" applyBorder="1"/>
    <xf numFmtId="0" fontId="1" fillId="48" borderId="30" xfId="0" applyFont="1" applyFill="1" applyBorder="1"/>
    <xf numFmtId="0" fontId="1" fillId="49" borderId="46" xfId="0" applyFont="1" applyFill="1" applyBorder="1"/>
    <xf numFmtId="0" fontId="1" fillId="49" borderId="81" xfId="0" applyFont="1" applyFill="1" applyBorder="1"/>
    <xf numFmtId="0" fontId="12" fillId="49" borderId="81" xfId="0" applyFont="1" applyFill="1" applyBorder="1"/>
    <xf numFmtId="0" fontId="13" fillId="49" borderId="81" xfId="0" applyFont="1" applyFill="1" applyBorder="1"/>
    <xf numFmtId="0" fontId="1" fillId="50" borderId="81" xfId="0" applyFont="1" applyFill="1" applyBorder="1"/>
    <xf numFmtId="0" fontId="6" fillId="0" borderId="0" xfId="0" applyFont="1"/>
    <xf numFmtId="0" fontId="2" fillId="0" borderId="23" xfId="0" applyFont="1" applyBorder="1"/>
    <xf numFmtId="0" fontId="6" fillId="0" borderId="18" xfId="0" applyFont="1" applyBorder="1"/>
    <xf numFmtId="0" fontId="2" fillId="40" borderId="27" xfId="0" applyFont="1" applyFill="1" applyBorder="1"/>
    <xf numFmtId="0" fontId="6" fillId="38" borderId="0" xfId="0" applyFont="1" applyFill="1"/>
    <xf numFmtId="0" fontId="6" fillId="39" borderId="0" xfId="0" applyFont="1" applyFill="1"/>
    <xf numFmtId="0" fontId="27" fillId="14" borderId="112" xfId="0" applyFont="1" applyFill="1" applyBorder="1" applyAlignment="1">
      <alignment wrapText="1"/>
    </xf>
    <xf numFmtId="9" fontId="11" fillId="0" borderId="0" xfId="0" applyNumberFormat="1" applyFont="1"/>
    <xf numFmtId="9" fontId="27" fillId="14" borderId="0" xfId="0" applyNumberFormat="1" applyFont="1" applyFill="1"/>
    <xf numFmtId="9" fontId="27" fillId="14" borderId="4" xfId="0" applyNumberFormat="1" applyFont="1" applyFill="1" applyBorder="1"/>
    <xf numFmtId="0" fontId="2" fillId="43" borderId="5" xfId="0" applyFont="1" applyFill="1" applyBorder="1"/>
    <xf numFmtId="0" fontId="6" fillId="43" borderId="47" xfId="0" applyFont="1" applyFill="1" applyBorder="1"/>
    <xf numFmtId="0" fontId="6" fillId="43" borderId="48" xfId="0" applyFont="1" applyFill="1" applyBorder="1"/>
    <xf numFmtId="0" fontId="6" fillId="43" borderId="5" xfId="0" applyFont="1" applyFill="1" applyBorder="1"/>
    <xf numFmtId="0" fontId="6" fillId="43" borderId="50" xfId="0" applyFont="1" applyFill="1" applyBorder="1"/>
    <xf numFmtId="0" fontId="6" fillId="43" borderId="51" xfId="0" applyFont="1" applyFill="1" applyBorder="1"/>
    <xf numFmtId="0" fontId="6" fillId="0" borderId="30" xfId="0" applyFont="1" applyBorder="1"/>
    <xf numFmtId="9" fontId="2" fillId="0" borderId="0" xfId="0" applyNumberFormat="1" applyFont="1"/>
    <xf numFmtId="0" fontId="2" fillId="0" borderId="5" xfId="0" applyFont="1" applyBorder="1"/>
    <xf numFmtId="0" fontId="6" fillId="0" borderId="65" xfId="0" applyFont="1" applyBorder="1"/>
    <xf numFmtId="10" fontId="2" fillId="0" borderId="32" xfId="0" applyNumberFormat="1" applyFont="1" applyBorder="1"/>
    <xf numFmtId="0" fontId="2" fillId="43" borderId="47" xfId="0" applyFont="1" applyFill="1" applyBorder="1"/>
    <xf numFmtId="0" fontId="2" fillId="43" borderId="48" xfId="0" applyFont="1" applyFill="1" applyBorder="1"/>
    <xf numFmtId="10" fontId="2" fillId="0" borderId="51" xfId="0" applyNumberFormat="1" applyFont="1" applyBorder="1"/>
    <xf numFmtId="0" fontId="2" fillId="0" borderId="64" xfId="0" applyFont="1" applyBorder="1" applyAlignment="1">
      <alignment wrapText="1"/>
    </xf>
    <xf numFmtId="0" fontId="6" fillId="43" borderId="65" xfId="0" applyFont="1" applyFill="1" applyBorder="1"/>
    <xf numFmtId="0" fontId="6" fillId="43" borderId="66" xfId="0" applyFont="1" applyFill="1" applyBorder="1"/>
    <xf numFmtId="9" fontId="2" fillId="0" borderId="48" xfId="0" applyNumberFormat="1" applyFont="1" applyBorder="1"/>
    <xf numFmtId="0" fontId="6" fillId="43" borderId="49" xfId="0" applyFont="1" applyFill="1" applyBorder="1"/>
    <xf numFmtId="0" fontId="2" fillId="0" borderId="32" xfId="0" applyFont="1" applyBorder="1"/>
    <xf numFmtId="0" fontId="2" fillId="0" borderId="66" xfId="0" applyFont="1" applyBorder="1"/>
    <xf numFmtId="0" fontId="8" fillId="13" borderId="46" xfId="0" applyFont="1" applyFill="1" applyBorder="1" applyAlignment="1">
      <alignment readingOrder="1"/>
    </xf>
    <xf numFmtId="0" fontId="8" fillId="13" borderId="48" xfId="0" applyFont="1" applyFill="1" applyBorder="1" applyAlignment="1">
      <alignment readingOrder="1"/>
    </xf>
    <xf numFmtId="0" fontId="9" fillId="13" borderId="48" xfId="0" applyFont="1" applyFill="1" applyBorder="1"/>
    <xf numFmtId="0" fontId="10" fillId="14" borderId="81" xfId="0" applyFont="1" applyFill="1" applyBorder="1" applyAlignment="1">
      <alignment readingOrder="1"/>
    </xf>
    <xf numFmtId="10" fontId="10" fillId="14" borderId="64" xfId="0" applyNumberFormat="1" applyFont="1" applyFill="1" applyBorder="1" applyAlignment="1">
      <alignment readingOrder="1"/>
    </xf>
    <xf numFmtId="0" fontId="10" fillId="14" borderId="64" xfId="0" applyFont="1" applyFill="1" applyBorder="1" applyAlignment="1">
      <alignment readingOrder="1"/>
    </xf>
    <xf numFmtId="10" fontId="11" fillId="14" borderId="64" xfId="0" applyNumberFormat="1" applyFont="1" applyFill="1" applyBorder="1"/>
    <xf numFmtId="0" fontId="10" fillId="0" borderId="81" xfId="0" applyFont="1" applyBorder="1" applyAlignment="1">
      <alignment readingOrder="1"/>
    </xf>
    <xf numFmtId="10" fontId="10" fillId="0" borderId="64" xfId="0" applyNumberFormat="1" applyFont="1" applyBorder="1" applyAlignment="1">
      <alignment readingOrder="1"/>
    </xf>
    <xf numFmtId="0" fontId="10" fillId="0" borderId="64" xfId="0" applyFont="1" applyBorder="1" applyAlignment="1">
      <alignment readingOrder="1"/>
    </xf>
    <xf numFmtId="0" fontId="11" fillId="0" borderId="64" xfId="0" applyFont="1" applyBorder="1"/>
    <xf numFmtId="10" fontId="11" fillId="0" borderId="64" xfId="0" applyNumberFormat="1" applyFont="1" applyBorder="1"/>
    <xf numFmtId="9" fontId="10" fillId="0" borderId="64" xfId="0" applyNumberFormat="1" applyFont="1" applyBorder="1" applyAlignment="1">
      <alignment readingOrder="1"/>
    </xf>
    <xf numFmtId="0" fontId="10" fillId="14" borderId="44" xfId="0" applyFont="1" applyFill="1" applyBorder="1" applyAlignment="1">
      <alignment readingOrder="1"/>
    </xf>
    <xf numFmtId="10" fontId="10" fillId="14" borderId="66" xfId="0" applyNumberFormat="1" applyFont="1" applyFill="1" applyBorder="1" applyAlignment="1">
      <alignment readingOrder="1"/>
    </xf>
    <xf numFmtId="10" fontId="2" fillId="0" borderId="48" xfId="0" applyNumberFormat="1" applyFont="1" applyBorder="1"/>
    <xf numFmtId="0" fontId="2" fillId="43" borderId="51" xfId="0" applyFont="1" applyFill="1" applyBorder="1"/>
    <xf numFmtId="0" fontId="6" fillId="41" borderId="0" xfId="0" applyFont="1" applyFill="1"/>
    <xf numFmtId="0" fontId="2" fillId="39" borderId="0" xfId="0" applyFont="1" applyFill="1"/>
    <xf numFmtId="0" fontId="11" fillId="0" borderId="5" xfId="0" applyFont="1" applyBorder="1"/>
    <xf numFmtId="0" fontId="27" fillId="0" borderId="47" xfId="0" applyFont="1" applyBorder="1"/>
    <xf numFmtId="0" fontId="27" fillId="0" borderId="48" xfId="0" applyFont="1" applyBorder="1"/>
    <xf numFmtId="0" fontId="27" fillId="0" borderId="30" xfId="0" applyFont="1" applyBorder="1"/>
    <xf numFmtId="0" fontId="11" fillId="0" borderId="32" xfId="0" applyFont="1" applyBorder="1"/>
    <xf numFmtId="10" fontId="11" fillId="0" borderId="51" xfId="0" applyNumberFormat="1" applyFont="1" applyBorder="1"/>
    <xf numFmtId="10" fontId="2" fillId="0" borderId="0" xfId="0" applyNumberFormat="1" applyFont="1"/>
    <xf numFmtId="0" fontId="6" fillId="42" borderId="22" xfId="0" applyFont="1" applyFill="1" applyBorder="1"/>
    <xf numFmtId="0" fontId="6" fillId="42" borderId="26" xfId="0" applyFont="1" applyFill="1" applyBorder="1"/>
    <xf numFmtId="0" fontId="6" fillId="42" borderId="24" xfId="0" applyFont="1" applyFill="1" applyBorder="1"/>
    <xf numFmtId="0" fontId="2" fillId="0" borderId="51" xfId="0" applyFont="1" applyBorder="1"/>
    <xf numFmtId="164" fontId="2" fillId="0" borderId="51" xfId="0" applyNumberFormat="1" applyFont="1" applyBorder="1"/>
    <xf numFmtId="164" fontId="2" fillId="0" borderId="66" xfId="0" applyNumberFormat="1" applyFont="1" applyBorder="1"/>
    <xf numFmtId="0" fontId="6" fillId="0" borderId="66" xfId="0" applyFont="1" applyBorder="1"/>
    <xf numFmtId="165" fontId="2" fillId="0" borderId="66" xfId="0" applyNumberFormat="1" applyFont="1" applyBorder="1"/>
    <xf numFmtId="169" fontId="2" fillId="0" borderId="44" xfId="0" applyNumberFormat="1" applyFont="1" applyBorder="1"/>
    <xf numFmtId="44" fontId="2" fillId="0" borderId="44" xfId="0" applyNumberFormat="1" applyFont="1" applyBorder="1"/>
    <xf numFmtId="169" fontId="2" fillId="0" borderId="46" xfId="0" applyNumberFormat="1" applyFont="1" applyBorder="1"/>
    <xf numFmtId="10" fontId="2" fillId="0" borderId="31" xfId="0" applyNumberFormat="1" applyFont="1" applyBorder="1"/>
    <xf numFmtId="10" fontId="2" fillId="0" borderId="29" xfId="0" applyNumberFormat="1" applyFont="1" applyBorder="1"/>
    <xf numFmtId="2" fontId="2" fillId="0" borderId="31" xfId="0" applyNumberFormat="1" applyFont="1" applyBorder="1"/>
    <xf numFmtId="0" fontId="2" fillId="0" borderId="29" xfId="0" applyFont="1" applyBorder="1"/>
    <xf numFmtId="0" fontId="2" fillId="0" borderId="11" xfId="0" applyFont="1" applyBorder="1"/>
    <xf numFmtId="0" fontId="2" fillId="0" borderId="137" xfId="0" applyFont="1" applyBorder="1"/>
    <xf numFmtId="0" fontId="6" fillId="42" borderId="23" xfId="0" applyFont="1" applyFill="1" applyBorder="1"/>
    <xf numFmtId="0" fontId="6" fillId="42" borderId="0" xfId="0" applyFont="1" applyFill="1"/>
    <xf numFmtId="0" fontId="6" fillId="0" borderId="17" xfId="0" applyFont="1" applyBorder="1"/>
    <xf numFmtId="164" fontId="2" fillId="0" borderId="23" xfId="0" applyNumberFormat="1" applyFont="1" applyBorder="1"/>
    <xf numFmtId="164" fontId="2" fillId="0" borderId="31" xfId="0" applyNumberFormat="1" applyFont="1" applyBorder="1"/>
    <xf numFmtId="164" fontId="2" fillId="0" borderId="21" xfId="0" applyNumberFormat="1" applyFont="1" applyBorder="1"/>
    <xf numFmtId="164" fontId="2" fillId="0" borderId="18" xfId="0" applyNumberFormat="1" applyFont="1" applyBorder="1"/>
    <xf numFmtId="0" fontId="6" fillId="0" borderId="25" xfId="0" applyFont="1" applyBorder="1"/>
    <xf numFmtId="0" fontId="31" fillId="0" borderId="0" xfId="0" applyFont="1" applyAlignment="1">
      <alignment wrapText="1"/>
    </xf>
    <xf numFmtId="0" fontId="28" fillId="0" borderId="0" xfId="0" applyFont="1" applyAlignment="1">
      <alignment wrapText="1"/>
    </xf>
    <xf numFmtId="0" fontId="24" fillId="24" borderId="0" xfId="0" applyFont="1" applyFill="1" applyAlignment="1">
      <alignment wrapText="1"/>
    </xf>
    <xf numFmtId="169" fontId="2" fillId="25" borderId="0" xfId="0" applyNumberFormat="1" applyFont="1" applyFill="1"/>
    <xf numFmtId="169" fontId="2" fillId="25" borderId="52" xfId="0" applyNumberFormat="1" applyFont="1" applyFill="1" applyBorder="1"/>
    <xf numFmtId="0" fontId="28" fillId="0" borderId="53" xfId="0" applyFont="1" applyBorder="1" applyAlignment="1">
      <alignment wrapText="1"/>
    </xf>
    <xf numFmtId="0" fontId="28" fillId="0" borderId="54" xfId="0" applyFont="1" applyBorder="1"/>
    <xf numFmtId="168" fontId="2" fillId="25" borderId="54" xfId="0" applyNumberFormat="1" applyFont="1" applyFill="1" applyBorder="1"/>
    <xf numFmtId="0" fontId="28" fillId="0" borderId="55" xfId="0" applyFont="1" applyBorder="1" applyAlignment="1">
      <alignment wrapText="1"/>
    </xf>
    <xf numFmtId="168" fontId="2" fillId="25" borderId="0" xfId="0" applyNumberFormat="1" applyFont="1" applyFill="1"/>
    <xf numFmtId="0" fontId="2" fillId="25" borderId="0" xfId="0" applyFont="1" applyFill="1" applyAlignment="1">
      <alignment horizontal="right"/>
    </xf>
    <xf numFmtId="0" fontId="28" fillId="0" borderId="56" xfId="0" applyFont="1" applyBorder="1" applyAlignment="1">
      <alignment wrapText="1"/>
    </xf>
    <xf numFmtId="0" fontId="28" fillId="0" borderId="57" xfId="0" applyFont="1" applyBorder="1"/>
    <xf numFmtId="0" fontId="2" fillId="25" borderId="57" xfId="0" applyFont="1" applyFill="1" applyBorder="1" applyAlignment="1">
      <alignment horizontal="right"/>
    </xf>
    <xf numFmtId="168" fontId="2" fillId="25" borderId="57" xfId="0" applyNumberFormat="1" applyFont="1" applyFill="1" applyBorder="1"/>
    <xf numFmtId="0" fontId="24" fillId="0" borderId="58" xfId="0" applyFont="1" applyBorder="1" applyAlignment="1">
      <alignment wrapText="1"/>
    </xf>
    <xf numFmtId="0" fontId="28" fillId="0" borderId="52" xfId="0" applyFont="1" applyBorder="1"/>
    <xf numFmtId="168" fontId="2" fillId="0" borderId="52" xfId="0" applyNumberFormat="1" applyFont="1" applyBorder="1"/>
    <xf numFmtId="168" fontId="28" fillId="0" borderId="0" xfId="0" applyNumberFormat="1" applyFont="1"/>
    <xf numFmtId="44" fontId="28" fillId="25" borderId="54" xfId="0" applyNumberFormat="1" applyFont="1" applyFill="1" applyBorder="1"/>
    <xf numFmtId="169" fontId="28" fillId="25" borderId="54" xfId="0" applyNumberFormat="1" applyFont="1" applyFill="1" applyBorder="1"/>
    <xf numFmtId="44" fontId="28" fillId="25" borderId="0" xfId="0" applyNumberFormat="1" applyFont="1" applyFill="1"/>
    <xf numFmtId="169" fontId="28" fillId="25" borderId="0" xfId="0" applyNumberFormat="1" applyFont="1" applyFill="1"/>
    <xf numFmtId="44" fontId="28" fillId="25" borderId="0" xfId="0" applyNumberFormat="1" applyFont="1" applyFill="1" applyAlignment="1">
      <alignment horizontal="right"/>
    </xf>
    <xf numFmtId="44" fontId="28" fillId="25" borderId="57" xfId="0" applyNumberFormat="1" applyFont="1" applyFill="1" applyBorder="1" applyAlignment="1">
      <alignment horizontal="right"/>
    </xf>
    <xf numFmtId="44" fontId="28" fillId="25" borderId="57" xfId="0" applyNumberFormat="1" applyFont="1" applyFill="1" applyBorder="1"/>
    <xf numFmtId="44" fontId="28" fillId="0" borderId="52" xfId="0" applyNumberFormat="1" applyFont="1" applyBorder="1"/>
    <xf numFmtId="0" fontId="2" fillId="0" borderId="53" xfId="0" applyFont="1" applyBorder="1"/>
    <xf numFmtId="0" fontId="24" fillId="0" borderId="55" xfId="0" applyFont="1" applyBorder="1" applyAlignment="1">
      <alignment wrapText="1"/>
    </xf>
    <xf numFmtId="169" fontId="2" fillId="25" borderId="57" xfId="0" applyNumberFormat="1" applyFont="1" applyFill="1" applyBorder="1"/>
    <xf numFmtId="169" fontId="2" fillId="25" borderId="59" xfId="0" applyNumberFormat="1" applyFont="1" applyFill="1" applyBorder="1"/>
    <xf numFmtId="0" fontId="24" fillId="0" borderId="60" xfId="0" applyFont="1" applyBorder="1" applyAlignment="1">
      <alignment wrapText="1"/>
    </xf>
    <xf numFmtId="0" fontId="28" fillId="0" borderId="59" xfId="0" applyFont="1" applyBorder="1"/>
    <xf numFmtId="169" fontId="2" fillId="0" borderId="52" xfId="0" applyNumberFormat="1" applyFont="1" applyBorder="1"/>
    <xf numFmtId="171" fontId="2" fillId="25" borderId="0" xfId="0" applyNumberFormat="1" applyFont="1" applyFill="1"/>
    <xf numFmtId="10" fontId="4" fillId="0" borderId="0" xfId="0" applyNumberFormat="1" applyFont="1"/>
    <xf numFmtId="44" fontId="4" fillId="0" borderId="0" xfId="0" applyNumberFormat="1" applyFont="1"/>
    <xf numFmtId="169" fontId="4" fillId="0" borderId="0" xfId="0" applyNumberFormat="1" applyFont="1"/>
    <xf numFmtId="169" fontId="2" fillId="0" borderId="76" xfId="0" applyNumberFormat="1" applyFont="1" applyBorder="1"/>
    <xf numFmtId="0" fontId="6" fillId="45" borderId="0" xfId="0" applyFont="1" applyFill="1" applyAlignment="1">
      <alignment wrapText="1"/>
    </xf>
    <xf numFmtId="0" fontId="30" fillId="45" borderId="0" xfId="0" applyFont="1" applyFill="1"/>
    <xf numFmtId="169" fontId="24" fillId="0" borderId="0" xfId="0" applyNumberFormat="1" applyFont="1"/>
    <xf numFmtId="169" fontId="28" fillId="0" borderId="32" xfId="0" applyNumberFormat="1" applyFont="1" applyBorder="1"/>
    <xf numFmtId="169" fontId="28" fillId="0" borderId="32" xfId="0" quotePrefix="1" applyNumberFormat="1" applyFont="1" applyBorder="1"/>
    <xf numFmtId="169" fontId="28" fillId="0" borderId="52" xfId="0" applyNumberFormat="1" applyFont="1" applyBorder="1"/>
    <xf numFmtId="169" fontId="2" fillId="0" borderId="76" xfId="0" quotePrefix="1" applyNumberFormat="1" applyFont="1" applyBorder="1"/>
    <xf numFmtId="167" fontId="28" fillId="0" borderId="0" xfId="0" applyNumberFormat="1" applyFont="1"/>
    <xf numFmtId="0" fontId="20" fillId="0" borderId="0" xfId="0" applyFont="1" applyAlignment="1">
      <alignment wrapText="1"/>
    </xf>
    <xf numFmtId="169" fontId="2" fillId="0" borderId="116" xfId="0" applyNumberFormat="1" applyFont="1" applyBorder="1"/>
    <xf numFmtId="0" fontId="61" fillId="0" borderId="0" xfId="0" applyFont="1" applyAlignment="1">
      <alignment horizontal="center"/>
    </xf>
    <xf numFmtId="10" fontId="4" fillId="0" borderId="0" xfId="10" applyNumberFormat="1" applyFont="1" applyFill="1"/>
    <xf numFmtId="0" fontId="10" fillId="51" borderId="0" xfId="0" applyFont="1" applyFill="1" applyAlignment="1">
      <alignment wrapText="1"/>
    </xf>
    <xf numFmtId="0" fontId="40" fillId="51" borderId="0" xfId="0" applyFont="1" applyFill="1" applyAlignment="1">
      <alignment wrapText="1"/>
    </xf>
    <xf numFmtId="0" fontId="45" fillId="51" borderId="0" xfId="0" applyFont="1" applyFill="1" applyAlignment="1">
      <alignment wrapText="1"/>
    </xf>
    <xf numFmtId="0" fontId="0" fillId="51" borderId="0" xfId="0" applyFill="1"/>
    <xf numFmtId="0" fontId="2" fillId="51" borderId="0" xfId="0" applyFont="1" applyFill="1"/>
    <xf numFmtId="10" fontId="13" fillId="20" borderId="0" xfId="0" applyNumberFormat="1" applyFont="1" applyFill="1"/>
    <xf numFmtId="1" fontId="13" fillId="20" borderId="0" xfId="0" applyNumberFormat="1" applyFont="1" applyFill="1"/>
    <xf numFmtId="173" fontId="0" fillId="20" borderId="0" xfId="0" applyNumberFormat="1" applyFill="1"/>
    <xf numFmtId="0" fontId="0" fillId="19" borderId="0" xfId="0" applyFill="1"/>
    <xf numFmtId="6" fontId="13" fillId="19" borderId="0" xfId="0" applyNumberFormat="1" applyFont="1" applyFill="1"/>
    <xf numFmtId="10" fontId="13" fillId="18" borderId="0" xfId="0" applyNumberFormat="1" applyFont="1" applyFill="1"/>
    <xf numFmtId="0" fontId="44" fillId="18" borderId="0" xfId="0" applyFont="1" applyFill="1" applyAlignment="1">
      <alignment horizontal="left"/>
    </xf>
    <xf numFmtId="0" fontId="0" fillId="18" borderId="0" xfId="0" applyFill="1" applyAlignment="1">
      <alignment horizontal="left"/>
    </xf>
    <xf numFmtId="0" fontId="13" fillId="18" borderId="0" xfId="0" applyFont="1" applyFill="1" applyAlignment="1">
      <alignment horizontal="left"/>
    </xf>
    <xf numFmtId="0" fontId="54" fillId="18" borderId="0" xfId="0" applyFont="1" applyFill="1" applyAlignment="1">
      <alignment horizontal="left"/>
    </xf>
    <xf numFmtId="0" fontId="13" fillId="18" borderId="0" xfId="0" applyFont="1" applyFill="1"/>
    <xf numFmtId="0" fontId="2" fillId="18" borderId="0" xfId="0" applyFont="1" applyFill="1" applyAlignment="1">
      <alignment horizontal="left"/>
    </xf>
    <xf numFmtId="170" fontId="0" fillId="20" borderId="0" xfId="0" applyNumberFormat="1" applyFill="1"/>
    <xf numFmtId="2" fontId="4" fillId="0" borderId="0" xfId="0" applyNumberFormat="1" applyFont="1" applyAlignment="1">
      <alignment horizontal="center"/>
    </xf>
    <xf numFmtId="2" fontId="2" fillId="0" borderId="0" xfId="0" applyNumberFormat="1" applyFont="1" applyAlignment="1">
      <alignment horizontal="center"/>
    </xf>
    <xf numFmtId="173" fontId="13" fillId="20" borderId="0" xfId="0" applyNumberFormat="1" applyFont="1" applyFill="1"/>
    <xf numFmtId="0" fontId="8" fillId="0" borderId="0" xfId="0" applyFont="1" applyAlignment="1">
      <alignment readingOrder="1"/>
    </xf>
    <xf numFmtId="0" fontId="10" fillId="0" borderId="0" xfId="0" applyFont="1" applyAlignment="1">
      <alignment readingOrder="1"/>
    </xf>
    <xf numFmtId="10" fontId="10" fillId="0" borderId="0" xfId="0" applyNumberFormat="1" applyFont="1" applyAlignment="1">
      <alignment readingOrder="1"/>
    </xf>
    <xf numFmtId="169" fontId="13" fillId="20" borderId="0" xfId="0" applyNumberFormat="1" applyFont="1" applyFill="1"/>
    <xf numFmtId="44" fontId="0" fillId="20" borderId="0" xfId="0" applyNumberFormat="1" applyFill="1"/>
    <xf numFmtId="0" fontId="62" fillId="0" borderId="0" xfId="0" applyFont="1"/>
    <xf numFmtId="173" fontId="0" fillId="0" borderId="49" xfId="0" applyNumberFormat="1" applyBorder="1"/>
    <xf numFmtId="170" fontId="0" fillId="0" borderId="49" xfId="0" applyNumberFormat="1" applyBorder="1"/>
    <xf numFmtId="44" fontId="0" fillId="0" borderId="49" xfId="0" applyNumberFormat="1" applyBorder="1"/>
    <xf numFmtId="170" fontId="0" fillId="0" borderId="138" xfId="0" applyNumberFormat="1" applyBorder="1"/>
    <xf numFmtId="0" fontId="1" fillId="18" borderId="139" xfId="0" applyFont="1" applyFill="1" applyBorder="1"/>
    <xf numFmtId="0" fontId="0" fillId="0" borderId="43" xfId="0" applyBorder="1"/>
    <xf numFmtId="10" fontId="0" fillId="0" borderId="43" xfId="0" applyNumberFormat="1" applyBorder="1"/>
    <xf numFmtId="0" fontId="10" fillId="0" borderId="0" xfId="0" applyFont="1" applyAlignment="1">
      <alignment wrapText="1"/>
    </xf>
    <xf numFmtId="0" fontId="45" fillId="0" borderId="0" xfId="0" applyFont="1" applyAlignment="1">
      <alignment wrapText="1"/>
    </xf>
    <xf numFmtId="173" fontId="13" fillId="0" borderId="0" xfId="0" applyNumberFormat="1" applyFont="1"/>
    <xf numFmtId="10" fontId="13" fillId="0" borderId="0" xfId="0" applyNumberFormat="1" applyFont="1"/>
    <xf numFmtId="0" fontId="44" fillId="0" borderId="0" xfId="0" applyFont="1" applyAlignment="1">
      <alignment horizontal="left"/>
    </xf>
    <xf numFmtId="169" fontId="2" fillId="0" borderId="27" xfId="0" applyNumberFormat="1" applyFont="1" applyBorder="1"/>
    <xf numFmtId="168" fontId="2" fillId="0" borderId="17" xfId="0" applyNumberFormat="1" applyFont="1" applyBorder="1"/>
    <xf numFmtId="168" fontId="2" fillId="0" borderId="19" xfId="0" applyNumberFormat="1" applyFont="1" applyBorder="1"/>
    <xf numFmtId="168" fontId="2" fillId="0" borderId="31" xfId="0" applyNumberFormat="1" applyFont="1" applyBorder="1"/>
    <xf numFmtId="168" fontId="2" fillId="0" borderId="25" xfId="0" applyNumberFormat="1" applyFont="1" applyBorder="1"/>
    <xf numFmtId="0" fontId="6" fillId="0" borderId="20" xfId="0" applyFont="1" applyBorder="1"/>
    <xf numFmtId="44" fontId="2" fillId="0" borderId="20" xfId="0" applyNumberFormat="1" applyFont="1" applyBorder="1"/>
    <xf numFmtId="44" fontId="0" fillId="40" borderId="20" xfId="0" applyNumberFormat="1" applyFill="1" applyBorder="1"/>
    <xf numFmtId="44" fontId="0" fillId="40" borderId="28" xfId="0" applyNumberFormat="1" applyFill="1" applyBorder="1"/>
    <xf numFmtId="44" fontId="2" fillId="40" borderId="21" xfId="0" applyNumberFormat="1" applyFont="1" applyFill="1" applyBorder="1"/>
    <xf numFmtId="9" fontId="2" fillId="0" borderId="30" xfId="0" quotePrefix="1" applyNumberFormat="1" applyFont="1" applyBorder="1"/>
    <xf numFmtId="9" fontId="2" fillId="0" borderId="81" xfId="0" quotePrefix="1" applyNumberFormat="1" applyFont="1" applyBorder="1"/>
    <xf numFmtId="9" fontId="2" fillId="0" borderId="81" xfId="0" applyNumberFormat="1" applyFont="1" applyBorder="1"/>
    <xf numFmtId="9" fontId="2" fillId="0" borderId="0" xfId="0" quotePrefix="1" applyNumberFormat="1" applyFont="1"/>
    <xf numFmtId="44" fontId="13" fillId="40" borderId="20" xfId="0" applyNumberFormat="1" applyFont="1" applyFill="1" applyBorder="1"/>
    <xf numFmtId="44" fontId="13" fillId="40" borderId="28" xfId="0" applyNumberFormat="1" applyFont="1" applyFill="1" applyBorder="1"/>
    <xf numFmtId="44" fontId="5" fillId="6" borderId="2" xfId="0" applyNumberFormat="1" applyFont="1" applyFill="1" applyBorder="1" applyAlignment="1">
      <alignment readingOrder="1"/>
    </xf>
    <xf numFmtId="44" fontId="4" fillId="0" borderId="1" xfId="0" applyNumberFormat="1" applyFont="1" applyBorder="1" applyAlignment="1">
      <alignment readingOrder="1"/>
    </xf>
    <xf numFmtId="44" fontId="4" fillId="0" borderId="2" xfId="0" applyNumberFormat="1" applyFont="1" applyBorder="1" applyAlignment="1">
      <alignment readingOrder="1"/>
    </xf>
    <xf numFmtId="44" fontId="5" fillId="0" borderId="2" xfId="0" applyNumberFormat="1" applyFont="1" applyBorder="1" applyAlignment="1">
      <alignment readingOrder="1"/>
    </xf>
    <xf numFmtId="44" fontId="5" fillId="0" borderId="132" xfId="0" applyNumberFormat="1" applyFont="1" applyBorder="1" applyAlignment="1">
      <alignment readingOrder="1"/>
    </xf>
    <xf numFmtId="44" fontId="5" fillId="0" borderId="107" xfId="0" applyNumberFormat="1" applyFont="1" applyBorder="1" applyAlignment="1">
      <alignment readingOrder="1"/>
    </xf>
    <xf numFmtId="44" fontId="2" fillId="0" borderId="50" xfId="0" applyNumberFormat="1" applyFont="1" applyBorder="1"/>
    <xf numFmtId="44" fontId="6" fillId="43" borderId="32" xfId="0" applyNumberFormat="1" applyFont="1" applyFill="1" applyBorder="1"/>
    <xf numFmtId="44" fontId="2" fillId="0" borderId="47" xfId="0" applyNumberFormat="1" applyFont="1" applyBorder="1"/>
    <xf numFmtId="44" fontId="6" fillId="43" borderId="50" xfId="0" applyNumberFormat="1" applyFont="1" applyFill="1" applyBorder="1"/>
    <xf numFmtId="44" fontId="2" fillId="43" borderId="50" xfId="0" applyNumberFormat="1" applyFont="1" applyFill="1" applyBorder="1"/>
    <xf numFmtId="44" fontId="2" fillId="0" borderId="134" xfId="0" applyNumberFormat="1" applyFont="1" applyBorder="1"/>
    <xf numFmtId="44" fontId="39" fillId="0" borderId="111" xfId="0" applyNumberFormat="1" applyFont="1" applyBorder="1"/>
    <xf numFmtId="44" fontId="13" fillId="0" borderId="64" xfId="0" applyNumberFormat="1" applyFont="1" applyBorder="1"/>
    <xf numFmtId="44" fontId="2" fillId="0" borderId="64" xfId="0" applyNumberFormat="1" applyFont="1" applyBorder="1"/>
    <xf numFmtId="44" fontId="13" fillId="0" borderId="111" xfId="0" applyNumberFormat="1" applyFont="1" applyBorder="1"/>
    <xf numFmtId="0" fontId="6" fillId="42" borderId="17" xfId="0" applyFont="1" applyFill="1" applyBorder="1"/>
    <xf numFmtId="0" fontId="6" fillId="42" borderId="25" xfId="0" applyFont="1" applyFill="1" applyBorder="1"/>
    <xf numFmtId="6" fontId="2" fillId="0" borderId="31" xfId="0" applyNumberFormat="1" applyFont="1" applyBorder="1"/>
    <xf numFmtId="6" fontId="2" fillId="0" borderId="25" xfId="0" applyNumberFormat="1" applyFont="1" applyBorder="1"/>
    <xf numFmtId="6" fontId="2" fillId="0" borderId="29" xfId="0" applyNumberFormat="1" applyFont="1" applyBorder="1"/>
    <xf numFmtId="0" fontId="0" fillId="0" borderId="0" xfId="0" quotePrefix="1"/>
    <xf numFmtId="6" fontId="4" fillId="0" borderId="0" xfId="0" applyNumberFormat="1" applyFont="1"/>
    <xf numFmtId="0" fontId="0" fillId="47" borderId="0" xfId="0" applyFill="1"/>
    <xf numFmtId="0" fontId="1" fillId="0" borderId="81" xfId="0" applyFont="1" applyBorder="1"/>
    <xf numFmtId="0" fontId="1" fillId="0" borderId="44" xfId="0" applyFont="1" applyBorder="1"/>
    <xf numFmtId="0" fontId="6" fillId="48" borderId="30" xfId="0" applyFont="1" applyFill="1" applyBorder="1"/>
    <xf numFmtId="0" fontId="6" fillId="50" borderId="44" xfId="0" applyFont="1" applyFill="1" applyBorder="1"/>
    <xf numFmtId="0" fontId="6" fillId="47" borderId="47" xfId="0" applyFont="1" applyFill="1" applyBorder="1"/>
    <xf numFmtId="0" fontId="6" fillId="47" borderId="0" xfId="0" applyFont="1" applyFill="1"/>
    <xf numFmtId="0" fontId="1" fillId="47" borderId="0" xfId="0" applyFont="1" applyFill="1"/>
    <xf numFmtId="0" fontId="6" fillId="47" borderId="32" xfId="0" applyFont="1" applyFill="1" applyBorder="1"/>
    <xf numFmtId="0" fontId="63" fillId="0" borderId="30" xfId="0" applyFont="1" applyBorder="1" applyAlignment="1">
      <alignment readingOrder="1"/>
    </xf>
    <xf numFmtId="0" fontId="63" fillId="0" borderId="64" xfId="0" applyFont="1" applyBorder="1" applyAlignment="1">
      <alignment readingOrder="1"/>
    </xf>
    <xf numFmtId="0" fontId="0" fillId="0" borderId="65" xfId="0" applyBorder="1"/>
    <xf numFmtId="0" fontId="63" fillId="0" borderId="81" xfId="0" applyFont="1" applyBorder="1" applyAlignment="1">
      <alignment readingOrder="1"/>
    </xf>
    <xf numFmtId="0" fontId="63" fillId="0" borderId="65" xfId="0" applyFont="1" applyBorder="1" applyAlignment="1">
      <alignment readingOrder="1"/>
    </xf>
    <xf numFmtId="0" fontId="63" fillId="0" borderId="5" xfId="0" applyFont="1" applyBorder="1" applyAlignment="1">
      <alignment readingOrder="1"/>
    </xf>
    <xf numFmtId="0" fontId="63" fillId="0" borderId="46" xfId="0" applyFont="1" applyBorder="1" applyAlignment="1">
      <alignment readingOrder="1"/>
    </xf>
    <xf numFmtId="0" fontId="64" fillId="50" borderId="5" xfId="0" applyFont="1" applyFill="1" applyBorder="1"/>
    <xf numFmtId="0" fontId="64" fillId="50" borderId="46" xfId="0" applyFont="1" applyFill="1" applyBorder="1"/>
    <xf numFmtId="0" fontId="2" fillId="0" borderId="21" xfId="0" applyFont="1" applyBorder="1" applyAlignment="1">
      <alignment wrapText="1"/>
    </xf>
    <xf numFmtId="44" fontId="2" fillId="0" borderId="23" xfId="0" applyNumberFormat="1" applyFont="1" applyBorder="1"/>
    <xf numFmtId="44" fontId="2" fillId="0" borderId="21" xfId="0" quotePrefix="1" applyNumberFormat="1" applyFont="1" applyBorder="1"/>
    <xf numFmtId="2" fontId="2" fillId="0" borderId="28" xfId="0" quotePrefix="1" applyNumberFormat="1" applyFont="1" applyBorder="1"/>
    <xf numFmtId="2" fontId="2" fillId="0" borderId="27" xfId="0" quotePrefix="1" applyNumberFormat="1" applyFont="1" applyBorder="1"/>
    <xf numFmtId="168" fontId="2" fillId="0" borderId="29" xfId="0" applyNumberFormat="1" applyFont="1" applyBorder="1"/>
    <xf numFmtId="44" fontId="1" fillId="4" borderId="22" xfId="0" applyNumberFormat="1" applyFont="1" applyFill="1" applyBorder="1"/>
    <xf numFmtId="44" fontId="1" fillId="0" borderId="26" xfId="0" applyNumberFormat="1" applyFont="1" applyBorder="1"/>
    <xf numFmtId="44" fontId="1" fillId="0" borderId="24" xfId="0" applyNumberFormat="1" applyFont="1" applyBorder="1"/>
    <xf numFmtId="44" fontId="0" fillId="0" borderId="28" xfId="0" applyNumberFormat="1" applyBorder="1"/>
    <xf numFmtId="44" fontId="0" fillId="0" borderId="3" xfId="0" applyNumberFormat="1" applyBorder="1"/>
    <xf numFmtId="0" fontId="1" fillId="53" borderId="22" xfId="0" applyFont="1" applyFill="1" applyBorder="1"/>
    <xf numFmtId="0" fontId="1" fillId="53" borderId="26" xfId="0" applyFont="1" applyFill="1" applyBorder="1"/>
    <xf numFmtId="0" fontId="1" fillId="53" borderId="24" xfId="0" applyFont="1" applyFill="1" applyBorder="1"/>
    <xf numFmtId="2" fontId="0" fillId="0" borderId="31" xfId="0" applyNumberFormat="1" applyBorder="1"/>
    <xf numFmtId="0" fontId="1" fillId="0" borderId="28" xfId="0" applyFont="1" applyBorder="1"/>
    <xf numFmtId="2" fontId="0" fillId="0" borderId="29" xfId="0" applyNumberFormat="1" applyBorder="1"/>
    <xf numFmtId="168" fontId="0" fillId="0" borderId="3" xfId="0" applyNumberFormat="1" applyBorder="1"/>
    <xf numFmtId="0" fontId="24" fillId="0" borderId="20" xfId="0" applyFont="1" applyBorder="1"/>
    <xf numFmtId="0" fontId="28" fillId="0" borderId="20" xfId="0" applyFont="1" applyBorder="1"/>
    <xf numFmtId="1" fontId="0" fillId="0" borderId="31" xfId="0" applyNumberFormat="1" applyBorder="1"/>
    <xf numFmtId="1" fontId="35" fillId="0" borderId="31" xfId="0" applyNumberFormat="1" applyFont="1" applyBorder="1"/>
    <xf numFmtId="0" fontId="28" fillId="0" borderId="28" xfId="0" applyFont="1" applyBorder="1"/>
    <xf numFmtId="1" fontId="0" fillId="0" borderId="3" xfId="0" applyNumberFormat="1" applyBorder="1"/>
    <xf numFmtId="1" fontId="0" fillId="0" borderId="29" xfId="0" applyNumberFormat="1" applyBorder="1"/>
    <xf numFmtId="0" fontId="1" fillId="0" borderId="109" xfId="0" applyFont="1" applyBorder="1"/>
    <xf numFmtId="0" fontId="1" fillId="0" borderId="110" xfId="0" applyFont="1" applyBorder="1"/>
    <xf numFmtId="169" fontId="39" fillId="0" borderId="98" xfId="0" applyNumberFormat="1" applyFont="1" applyBorder="1"/>
    <xf numFmtId="169" fontId="13" fillId="0" borderId="98" xfId="0" applyNumberFormat="1" applyFont="1" applyBorder="1"/>
    <xf numFmtId="169" fontId="13" fillId="0" borderId="66" xfId="0" applyNumberFormat="1" applyFont="1" applyBorder="1"/>
    <xf numFmtId="168" fontId="2" fillId="0" borderId="64" xfId="0" applyNumberFormat="1" applyFont="1" applyBorder="1"/>
    <xf numFmtId="0" fontId="2" fillId="0" borderId="27" xfId="0" applyFont="1" applyBorder="1"/>
    <xf numFmtId="168" fontId="22" fillId="0" borderId="0" xfId="8" applyNumberFormat="1" applyFont="1" applyAlignment="1">
      <alignment horizontal="center"/>
    </xf>
    <xf numFmtId="0" fontId="6" fillId="54" borderId="46" xfId="0" applyFont="1" applyFill="1" applyBorder="1"/>
    <xf numFmtId="0" fontId="6" fillId="55" borderId="43" xfId="0" applyFont="1" applyFill="1" applyBorder="1"/>
    <xf numFmtId="0" fontId="3" fillId="0" borderId="81" xfId="1" applyFill="1" applyBorder="1" applyAlignment="1"/>
    <xf numFmtId="0" fontId="3" fillId="0" borderId="46" xfId="1" applyFill="1" applyBorder="1" applyAlignment="1"/>
    <xf numFmtId="0" fontId="3" fillId="0" borderId="44" xfId="1" applyFill="1" applyBorder="1" applyAlignment="1"/>
    <xf numFmtId="0" fontId="65" fillId="0" borderId="0" xfId="0" applyFont="1"/>
    <xf numFmtId="0" fontId="1" fillId="0" borderId="0" xfId="0" applyFont="1" applyAlignment="1">
      <alignment horizontal="center"/>
    </xf>
    <xf numFmtId="0" fontId="6" fillId="56" borderId="46" xfId="0" applyFont="1" applyFill="1" applyBorder="1"/>
    <xf numFmtId="0" fontId="6" fillId="35" borderId="0" xfId="0" applyFont="1" applyFill="1" applyAlignment="1">
      <alignment horizontal="center" wrapText="1"/>
    </xf>
    <xf numFmtId="0" fontId="13" fillId="0" borderId="22" xfId="0" applyFont="1" applyBorder="1"/>
    <xf numFmtId="44" fontId="2" fillId="0" borderId="26" xfId="0" quotePrefix="1" applyNumberFormat="1" applyFont="1" applyBorder="1"/>
    <xf numFmtId="44" fontId="0" fillId="0" borderId="25" xfId="0" applyNumberFormat="1" applyBorder="1"/>
    <xf numFmtId="44" fontId="2" fillId="18" borderId="24" xfId="0" quotePrefix="1" applyNumberFormat="1" applyFont="1" applyFill="1" applyBorder="1"/>
    <xf numFmtId="0" fontId="6" fillId="35" borderId="0" xfId="0" applyFont="1" applyFill="1"/>
    <xf numFmtId="0" fontId="3" fillId="0" borderId="46" xfId="1" applyBorder="1"/>
    <xf numFmtId="0" fontId="3" fillId="0" borderId="81" xfId="1" applyBorder="1"/>
    <xf numFmtId="0" fontId="3" fillId="0" borderId="44" xfId="1" applyBorder="1"/>
    <xf numFmtId="164" fontId="2" fillId="0" borderId="114" xfId="0" applyNumberFormat="1" applyFont="1" applyBorder="1"/>
    <xf numFmtId="0" fontId="2" fillId="0" borderId="140" xfId="0" applyFont="1" applyBorder="1"/>
    <xf numFmtId="165" fontId="2" fillId="0" borderId="136" xfId="0" applyNumberFormat="1" applyFont="1" applyBorder="1"/>
    <xf numFmtId="165" fontId="2" fillId="0" borderId="140" xfId="0" applyNumberFormat="1" applyFont="1" applyBorder="1"/>
    <xf numFmtId="165" fontId="2" fillId="0" borderId="117" xfId="0" applyNumberFormat="1" applyFont="1" applyBorder="1"/>
    <xf numFmtId="0" fontId="2" fillId="0" borderId="123" xfId="0" applyFont="1" applyBorder="1"/>
    <xf numFmtId="0" fontId="6" fillId="0" borderId="135" xfId="0" applyFont="1" applyBorder="1"/>
    <xf numFmtId="0" fontId="2" fillId="0" borderId="135" xfId="0" applyFont="1" applyBorder="1"/>
    <xf numFmtId="164" fontId="2" fillId="0" borderId="135" xfId="0" applyNumberFormat="1" applyFont="1" applyBorder="1"/>
    <xf numFmtId="164" fontId="2" fillId="0" borderId="110" xfId="0" applyNumberFormat="1" applyFont="1" applyBorder="1"/>
    <xf numFmtId="0" fontId="6" fillId="0" borderId="136" xfId="0" applyFont="1" applyBorder="1"/>
    <xf numFmtId="0" fontId="2" fillId="0" borderId="136" xfId="0" applyFont="1" applyBorder="1"/>
    <xf numFmtId="164" fontId="2" fillId="0" borderId="136" xfId="0" applyNumberFormat="1" applyFont="1" applyBorder="1"/>
    <xf numFmtId="164" fontId="2" fillId="0" borderId="140" xfId="0" applyNumberFormat="1" applyFont="1" applyBorder="1"/>
    <xf numFmtId="164" fontId="2" fillId="0" borderId="117" xfId="0" applyNumberFormat="1" applyFont="1" applyBorder="1"/>
    <xf numFmtId="165" fontId="2" fillId="0" borderId="135" xfId="0" applyNumberFormat="1" applyFont="1" applyBorder="1"/>
    <xf numFmtId="0" fontId="6" fillId="42" borderId="86" xfId="0" applyFont="1" applyFill="1" applyBorder="1"/>
    <xf numFmtId="0" fontId="6" fillId="42" borderId="64" xfId="0" applyFont="1" applyFill="1" applyBorder="1"/>
    <xf numFmtId="164" fontId="6" fillId="18" borderId="31" xfId="0" applyNumberFormat="1" applyFont="1" applyFill="1" applyBorder="1"/>
    <xf numFmtId="0" fontId="6" fillId="0" borderId="88" xfId="0" applyFont="1" applyBorder="1"/>
    <xf numFmtId="0" fontId="6" fillId="0" borderId="141" xfId="0" applyFont="1" applyBorder="1"/>
    <xf numFmtId="0" fontId="2" fillId="0" borderId="142" xfId="0" applyFont="1" applyBorder="1"/>
    <xf numFmtId="165" fontId="2" fillId="0" borderId="142" xfId="0" applyNumberFormat="1" applyFont="1" applyBorder="1"/>
    <xf numFmtId="178" fontId="2" fillId="0" borderId="110" xfId="0" applyNumberFormat="1" applyFont="1" applyBorder="1"/>
    <xf numFmtId="0" fontId="2" fillId="0" borderId="48" xfId="0" applyFont="1" applyBorder="1"/>
    <xf numFmtId="164" fontId="2" fillId="0" borderId="64" xfId="0" applyNumberFormat="1" applyFont="1" applyBorder="1"/>
    <xf numFmtId="166" fontId="2" fillId="0" borderId="116" xfId="0" applyNumberFormat="1" applyFont="1" applyBorder="1"/>
    <xf numFmtId="44" fontId="59" fillId="0" borderId="0" xfId="0" applyNumberFormat="1" applyFont="1"/>
    <xf numFmtId="0" fontId="0" fillId="18" borderId="23" xfId="0" applyFill="1" applyBorder="1"/>
    <xf numFmtId="2" fontId="0" fillId="0" borderId="26" xfId="0" applyNumberFormat="1" applyBorder="1"/>
    <xf numFmtId="0" fontId="2" fillId="0" borderId="26" xfId="0" applyFont="1" applyBorder="1"/>
    <xf numFmtId="10" fontId="2" fillId="0" borderId="24" xfId="0" applyNumberFormat="1" applyFont="1" applyBorder="1"/>
    <xf numFmtId="0" fontId="0" fillId="0" borderId="0" xfId="0" applyAlignment="1">
      <alignment wrapText="1"/>
    </xf>
    <xf numFmtId="0" fontId="12" fillId="49" borderId="143" xfId="0" applyFont="1" applyFill="1" applyBorder="1"/>
    <xf numFmtId="0" fontId="12" fillId="49" borderId="144" xfId="0" applyFont="1" applyFill="1" applyBorder="1"/>
    <xf numFmtId="0" fontId="6" fillId="49" borderId="137" xfId="0" applyFont="1" applyFill="1" applyBorder="1"/>
    <xf numFmtId="0" fontId="0" fillId="20" borderId="43" xfId="0" applyFill="1" applyBorder="1"/>
    <xf numFmtId="0" fontId="1" fillId="20" borderId="43" xfId="0" applyFont="1" applyFill="1" applyBorder="1"/>
    <xf numFmtId="3" fontId="0" fillId="52" borderId="43" xfId="0" applyNumberFormat="1" applyFill="1" applyBorder="1"/>
    <xf numFmtId="0" fontId="0" fillId="52" borderId="43" xfId="0" applyFill="1" applyBorder="1"/>
    <xf numFmtId="43" fontId="0" fillId="52" borderId="43" xfId="0" applyNumberFormat="1" applyFill="1" applyBorder="1"/>
    <xf numFmtId="3" fontId="68" fillId="52" borderId="43" xfId="0" applyNumberFormat="1" applyFont="1" applyFill="1" applyBorder="1"/>
    <xf numFmtId="0" fontId="1" fillId="15" borderId="43" xfId="0" applyFont="1" applyFill="1" applyBorder="1"/>
    <xf numFmtId="9" fontId="0" fillId="52" borderId="43" xfId="0" applyNumberFormat="1" applyFill="1" applyBorder="1"/>
    <xf numFmtId="0" fontId="0" fillId="20" borderId="44" xfId="0" applyFill="1" applyBorder="1"/>
    <xf numFmtId="0" fontId="1" fillId="20" borderId="44" xfId="0" applyFont="1" applyFill="1" applyBorder="1"/>
    <xf numFmtId="8" fontId="0" fillId="52" borderId="43" xfId="0" applyNumberFormat="1" applyFill="1" applyBorder="1"/>
    <xf numFmtId="2" fontId="0" fillId="52" borderId="43" xfId="0" applyNumberFormat="1" applyFill="1" applyBorder="1"/>
    <xf numFmtId="0" fontId="69" fillId="0" borderId="0" xfId="0" applyFont="1" applyAlignment="1">
      <alignment readingOrder="1"/>
    </xf>
    <xf numFmtId="0" fontId="70" fillId="0" borderId="0" xfId="0" applyFont="1" applyAlignment="1">
      <alignment readingOrder="1"/>
    </xf>
    <xf numFmtId="0" fontId="12" fillId="20" borderId="43" xfId="0" applyFont="1" applyFill="1" applyBorder="1"/>
    <xf numFmtId="9" fontId="13" fillId="52" borderId="43" xfId="0" applyNumberFormat="1" applyFont="1" applyFill="1" applyBorder="1"/>
    <xf numFmtId="3" fontId="71" fillId="52" borderId="43" xfId="0" applyNumberFormat="1" applyFont="1" applyFill="1" applyBorder="1"/>
    <xf numFmtId="0" fontId="1" fillId="20" borderId="46" xfId="0" applyFont="1" applyFill="1" applyBorder="1"/>
    <xf numFmtId="9" fontId="13" fillId="52" borderId="46" xfId="0" applyNumberFormat="1" applyFont="1" applyFill="1" applyBorder="1"/>
    <xf numFmtId="0" fontId="1" fillId="20" borderId="49" xfId="0" applyFont="1" applyFill="1" applyBorder="1"/>
    <xf numFmtId="0" fontId="0" fillId="52" borderId="46" xfId="0" applyFill="1" applyBorder="1"/>
    <xf numFmtId="168" fontId="0" fillId="52" borderId="43" xfId="0" applyNumberFormat="1" applyFill="1" applyBorder="1"/>
    <xf numFmtId="44" fontId="0" fillId="52" borderId="43" xfId="0" applyNumberFormat="1" applyFill="1" applyBorder="1"/>
    <xf numFmtId="0" fontId="6" fillId="0" borderId="23" xfId="0" applyFont="1" applyBorder="1"/>
    <xf numFmtId="0" fontId="4" fillId="20" borderId="43" xfId="0" applyFont="1" applyFill="1" applyBorder="1"/>
    <xf numFmtId="0" fontId="5" fillId="20" borderId="43" xfId="0" applyFont="1" applyFill="1" applyBorder="1"/>
    <xf numFmtId="0" fontId="5" fillId="20" borderId="43" xfId="0" applyFont="1" applyFill="1" applyBorder="1" applyAlignment="1">
      <alignment horizontal="center"/>
    </xf>
    <xf numFmtId="3" fontId="11" fillId="52" borderId="46" xfId="0" applyNumberFormat="1" applyFont="1" applyFill="1" applyBorder="1"/>
    <xf numFmtId="3" fontId="4" fillId="52" borderId="43" xfId="0" applyNumberFormat="1" applyFont="1" applyFill="1" applyBorder="1"/>
    <xf numFmtId="0" fontId="4" fillId="52" borderId="43" xfId="0" applyFont="1" applyFill="1" applyBorder="1"/>
    <xf numFmtId="168" fontId="4" fillId="52" borderId="43" xfId="0" applyNumberFormat="1" applyFont="1" applyFill="1" applyBorder="1"/>
    <xf numFmtId="2" fontId="4" fillId="52" borderId="43" xfId="0" applyNumberFormat="1" applyFont="1" applyFill="1" applyBorder="1"/>
    <xf numFmtId="0" fontId="2" fillId="0" borderId="0" xfId="0" applyFont="1" applyAlignment="1">
      <alignment horizontal="center"/>
    </xf>
    <xf numFmtId="0" fontId="6" fillId="20" borderId="44" xfId="0" applyFont="1" applyFill="1" applyBorder="1"/>
    <xf numFmtId="10" fontId="4" fillId="0" borderId="0" xfId="10" applyNumberFormat="1" applyFont="1"/>
    <xf numFmtId="168" fontId="24" fillId="0" borderId="0" xfId="8" applyNumberFormat="1" applyFont="1" applyAlignment="1">
      <alignment horizontal="center"/>
    </xf>
    <xf numFmtId="0" fontId="72" fillId="0" borderId="0" xfId="0" applyFont="1"/>
    <xf numFmtId="0" fontId="73" fillId="0" borderId="71" xfId="0" applyFont="1" applyBorder="1"/>
    <xf numFmtId="0" fontId="73" fillId="0" borderId="72" xfId="0" applyFont="1" applyBorder="1"/>
    <xf numFmtId="0" fontId="74" fillId="0" borderId="73" xfId="0" applyFont="1" applyBorder="1"/>
    <xf numFmtId="0" fontId="73" fillId="0" borderId="74" xfId="0" applyFont="1" applyBorder="1"/>
    <xf numFmtId="0" fontId="73" fillId="0" borderId="75" xfId="0" applyFont="1" applyBorder="1"/>
    <xf numFmtId="0" fontId="9" fillId="0" borderId="70" xfId="0" applyFont="1" applyBorder="1"/>
    <xf numFmtId="0" fontId="11" fillId="0" borderId="71" xfId="0" applyFont="1" applyBorder="1"/>
    <xf numFmtId="0" fontId="11" fillId="0" borderId="72" xfId="0" applyFont="1" applyBorder="1"/>
    <xf numFmtId="0" fontId="25" fillId="0" borderId="0" xfId="0" applyFont="1"/>
    <xf numFmtId="0" fontId="9" fillId="0" borderId="145" xfId="0" applyFont="1" applyBorder="1"/>
    <xf numFmtId="0" fontId="11" fillId="0" borderId="146" xfId="0" applyFont="1" applyBorder="1"/>
    <xf numFmtId="0" fontId="11" fillId="0" borderId="147" xfId="0" applyFont="1" applyBorder="1"/>
    <xf numFmtId="0" fontId="27" fillId="53" borderId="0" xfId="0" applyFont="1" applyFill="1"/>
    <xf numFmtId="0" fontId="0" fillId="35" borderId="43" xfId="0" applyFill="1" applyBorder="1"/>
    <xf numFmtId="0" fontId="13" fillId="35" borderId="43" xfId="0" applyFont="1" applyFill="1" applyBorder="1"/>
    <xf numFmtId="0" fontId="0" fillId="18" borderId="43" xfId="0" applyFill="1" applyBorder="1"/>
    <xf numFmtId="2" fontId="0" fillId="18" borderId="43" xfId="0" applyNumberFormat="1" applyFill="1" applyBorder="1"/>
    <xf numFmtId="10" fontId="0" fillId="18" borderId="43" xfId="0" applyNumberFormat="1" applyFill="1" applyBorder="1"/>
    <xf numFmtId="10" fontId="0" fillId="15" borderId="43" xfId="0" applyNumberFormat="1" applyFill="1" applyBorder="1"/>
    <xf numFmtId="2" fontId="0" fillId="15" borderId="43" xfId="0" applyNumberFormat="1" applyFill="1" applyBorder="1"/>
    <xf numFmtId="0" fontId="3" fillId="0" borderId="0" xfId="1" applyAlignment="1">
      <alignment readingOrder="1"/>
    </xf>
    <xf numFmtId="0" fontId="75" fillId="0" borderId="0" xfId="1" applyFont="1" applyBorder="1"/>
    <xf numFmtId="3" fontId="2" fillId="0" borderId="0" xfId="0" applyNumberFormat="1" applyFont="1"/>
    <xf numFmtId="172" fontId="4" fillId="52" borderId="43" xfId="0" applyNumberFormat="1" applyFont="1" applyFill="1" applyBorder="1"/>
    <xf numFmtId="0" fontId="12" fillId="0" borderId="0" xfId="0" applyFont="1"/>
    <xf numFmtId="168" fontId="0" fillId="52" borderId="51" xfId="11" applyNumberFormat="1" applyFont="1" applyFill="1" applyBorder="1"/>
    <xf numFmtId="44" fontId="13" fillId="19" borderId="0" xfId="0" applyNumberFormat="1" applyFont="1" applyFill="1"/>
    <xf numFmtId="10" fontId="13" fillId="19" borderId="0" xfId="0" applyNumberFormat="1" applyFont="1" applyFill="1"/>
    <xf numFmtId="44" fontId="0" fillId="19" borderId="0" xfId="0" applyNumberFormat="1" applyFill="1"/>
    <xf numFmtId="2" fontId="2" fillId="19" borderId="0" xfId="0" applyNumberFormat="1" applyFont="1" applyFill="1"/>
    <xf numFmtId="44" fontId="4" fillId="19" borderId="0" xfId="0" applyNumberFormat="1" applyFont="1" applyFill="1"/>
    <xf numFmtId="2" fontId="4" fillId="19" borderId="0" xfId="0" applyNumberFormat="1" applyFont="1" applyFill="1"/>
    <xf numFmtId="44" fontId="13" fillId="20" borderId="0" xfId="0" applyNumberFormat="1" applyFont="1" applyFill="1"/>
    <xf numFmtId="44" fontId="4" fillId="20" borderId="0" xfId="0" applyNumberFormat="1" applyFont="1" applyFill="1"/>
    <xf numFmtId="0" fontId="1" fillId="40" borderId="23" xfId="0" applyFont="1" applyFill="1" applyBorder="1"/>
    <xf numFmtId="10" fontId="0" fillId="0" borderId="21" xfId="0" quotePrefix="1" applyNumberFormat="1" applyBorder="1"/>
    <xf numFmtId="9" fontId="13" fillId="0" borderId="21" xfId="0" applyNumberFormat="1" applyFont="1" applyBorder="1"/>
    <xf numFmtId="0" fontId="13" fillId="0" borderId="21" xfId="0" applyFont="1" applyBorder="1"/>
    <xf numFmtId="9" fontId="0" fillId="0" borderId="21" xfId="0" applyNumberFormat="1" applyBorder="1"/>
    <xf numFmtId="0" fontId="1" fillId="50" borderId="46" xfId="0" applyFont="1" applyFill="1" applyBorder="1"/>
    <xf numFmtId="0" fontId="0" fillId="50" borderId="81" xfId="0" applyFill="1" applyBorder="1"/>
    <xf numFmtId="0" fontId="0" fillId="50" borderId="44" xfId="0" applyFill="1" applyBorder="1"/>
    <xf numFmtId="0" fontId="1" fillId="52" borderId="5" xfId="0" applyFont="1" applyFill="1" applyBorder="1" applyAlignment="1">
      <alignment wrapText="1"/>
    </xf>
    <xf numFmtId="0" fontId="1" fillId="52" borderId="30" xfId="0" applyFont="1" applyFill="1" applyBorder="1"/>
    <xf numFmtId="0" fontId="1" fillId="52" borderId="65" xfId="0" applyFont="1" applyFill="1" applyBorder="1"/>
    <xf numFmtId="0" fontId="1" fillId="57" borderId="30" xfId="0" applyFont="1" applyFill="1" applyBorder="1"/>
    <xf numFmtId="0" fontId="0" fillId="57" borderId="5" xfId="0" applyFill="1" applyBorder="1"/>
    <xf numFmtId="0" fontId="0" fillId="57" borderId="30" xfId="0" applyFill="1" applyBorder="1"/>
    <xf numFmtId="0" fontId="1" fillId="57" borderId="5" xfId="0" applyFont="1" applyFill="1" applyBorder="1"/>
    <xf numFmtId="0" fontId="0" fillId="57" borderId="65" xfId="0" applyFill="1" applyBorder="1"/>
    <xf numFmtId="0" fontId="0" fillId="57" borderId="81" xfId="0" applyFill="1" applyBorder="1"/>
    <xf numFmtId="0" fontId="0" fillId="57" borderId="44" xfId="0" applyFill="1" applyBorder="1"/>
    <xf numFmtId="0" fontId="0" fillId="57" borderId="64" xfId="0" applyFill="1" applyBorder="1"/>
    <xf numFmtId="0" fontId="1" fillId="57" borderId="64" xfId="0" applyFont="1" applyFill="1" applyBorder="1"/>
    <xf numFmtId="0" fontId="0" fillId="57" borderId="66" xfId="0" applyFill="1" applyBorder="1"/>
    <xf numFmtId="0" fontId="15" fillId="22" borderId="15" xfId="0" applyFont="1" applyFill="1" applyBorder="1" applyAlignment="1">
      <alignment horizontal="center"/>
    </xf>
    <xf numFmtId="0" fontId="15" fillId="22" borderId="16" xfId="0" applyFont="1" applyFill="1" applyBorder="1" applyAlignment="1">
      <alignment horizontal="center"/>
    </xf>
    <xf numFmtId="0" fontId="1" fillId="0" borderId="11" xfId="0" applyFont="1" applyBorder="1" applyAlignment="1">
      <alignment horizontal="center"/>
    </xf>
    <xf numFmtId="0" fontId="1" fillId="0" borderId="38" xfId="0" applyFont="1" applyBorder="1" applyAlignment="1">
      <alignment horizontal="center"/>
    </xf>
    <xf numFmtId="0" fontId="1" fillId="0" borderId="39" xfId="0" applyFont="1" applyBorder="1" applyAlignment="1">
      <alignment horizontal="right"/>
    </xf>
    <xf numFmtId="0" fontId="1" fillId="0" borderId="11" xfId="0" applyFont="1" applyBorder="1" applyAlignment="1">
      <alignment horizontal="right"/>
    </xf>
    <xf numFmtId="0" fontId="3" fillId="0" borderId="68" xfId="1" applyBorder="1" applyAlignment="1"/>
    <xf numFmtId="0" fontId="3" fillId="0" borderId="69" xfId="1" applyBorder="1" applyAlignment="1"/>
    <xf numFmtId="0" fontId="2" fillId="0" borderId="0" xfId="0" applyFont="1" applyAlignment="1">
      <alignment horizontal="left" wrapText="1"/>
    </xf>
    <xf numFmtId="0" fontId="0" fillId="0" borderId="0" xfId="0" applyAlignment="1">
      <alignment horizontal="left" wrapText="1"/>
    </xf>
    <xf numFmtId="0" fontId="3" fillId="0" borderId="67" xfId="1" applyFill="1" applyBorder="1" applyAlignment="1"/>
    <xf numFmtId="0" fontId="3" fillId="0" borderId="69" xfId="1" applyFill="1" applyBorder="1" applyAlignment="1"/>
    <xf numFmtId="0" fontId="3" fillId="0" borderId="68" xfId="1" applyFill="1" applyBorder="1" applyAlignment="1"/>
    <xf numFmtId="0" fontId="67" fillId="15" borderId="5" xfId="0" applyFont="1" applyFill="1" applyBorder="1" applyAlignment="1">
      <alignment horizontal="center"/>
    </xf>
    <xf numFmtId="0" fontId="67" fillId="15" borderId="47" xfId="0" applyFont="1" applyFill="1" applyBorder="1" applyAlignment="1">
      <alignment horizontal="center"/>
    </xf>
    <xf numFmtId="0" fontId="67" fillId="15" borderId="48" xfId="0" applyFont="1" applyFill="1" applyBorder="1" applyAlignment="1">
      <alignment horizontal="center"/>
    </xf>
    <xf numFmtId="0" fontId="67" fillId="15" borderId="65" xfId="0" applyFont="1" applyFill="1" applyBorder="1" applyAlignment="1">
      <alignment horizontal="center"/>
    </xf>
    <xf numFmtId="0" fontId="67" fillId="15" borderId="32" xfId="0" applyFont="1" applyFill="1" applyBorder="1" applyAlignment="1">
      <alignment horizontal="center"/>
    </xf>
    <xf numFmtId="0" fontId="67" fillId="15" borderId="66" xfId="0" applyFont="1" applyFill="1" applyBorder="1" applyAlignment="1">
      <alignment horizontal="center"/>
    </xf>
    <xf numFmtId="0" fontId="66" fillId="15" borderId="43" xfId="0" applyFont="1" applyFill="1" applyBorder="1" applyAlignment="1">
      <alignment horizontal="center"/>
    </xf>
    <xf numFmtId="0" fontId="22" fillId="0" borderId="82" xfId="0" applyFont="1" applyBorder="1" applyAlignment="1"/>
    <xf numFmtId="0" fontId="22" fillId="0" borderId="83" xfId="0" applyFont="1" applyBorder="1" applyAlignment="1"/>
    <xf numFmtId="0" fontId="37" fillId="0" borderId="0" xfId="0" applyFont="1" applyAlignment="1"/>
    <xf numFmtId="0" fontId="24" fillId="26" borderId="67" xfId="0" applyFont="1" applyFill="1" applyBorder="1" applyAlignment="1"/>
    <xf numFmtId="0" fontId="24" fillId="26" borderId="68" xfId="0" applyFont="1" applyFill="1" applyBorder="1" applyAlignment="1"/>
    <xf numFmtId="0" fontId="24" fillId="26" borderId="69" xfId="0" applyFont="1" applyFill="1" applyBorder="1" applyAlignment="1"/>
    <xf numFmtId="0" fontId="24" fillId="0" borderId="0" xfId="0" applyFont="1" applyAlignment="1"/>
    <xf numFmtId="0" fontId="11" fillId="0" borderId="0" xfId="0" applyFont="1" applyAlignment="1"/>
  </cellXfs>
  <cellStyles count="12">
    <cellStyle name="Comma" xfId="11" builtinId="3"/>
    <cellStyle name="Comma 2" xfId="4" xr:uid="{6A148D49-3682-44A6-B65B-5E7512D2C77C}"/>
    <cellStyle name="Comma 3" xfId="8" xr:uid="{ACA5983F-4A0F-5345-AB49-2D80F376A0C7}"/>
    <cellStyle name="Currency" xfId="6" builtinId="4"/>
    <cellStyle name="Hyperlink" xfId="1" xr:uid="{00000000-000B-0000-0000-000008000000}"/>
    <cellStyle name="Hyperlink 2" xfId="9" xr:uid="{254F5255-7E23-4449-8710-77EB701A1241}"/>
    <cellStyle name="Normal" xfId="0" builtinId="0"/>
    <cellStyle name="Normal 2" xfId="3" xr:uid="{81AC7BF3-74B9-4319-A5CC-D5317F6DB7D9}"/>
    <cellStyle name="Normal 3" xfId="7" xr:uid="{7C15A1B0-65CF-4E4E-84F4-1E8B8AA6019C}"/>
    <cellStyle name="Percent" xfId="2" builtinId="5"/>
    <cellStyle name="Percent 2" xfId="5" xr:uid="{38E8FF33-182B-403E-8BA3-A0F57A12C355}"/>
    <cellStyle name="Percent 3" xfId="10" xr:uid="{09AEBE13-0D69-3F4E-8D3B-7BA413698BC4}"/>
  </cellStyles>
  <dxfs count="16">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border outline="0">
        <bottom style="thin">
          <color rgb="FFFFFFFF"/>
        </bottom>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rgb="FF000000"/>
        <name val="Calibri"/>
        <family val="2"/>
        <scheme val="none"/>
      </font>
      <fill>
        <patternFill patternType="solid">
          <fgColor indexed="64"/>
          <bgColor rgb="FF8EA9DB"/>
        </patternFill>
      </fill>
    </dxf>
    <dxf>
      <border>
        <left style="thin">
          <color rgb="FF000000"/>
        </left>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rgb="FFFFF2CC"/>
        </patternFill>
      </fill>
      <border>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rgb="FFC6E0B4"/>
        </patternFill>
      </fill>
      <border>
        <left style="thin">
          <color rgb="FF000000"/>
        </left>
        <right style="thin">
          <color rgb="FF000000"/>
        </right>
        <top/>
        <bottom/>
        <vertical style="thin">
          <color rgb="FF000000"/>
        </vertical>
        <horizontal style="thin">
          <color rgb="FF000000"/>
        </horizontal>
      </border>
    </dxf>
  </dxfs>
  <tableStyles count="0" defaultTableStyle="TableStyleMedium2" defaultPivotStyle="PivotStyleLight16"/>
  <colors>
    <mruColors>
      <color rgb="FFE3F1FF"/>
      <color rgb="FF3EF1FF"/>
      <color rgb="FFFFFBED"/>
      <color rgb="FFDDE3F0"/>
      <color rgb="FFE5B3B3"/>
      <color rgb="FFF7F1DC"/>
      <color rgb="FFFAEBF6"/>
      <color rgb="FFDEADAD"/>
      <color rgb="FFD6BCEB"/>
      <color rgb="FFC700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'MK Purchase Intent and Price'!$B$27</c:f>
              <c:strCache>
                <c:ptCount val="1"/>
                <c:pt idx="0">
                  <c:v>Cumulative PI</c:v>
                </c:pt>
              </c:strCache>
            </c:strRef>
          </c:tx>
          <c:spPr>
            <a:ln w="25400" cap="rnd">
              <a:no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2.6382545931758532E-2"/>
                  <c:y val="-0.3121977981918926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'MK Purchase Intent and Price'!$A$28:$A$31</c:f>
              <c:numCache>
                <c:formatCode>"$"#,##0.00_);[Red]\("$"#,##0.00\)</c:formatCode>
                <c:ptCount val="4"/>
                <c:pt idx="0">
                  <c:v>17.5</c:v>
                </c:pt>
                <c:pt idx="1">
                  <c:v>22.5</c:v>
                </c:pt>
                <c:pt idx="2">
                  <c:v>27.5</c:v>
                </c:pt>
                <c:pt idx="3">
                  <c:v>32.5</c:v>
                </c:pt>
              </c:numCache>
            </c:numRef>
          </c:xVal>
          <c:yVal>
            <c:numRef>
              <c:f>'MK Purchase Intent and Price'!$B$28:$B$31</c:f>
              <c:numCache>
                <c:formatCode>0.00%</c:formatCode>
                <c:ptCount val="4"/>
                <c:pt idx="0">
                  <c:v>0.196026490066225</c:v>
                </c:pt>
                <c:pt idx="1">
                  <c:v>8.6754966887417226E-2</c:v>
                </c:pt>
                <c:pt idx="2">
                  <c:v>4.1059602649006627E-2</c:v>
                </c:pt>
                <c:pt idx="3">
                  <c:v>3.9735099337748344E-3</c:v>
                </c:pt>
              </c:numCache>
            </c:numRef>
          </c:yVal>
          <c:smooth val="0"/>
          <c:extLst>
            <c:ext xmlns:c16="http://schemas.microsoft.com/office/drawing/2014/chart" uri="{C3380CC4-5D6E-409C-BE32-E72D297353CC}">
              <c16:uniqueId val="{00000001-7A5B-467E-A4FD-7EBA42554B2E}"/>
            </c:ext>
          </c:extLst>
        </c:ser>
        <c:dLbls>
          <c:showLegendKey val="0"/>
          <c:showVal val="0"/>
          <c:showCatName val="0"/>
          <c:showSerName val="0"/>
          <c:showPercent val="0"/>
          <c:showBubbleSize val="0"/>
        </c:dLbls>
        <c:axId val="1912732423"/>
        <c:axId val="3522791"/>
      </c:scatterChart>
      <c:valAx>
        <c:axId val="19127324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2791"/>
        <c:crosses val="autoZero"/>
        <c:crossBetween val="midCat"/>
      </c:valAx>
      <c:valAx>
        <c:axId val="3522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32423"/>
        <c:crosses val="autoZero"/>
        <c:crossBetween val="midCat"/>
      </c:valAx>
      <c:spPr>
        <a:noFill/>
        <a:ln>
          <a:noFill/>
        </a:ln>
        <a:effectLst/>
      </c:spPr>
    </c:plotArea>
    <c:legend>
      <c:legendPos val="b"/>
      <c:layout>
        <c:manualLayout>
          <c:xMode val="edge"/>
          <c:yMode val="edge"/>
          <c:x val="0.17749502405949255"/>
          <c:y val="0.89667368401866432"/>
          <c:w val="0.6460516185476815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a:t>Tornado Chart</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v>Var@5%</c:v>
          </c:tx>
          <c:spPr>
            <a:solidFill>
              <a:schemeClr val="accent6">
                <a:lumMod val="60000"/>
                <a:lumOff val="40000"/>
              </a:schemeClr>
            </a:solidFill>
            <a:ln>
              <a:noFill/>
            </a:ln>
            <a:effectLst/>
          </c:spPr>
          <c:invertIfNegative val="0"/>
          <c:cat>
            <c:strRef>
              <c:f>'QM Simulation Summary Stats'!$B$24:$E$24</c:f>
              <c:strCache>
                <c:ptCount val="2"/>
                <c:pt idx="0">
                  <c:v>Segment Size</c:v>
                </c:pt>
                <c:pt idx="1">
                  <c:v>Floor Worker Hourly Wage</c:v>
                </c:pt>
              </c:strCache>
            </c:strRef>
          </c:cat>
          <c:val>
            <c:numRef>
              <c:f>'QM Simulation Summary Stats'!$B$25:$E$25</c:f>
              <c:numCache>
                <c:formatCode>"$"#,##0</c:formatCode>
                <c:ptCount val="4"/>
                <c:pt idx="0">
                  <c:v>-55518.38865518407</c:v>
                </c:pt>
                <c:pt idx="1">
                  <c:v>-35221.431194171077</c:v>
                </c:pt>
              </c:numCache>
            </c:numRef>
          </c:val>
          <c:extLst>
            <c:ext xmlns:c16="http://schemas.microsoft.com/office/drawing/2014/chart" uri="{C3380CC4-5D6E-409C-BE32-E72D297353CC}">
              <c16:uniqueId val="{00000000-3CD4-2546-A1A4-A931DA3D9B56}"/>
            </c:ext>
          </c:extLst>
        </c:ser>
        <c:ser>
          <c:idx val="1"/>
          <c:order val="1"/>
          <c:tx>
            <c:v>95 percentile</c:v>
          </c:tx>
          <c:spPr>
            <a:solidFill>
              <a:schemeClr val="accent5">
                <a:lumMod val="60000"/>
                <a:lumOff val="40000"/>
              </a:schemeClr>
            </a:solidFill>
            <a:ln>
              <a:noFill/>
            </a:ln>
            <a:effectLst/>
          </c:spPr>
          <c:invertIfNegative val="0"/>
          <c:cat>
            <c:strRef>
              <c:f>'QM Simulation Summary Stats'!$B$24:$E$24</c:f>
              <c:strCache>
                <c:ptCount val="2"/>
                <c:pt idx="0">
                  <c:v>Segment Size</c:v>
                </c:pt>
                <c:pt idx="1">
                  <c:v>Floor Worker Hourly Wage</c:v>
                </c:pt>
              </c:strCache>
            </c:strRef>
          </c:cat>
          <c:val>
            <c:numRef>
              <c:f>'QM Simulation Summary Stats'!$B$26:$E$26</c:f>
              <c:numCache>
                <c:formatCode>"$"#,##0</c:formatCode>
                <c:ptCount val="4"/>
                <c:pt idx="0">
                  <c:v>917827.00265572919</c:v>
                </c:pt>
                <c:pt idx="1">
                  <c:v>248575.17491386551</c:v>
                </c:pt>
              </c:numCache>
            </c:numRef>
          </c:val>
          <c:extLst>
            <c:ext xmlns:c16="http://schemas.microsoft.com/office/drawing/2014/chart" uri="{C3380CC4-5D6E-409C-BE32-E72D297353CC}">
              <c16:uniqueId val="{00000001-3CD4-2546-A1A4-A931DA3D9B56}"/>
            </c:ext>
          </c:extLst>
        </c:ser>
        <c:dLbls>
          <c:showLegendKey val="0"/>
          <c:showVal val="0"/>
          <c:showCatName val="0"/>
          <c:showSerName val="0"/>
          <c:showPercent val="0"/>
          <c:showBubbleSize val="0"/>
        </c:dLbls>
        <c:gapWidth val="182"/>
        <c:overlap val="100"/>
        <c:axId val="1511816432"/>
        <c:axId val="1511809360"/>
      </c:barChart>
      <c:catAx>
        <c:axId val="151181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511809360"/>
        <c:crosses val="autoZero"/>
        <c:auto val="0"/>
        <c:lblAlgn val="ctr"/>
        <c:lblOffset val="100"/>
        <c:noMultiLvlLbl val="0"/>
      </c:catAx>
      <c:valAx>
        <c:axId val="1511809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1181643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Input Distribution</cx:v>
        </cx:txData>
      </cx:tx>
      <cx:txPr>
        <a:bodyPr spcFirstLastPara="1" vertOverflow="ellipsis" wrap="square" lIns="0" tIns="0" rIns="0" bIns="0" anchor="ctr" anchorCtr="1"/>
        <a:lstStyle/>
        <a:p>
          <a:pPr algn="ctr">
            <a:defRPr/>
          </a:pPr>
          <a:r>
            <a:rPr lang="en-US" sz="1800">
              <a:solidFill>
                <a:schemeClr val="tx1"/>
              </a:solidFill>
            </a:rPr>
            <a:t>Input Distribution</a:t>
          </a:r>
        </a:p>
      </cx:txPr>
    </cx:title>
    <cx:plotArea>
      <cx:plotAreaRegion>
        <cx:series layoutId="clusteredColumn" uniqueId="{1418BF52-85C3-4B1F-B987-BD404AFD1112}">
          <cx:dataId val="0"/>
          <cx:layoutPr>
            <cx:binning intervalClosed="r"/>
          </cx:layoutPr>
        </cx:series>
      </cx:plotAreaRegion>
      <cx:axis id="0">
        <cx:catScaling gapWidth="0"/>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axis id="1">
        <cx:valScaling/>
        <cx:majorGridlines/>
        <cx:tickLabels/>
        <cx:txPr>
          <a:bodyPr spcFirstLastPara="1" vertOverflow="ellipsis" wrap="square" lIns="0" tIns="0" rIns="0" bIns="0" anchor="ctr" anchorCtr="1"/>
          <a:lstStyle/>
          <a:p>
            <a:pPr>
              <a:defRPr sz="1200">
                <a:solidFill>
                  <a:schemeClr val="tx1"/>
                </a:solidFill>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Output Distribution (NPV)</cx:v>
        </cx:txData>
      </cx:tx>
      <cx:txPr>
        <a:bodyPr spcFirstLastPara="1" vertOverflow="ellipsis" wrap="square" lIns="0" tIns="0" rIns="0" bIns="0" anchor="ctr" anchorCtr="1"/>
        <a:lstStyle/>
        <a:p>
          <a:pPr algn="ctr">
            <a:defRPr/>
          </a:pPr>
          <a:r>
            <a:rPr lang="en-US" sz="2000">
              <a:solidFill>
                <a:schemeClr val="tx1"/>
              </a:solidFill>
            </a:rPr>
            <a:t>Output Distribution (NPV)</a:t>
          </a:r>
        </a:p>
      </cx:txPr>
    </cx:title>
    <cx:plotArea>
      <cx:plotAreaRegion>
        <cx:series layoutId="clusteredColumn" uniqueId="{B4AA2F7D-F7A6-400D-B2F9-841C62E989F3}">
          <cx:dataId val="0"/>
          <cx:layoutPr>
            <cx:binning intervalClosed="r"/>
          </cx:layoutPr>
        </cx:series>
      </cx:plotAreaRegion>
      <cx:axis id="0">
        <cx:catScaling gapWidth="0"/>
        <cx:tickLabels/>
        <cx:txPr>
          <a:bodyPr spcFirstLastPara="1" vertOverflow="ellipsis" wrap="square" lIns="0" tIns="0" rIns="0" bIns="0" anchor="ctr" anchorCtr="1"/>
          <a:lstStyle/>
          <a:p>
            <a:pPr>
              <a:defRPr lang="en-US" sz="900" b="0" i="0" u="none" strike="noStrike" kern="1200" baseline="0">
                <a:solidFill>
                  <a:schemeClr val="tx1"/>
                </a:solidFill>
                <a:latin typeface="Calibri" panose="020F0502020204030204"/>
              </a:defRPr>
            </a:pPr>
            <a:endParaRPr lang="en-US" sz="900">
              <a:solidFill>
                <a:schemeClr val="tx1"/>
              </a:solidFill>
            </a:endParaRPr>
          </a:p>
        </cx:txPr>
      </cx:axis>
      <cx:axis id="1">
        <cx:valScaling/>
        <cx:majorGridlines/>
        <cx:tickLabels/>
        <cx:txPr>
          <a:bodyPr spcFirstLastPara="1" vertOverflow="ellipsis" wrap="square" lIns="0" tIns="0" rIns="0" bIns="0" anchor="ctr" anchorCtr="1"/>
          <a:lstStyle/>
          <a:p>
            <a:pPr>
              <a:defRPr lang="en-US" sz="1200" b="0" i="0" u="none" strike="noStrike" kern="1200" baseline="0">
                <a:solidFill>
                  <a:schemeClr val="tx1"/>
                </a:solidFill>
                <a:latin typeface="Calibri" panose="020F0502020204030204"/>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Input Distribution</cx:v>
        </cx:txData>
      </cx:tx>
      <cx:txPr>
        <a:bodyPr spcFirstLastPara="1" vertOverflow="ellipsis" wrap="square" lIns="0" tIns="0" rIns="0" bIns="0" anchor="ctr" anchorCtr="1"/>
        <a:lstStyle/>
        <a:p>
          <a:pPr algn="ctr">
            <a:defRPr/>
          </a:pPr>
          <a:r>
            <a:rPr lang="en-US" sz="1800">
              <a:solidFill>
                <a:schemeClr val="tx1"/>
              </a:solidFill>
            </a:rPr>
            <a:t>Input Distribution</a:t>
          </a:r>
        </a:p>
      </cx:txPr>
    </cx:title>
    <cx:plotArea>
      <cx:plotAreaRegion>
        <cx:series layoutId="clusteredColumn" uniqueId="{1418BF52-85C3-4B1F-B987-BD404AFD1112}">
          <cx:dataId val="0"/>
          <cx:layoutPr>
            <cx:binning intervalClosed="r"/>
          </cx:layoutPr>
        </cx:series>
      </cx:plotAreaRegion>
      <cx:axis id="0">
        <cx:catScaling gapWidth="0"/>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axis id="1">
        <cx:valScaling/>
        <cx:majorGridlines/>
        <cx:tickLabels/>
        <cx:txPr>
          <a:bodyPr spcFirstLastPara="1" vertOverflow="ellipsis" wrap="square" lIns="0" tIns="0" rIns="0" bIns="0" anchor="ctr" anchorCtr="1"/>
          <a:lstStyle/>
          <a:p>
            <a:pPr>
              <a:defRPr sz="1200">
                <a:solidFill>
                  <a:schemeClr val="tx1"/>
                </a:solidFill>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Output Distribution (NPV)</cx:v>
        </cx:txData>
      </cx:tx>
      <cx:txPr>
        <a:bodyPr spcFirstLastPara="1" vertOverflow="ellipsis" wrap="square" lIns="0" tIns="0" rIns="0" bIns="0" anchor="ctr" anchorCtr="1"/>
        <a:lstStyle/>
        <a:p>
          <a:pPr algn="ctr">
            <a:defRPr/>
          </a:pPr>
          <a:r>
            <a:rPr lang="en-US" sz="2000">
              <a:solidFill>
                <a:schemeClr val="tx1"/>
              </a:solidFill>
            </a:rPr>
            <a:t>Output Distribution (NPV)</a:t>
          </a:r>
        </a:p>
      </cx:txPr>
    </cx:title>
    <cx:plotArea>
      <cx:plotAreaRegion>
        <cx:series layoutId="clusteredColumn" uniqueId="{B4AA2F7D-F7A6-400D-B2F9-841C62E989F3}">
          <cx:dataId val="0"/>
          <cx:layoutPr>
            <cx:binning intervalClosed="r"/>
          </cx:layoutPr>
        </cx:series>
      </cx:plotAreaRegion>
      <cx:axis id="0">
        <cx:catScaling gapWidth="0"/>
        <cx:tickLabels/>
        <cx:txPr>
          <a:bodyPr spcFirstLastPara="1" vertOverflow="ellipsis" wrap="square" lIns="0" tIns="0" rIns="0" bIns="0" anchor="ctr" anchorCtr="1"/>
          <a:lstStyle/>
          <a:p>
            <a:pPr>
              <a:defRPr lang="en-US" sz="900" b="0" i="0" u="none" strike="noStrike" kern="1200" baseline="0">
                <a:solidFill>
                  <a:schemeClr val="tx1"/>
                </a:solidFill>
                <a:latin typeface="Calibri" panose="020F0502020204030204"/>
              </a:defRPr>
            </a:pPr>
            <a:endParaRPr lang="en-US" sz="900">
              <a:solidFill>
                <a:schemeClr val="tx1"/>
              </a:solidFill>
            </a:endParaRPr>
          </a:p>
        </cx:txPr>
      </cx:axis>
      <cx:axis id="1">
        <cx:valScaling/>
        <cx:majorGridlines/>
        <cx:tickLabels/>
        <cx:txPr>
          <a:bodyPr spcFirstLastPara="1" vertOverflow="ellipsis" wrap="square" lIns="0" tIns="0" rIns="0" bIns="0" anchor="ctr" anchorCtr="1"/>
          <a:lstStyle/>
          <a:p>
            <a:pPr>
              <a:defRPr lang="en-US" sz="1200" b="0" i="0" u="none" strike="noStrike" kern="1200" baseline="0">
                <a:solidFill>
                  <a:schemeClr val="tx1"/>
                </a:solidFill>
                <a:latin typeface="Calibri" panose="020F0502020204030204"/>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Input Distribution</cx:v>
        </cx:txData>
      </cx:tx>
      <cx:txPr>
        <a:bodyPr spcFirstLastPara="1" vertOverflow="ellipsis" wrap="square" lIns="0" tIns="0" rIns="0" bIns="0" anchor="ctr" anchorCtr="1"/>
        <a:lstStyle/>
        <a:p>
          <a:pPr algn="ctr">
            <a:defRPr/>
          </a:pPr>
          <a:r>
            <a:rPr lang="en-US" sz="1800">
              <a:solidFill>
                <a:schemeClr val="tx1"/>
              </a:solidFill>
            </a:rPr>
            <a:t>Input Distribution</a:t>
          </a:r>
        </a:p>
      </cx:txPr>
    </cx:title>
    <cx:plotArea>
      <cx:plotAreaRegion>
        <cx:series layoutId="clusteredColumn" uniqueId="{1418BF52-85C3-4B1F-B987-BD404AFD1112}">
          <cx:dataId val="0"/>
          <cx:layoutPr>
            <cx:binning intervalClosed="r"/>
          </cx:layoutPr>
        </cx:series>
      </cx:plotAreaRegion>
      <cx:axis id="0">
        <cx:catScaling gapWidth="0"/>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axis id="1">
        <cx:valScaling/>
        <cx:majorGridlines/>
        <cx:tickLabels/>
        <cx:txPr>
          <a:bodyPr spcFirstLastPara="1" vertOverflow="ellipsis" wrap="square" lIns="0" tIns="0" rIns="0" bIns="0" anchor="ctr" anchorCtr="1"/>
          <a:lstStyle/>
          <a:p>
            <a:pPr>
              <a:defRPr sz="1200">
                <a:solidFill>
                  <a:schemeClr val="tx1"/>
                </a:solidFill>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Output Distribution (NPV)</cx:v>
        </cx:txData>
      </cx:tx>
      <cx:txPr>
        <a:bodyPr spcFirstLastPara="1" vertOverflow="ellipsis" wrap="square" lIns="0" tIns="0" rIns="0" bIns="0" anchor="ctr" anchorCtr="1"/>
        <a:lstStyle/>
        <a:p>
          <a:pPr algn="ctr">
            <a:defRPr/>
          </a:pPr>
          <a:r>
            <a:rPr lang="en-US" sz="2000">
              <a:solidFill>
                <a:schemeClr val="tx1"/>
              </a:solidFill>
            </a:rPr>
            <a:t>Output Distribution (NPV)</a:t>
          </a:r>
        </a:p>
      </cx:txPr>
    </cx:title>
    <cx:plotArea>
      <cx:plotAreaRegion>
        <cx:series layoutId="clusteredColumn" uniqueId="{B4AA2F7D-F7A6-400D-B2F9-841C62E989F3}">
          <cx:dataId val="0"/>
          <cx:layoutPr>
            <cx:binning intervalClosed="r"/>
          </cx:layoutPr>
        </cx:series>
      </cx:plotAreaRegion>
      <cx:axis id="0">
        <cx:catScaling gapWidth="0"/>
        <cx:tickLabels/>
        <cx:txPr>
          <a:bodyPr spcFirstLastPara="1" vertOverflow="ellipsis" wrap="square" lIns="0" tIns="0" rIns="0" bIns="0" anchor="ctr" anchorCtr="1"/>
          <a:lstStyle/>
          <a:p>
            <a:pPr>
              <a:defRPr lang="en-US" sz="900" b="0" i="0" u="none" strike="noStrike" kern="1200" baseline="0">
                <a:solidFill>
                  <a:schemeClr val="tx1"/>
                </a:solidFill>
                <a:latin typeface="Calibri" panose="020F0502020204030204"/>
              </a:defRPr>
            </a:pPr>
            <a:endParaRPr lang="en-US" sz="900">
              <a:solidFill>
                <a:schemeClr val="tx1"/>
              </a:solidFill>
            </a:endParaRPr>
          </a:p>
        </cx:txPr>
      </cx:axis>
      <cx:axis id="1">
        <cx:valScaling/>
        <cx:majorGridlines/>
        <cx:tickLabels/>
        <cx:txPr>
          <a:bodyPr spcFirstLastPara="1" vertOverflow="ellipsis" wrap="square" lIns="0" tIns="0" rIns="0" bIns="0" anchor="ctr" anchorCtr="1"/>
          <a:lstStyle/>
          <a:p>
            <a:pPr>
              <a:defRPr lang="en-US" sz="1200" b="0" i="0" u="none" strike="noStrike" kern="1200" baseline="0">
                <a:solidFill>
                  <a:schemeClr val="tx1"/>
                </a:solidFill>
                <a:latin typeface="Calibri" panose="020F0502020204030204"/>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Input Distribution</cx:v>
        </cx:txData>
      </cx:tx>
      <cx:txPr>
        <a:bodyPr spcFirstLastPara="1" vertOverflow="ellipsis" wrap="square" lIns="0" tIns="0" rIns="0" bIns="0" anchor="ctr" anchorCtr="1"/>
        <a:lstStyle/>
        <a:p>
          <a:pPr algn="ctr">
            <a:defRPr/>
          </a:pPr>
          <a:r>
            <a:rPr lang="en-US" sz="1800">
              <a:solidFill>
                <a:schemeClr val="tx1"/>
              </a:solidFill>
            </a:rPr>
            <a:t>Input Distribution</a:t>
          </a:r>
        </a:p>
      </cx:txPr>
    </cx:title>
    <cx:plotArea>
      <cx:plotAreaRegion>
        <cx:series layoutId="clusteredColumn" uniqueId="{1418BF52-85C3-4B1F-B987-BD404AFD1112}">
          <cx:dataId val="0"/>
          <cx:layoutPr>
            <cx:binning intervalClosed="r"/>
          </cx:layoutPr>
        </cx:series>
      </cx:plotAreaRegion>
      <cx:axis id="0">
        <cx:catScaling gapWidth="0"/>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axis id="1">
        <cx:valScaling/>
        <cx:majorGridlines/>
        <cx:tickLabels/>
        <cx:txPr>
          <a:bodyPr spcFirstLastPara="1" vertOverflow="ellipsis" wrap="square" lIns="0" tIns="0" rIns="0" bIns="0" anchor="ctr" anchorCtr="1"/>
          <a:lstStyle/>
          <a:p>
            <a:pPr>
              <a:defRPr sz="1200">
                <a:solidFill>
                  <a:schemeClr val="tx1"/>
                </a:solidFill>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Output Distribution (NPV)</cx:v>
        </cx:txData>
      </cx:tx>
      <cx:txPr>
        <a:bodyPr spcFirstLastPara="1" vertOverflow="ellipsis" wrap="square" lIns="0" tIns="0" rIns="0" bIns="0" anchor="ctr" anchorCtr="1"/>
        <a:lstStyle/>
        <a:p>
          <a:pPr algn="ctr">
            <a:defRPr/>
          </a:pPr>
          <a:r>
            <a:rPr lang="en-US" sz="2000">
              <a:solidFill>
                <a:schemeClr val="tx1"/>
              </a:solidFill>
            </a:rPr>
            <a:t>Output Distribution (NPV)</a:t>
          </a:r>
        </a:p>
      </cx:txPr>
    </cx:title>
    <cx:plotArea>
      <cx:plotAreaRegion>
        <cx:series layoutId="clusteredColumn" uniqueId="{B4AA2F7D-F7A6-400D-B2F9-841C62E989F3}">
          <cx:dataId val="0"/>
          <cx:layoutPr>
            <cx:binning intervalClosed="r"/>
          </cx:layoutPr>
        </cx:series>
      </cx:plotAreaRegion>
      <cx:axis id="0">
        <cx:catScaling gapWidth="0"/>
        <cx:tickLabels/>
        <cx:txPr>
          <a:bodyPr spcFirstLastPara="1" vertOverflow="ellipsis" wrap="square" lIns="0" tIns="0" rIns="0" bIns="0" anchor="ctr" anchorCtr="1"/>
          <a:lstStyle/>
          <a:p>
            <a:pPr>
              <a:defRPr lang="en-US" sz="900" b="0" i="0" u="none" strike="noStrike" kern="1200" baseline="0">
                <a:solidFill>
                  <a:schemeClr val="tx1"/>
                </a:solidFill>
                <a:latin typeface="Calibri" panose="020F0502020204030204"/>
              </a:defRPr>
            </a:pPr>
            <a:endParaRPr lang="en-US" sz="900">
              <a:solidFill>
                <a:schemeClr val="tx1"/>
              </a:solidFill>
            </a:endParaRPr>
          </a:p>
        </cx:txPr>
      </cx:axis>
      <cx:axis id="1">
        <cx:valScaling/>
        <cx:majorGridlines/>
        <cx:tickLabels/>
        <cx:txPr>
          <a:bodyPr spcFirstLastPara="1" vertOverflow="ellipsis" wrap="square" lIns="0" tIns="0" rIns="0" bIns="0" anchor="ctr" anchorCtr="1"/>
          <a:lstStyle/>
          <a:p>
            <a:pPr>
              <a:defRPr lang="en-US" sz="1200" b="0" i="0" u="none" strike="noStrike" kern="1200" baseline="0">
                <a:solidFill>
                  <a:schemeClr val="tx1"/>
                </a:solidFill>
                <a:latin typeface="Calibri" panose="020F0502020204030204"/>
              </a:defRPr>
            </a:pPr>
            <a:endParaRPr lang="en-US" sz="1200">
              <a:solidFill>
                <a:schemeClr val="tx1"/>
              </a:solidFill>
            </a:endParaRPr>
          </a:p>
        </cx:txPr>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2" Type="http://schemas.microsoft.com/office/2014/relationships/chartEx" Target="../charts/chartEx6.xml"/><Relationship Id="rId1" Type="http://schemas.microsoft.com/office/2014/relationships/chartEx" Target="../charts/chartEx5.xml"/></Relationships>
</file>

<file path=xl/drawings/_rels/drawing8.xml.rels><?xml version="1.0" encoding="UTF-8" standalone="yes"?>
<Relationships xmlns="http://schemas.openxmlformats.org/package/2006/relationships"><Relationship Id="rId2" Type="http://schemas.microsoft.com/office/2014/relationships/chartEx" Target="../charts/chartEx8.xml"/><Relationship Id="rId1" Type="http://schemas.microsoft.com/office/2014/relationships/chartEx" Target="../charts/chartEx7.xml"/></Relationships>
</file>

<file path=xl/drawings/drawing1.xml><?xml version="1.0" encoding="utf-8"?>
<xdr:wsDr xmlns:xdr="http://schemas.openxmlformats.org/drawingml/2006/spreadsheetDrawing" xmlns:a="http://schemas.openxmlformats.org/drawingml/2006/main">
  <xdr:twoCellAnchor>
    <xdr:from>
      <xdr:col>2</xdr:col>
      <xdr:colOff>266700</xdr:colOff>
      <xdr:row>23</xdr:row>
      <xdr:rowOff>28575</xdr:rowOff>
    </xdr:from>
    <xdr:to>
      <xdr:col>7</xdr:col>
      <xdr:colOff>428625</xdr:colOff>
      <xdr:row>36</xdr:row>
      <xdr:rowOff>171450</xdr:rowOff>
    </xdr:to>
    <xdr:graphicFrame macro="">
      <xdr:nvGraphicFramePr>
        <xdr:cNvPr id="2" name="Chart 2">
          <a:extLst>
            <a:ext uri="{FF2B5EF4-FFF2-40B4-BE49-F238E27FC236}">
              <a16:creationId xmlns:a16="http://schemas.microsoft.com/office/drawing/2014/main" id="{004F0D06-9937-C94B-E942-1A033CCBD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29</xdr:row>
      <xdr:rowOff>180975</xdr:rowOff>
    </xdr:from>
    <xdr:to>
      <xdr:col>4</xdr:col>
      <xdr:colOff>123825</xdr:colOff>
      <xdr:row>54</xdr:row>
      <xdr:rowOff>85725</xdr:rowOff>
    </xdr:to>
    <xdr:pic>
      <xdr:nvPicPr>
        <xdr:cNvPr id="11" name="Picture 1">
          <a:extLst>
            <a:ext uri="{FF2B5EF4-FFF2-40B4-BE49-F238E27FC236}">
              <a16:creationId xmlns:a16="http://schemas.microsoft.com/office/drawing/2014/main" id="{28ED7677-4776-4020-91A0-CC9AA3E03304}"/>
            </a:ext>
          </a:extLst>
        </xdr:cNvPr>
        <xdr:cNvPicPr>
          <a:picLocks noChangeAspect="1"/>
        </xdr:cNvPicPr>
      </xdr:nvPicPr>
      <xdr:blipFill>
        <a:blip xmlns:r="http://schemas.openxmlformats.org/officeDocument/2006/relationships" r:embed="rId1"/>
        <a:stretch>
          <a:fillRect/>
        </a:stretch>
      </xdr:blipFill>
      <xdr:spPr>
        <a:xfrm>
          <a:off x="95250" y="5981700"/>
          <a:ext cx="6705600" cy="4905375"/>
        </a:xfrm>
        <a:prstGeom prst="rect">
          <a:avLst/>
        </a:prstGeom>
      </xdr:spPr>
    </xdr:pic>
    <xdr:clientData/>
  </xdr:twoCellAnchor>
  <xdr:twoCellAnchor editAs="oneCell">
    <xdr:from>
      <xdr:col>4</xdr:col>
      <xdr:colOff>285750</xdr:colOff>
      <xdr:row>29</xdr:row>
      <xdr:rowOff>142875</xdr:rowOff>
    </xdr:from>
    <xdr:to>
      <xdr:col>8</xdr:col>
      <xdr:colOff>352425</xdr:colOff>
      <xdr:row>54</xdr:row>
      <xdr:rowOff>133350</xdr:rowOff>
    </xdr:to>
    <xdr:pic>
      <xdr:nvPicPr>
        <xdr:cNvPr id="15" name="Picture 2">
          <a:extLst>
            <a:ext uri="{FF2B5EF4-FFF2-40B4-BE49-F238E27FC236}">
              <a16:creationId xmlns:a16="http://schemas.microsoft.com/office/drawing/2014/main" id="{5A4CE01E-38CE-AD5E-86FF-5B19D2DC5EE4}"/>
            </a:ext>
            <a:ext uri="{147F2762-F138-4A5C-976F-8EAC2B608ADB}">
              <a16:predDERef xmlns:a16="http://schemas.microsoft.com/office/drawing/2014/main" pred="{28ED7677-4776-4020-91A0-CC9AA3E03304}"/>
            </a:ext>
          </a:extLst>
        </xdr:cNvPr>
        <xdr:cNvPicPr>
          <a:picLocks noChangeAspect="1"/>
        </xdr:cNvPicPr>
      </xdr:nvPicPr>
      <xdr:blipFill>
        <a:blip xmlns:r="http://schemas.openxmlformats.org/officeDocument/2006/relationships" r:embed="rId2"/>
        <a:stretch>
          <a:fillRect/>
        </a:stretch>
      </xdr:blipFill>
      <xdr:spPr>
        <a:xfrm>
          <a:off x="6962775" y="5943600"/>
          <a:ext cx="6562725" cy="4991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0</xdr:colOff>
      <xdr:row>26</xdr:row>
      <xdr:rowOff>0</xdr:rowOff>
    </xdr:from>
    <xdr:to>
      <xdr:col>15</xdr:col>
      <xdr:colOff>895350</xdr:colOff>
      <xdr:row>38</xdr:row>
      <xdr:rowOff>66675</xdr:rowOff>
    </xdr:to>
    <xdr:pic>
      <xdr:nvPicPr>
        <xdr:cNvPr id="5" name="Picture 1">
          <a:extLst>
            <a:ext uri="{FF2B5EF4-FFF2-40B4-BE49-F238E27FC236}">
              <a16:creationId xmlns:a16="http://schemas.microsoft.com/office/drawing/2014/main" id="{52518ACB-953A-4E2C-BF21-39D9C36E83D8}"/>
            </a:ext>
            <a:ext uri="{147F2762-F138-4A5C-976F-8EAC2B608ADB}">
              <a16:predDERef xmlns:a16="http://schemas.microsoft.com/office/drawing/2014/main" pred="{F6D425AB-5252-330C-C4C8-3EC4175B6D6F}"/>
            </a:ext>
          </a:extLst>
        </xdr:cNvPr>
        <xdr:cNvPicPr>
          <a:picLocks noChangeAspect="1"/>
        </xdr:cNvPicPr>
      </xdr:nvPicPr>
      <xdr:blipFill>
        <a:blip xmlns:r="http://schemas.openxmlformats.org/officeDocument/2006/relationships" r:embed="rId1"/>
        <a:stretch>
          <a:fillRect/>
        </a:stretch>
      </xdr:blipFill>
      <xdr:spPr>
        <a:xfrm>
          <a:off x="7543800" y="2476500"/>
          <a:ext cx="4562475" cy="2466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13</xdr:row>
      <xdr:rowOff>0</xdr:rowOff>
    </xdr:from>
    <xdr:to>
      <xdr:col>13</xdr:col>
      <xdr:colOff>203200</xdr:colOff>
      <xdr:row>37</xdr:row>
      <xdr:rowOff>177800</xdr:rowOff>
    </xdr:to>
    <mc:AlternateContent xmlns:mc="http://schemas.openxmlformats.org/markup-compatibility/2006">
      <mc:Choice xmlns:cx1="http://schemas.microsoft.com/office/drawing/2015/9/8/chartex" Requires="cx1">
        <xdr:graphicFrame macro="">
          <xdr:nvGraphicFramePr>
            <xdr:cNvPr id="6" name="Chart 1">
              <a:extLst>
                <a:ext uri="{FF2B5EF4-FFF2-40B4-BE49-F238E27FC236}">
                  <a16:creationId xmlns:a16="http://schemas.microsoft.com/office/drawing/2014/main" id="{663E8386-AB31-6E4A-868D-FFB9BF9172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44</xdr:row>
      <xdr:rowOff>0</xdr:rowOff>
    </xdr:from>
    <xdr:to>
      <xdr:col>13</xdr:col>
      <xdr:colOff>174625</xdr:colOff>
      <xdr:row>62</xdr:row>
      <xdr:rowOff>158750</xdr:rowOff>
    </xdr:to>
    <mc:AlternateContent xmlns:mc="http://schemas.openxmlformats.org/markup-compatibility/2006">
      <mc:Choice xmlns:cx1="http://schemas.microsoft.com/office/drawing/2015/9/8/chartex" Requires="cx1">
        <xdr:graphicFrame macro="">
          <xdr:nvGraphicFramePr>
            <xdr:cNvPr id="7" name="Chart 2">
              <a:extLst>
                <a:ext uri="{FF2B5EF4-FFF2-40B4-BE49-F238E27FC236}">
                  <a16:creationId xmlns:a16="http://schemas.microsoft.com/office/drawing/2014/main" id="{8206E206-EB34-2E41-8E76-585B1C28A0AA}"/>
                </a:ext>
                <a:ext uri="{147F2762-F138-4A5C-976F-8EAC2B608ADB}">
                  <a16:predDERef xmlns:a16="http://schemas.microsoft.com/office/drawing/2014/main" pred="{663E8386-AB31-6E4A-868D-FFB9BF9172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409575</xdr:colOff>
      <xdr:row>3</xdr:row>
      <xdr:rowOff>42862</xdr:rowOff>
    </xdr:from>
    <xdr:to>
      <xdr:col>12</xdr:col>
      <xdr:colOff>257175</xdr:colOff>
      <xdr:row>31</xdr:row>
      <xdr:rowOff>0</xdr:rowOff>
    </xdr:to>
    <xdr:graphicFrame macro="">
      <xdr:nvGraphicFramePr>
        <xdr:cNvPr id="3" name="Chart 1">
          <a:extLst>
            <a:ext uri="{FF2B5EF4-FFF2-40B4-BE49-F238E27FC236}">
              <a16:creationId xmlns:a16="http://schemas.microsoft.com/office/drawing/2014/main" id="{69982E94-758D-D741-B128-B03BD1B72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13</xdr:row>
      <xdr:rowOff>0</xdr:rowOff>
    </xdr:from>
    <xdr:to>
      <xdr:col>13</xdr:col>
      <xdr:colOff>203200</xdr:colOff>
      <xdr:row>37</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73DEA84-6019-4EB6-8C9A-35929B842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781050</xdr:colOff>
      <xdr:row>44</xdr:row>
      <xdr:rowOff>0</xdr:rowOff>
    </xdr:from>
    <xdr:to>
      <xdr:col>16</xdr:col>
      <xdr:colOff>571500</xdr:colOff>
      <xdr:row>73</xdr:row>
      <xdr:rowOff>85725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C12BF1-4117-4C0C-BB0F-5377C34ECE60}"/>
                </a:ext>
                <a:ext uri="{147F2762-F138-4A5C-976F-8EAC2B608ADB}">
                  <a16:predDERef xmlns:a16="http://schemas.microsoft.com/office/drawing/2014/main" pred="{873DEA84-6019-4EB6-8C9A-35929B842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13</xdr:row>
      <xdr:rowOff>0</xdr:rowOff>
    </xdr:from>
    <xdr:to>
      <xdr:col>13</xdr:col>
      <xdr:colOff>203200</xdr:colOff>
      <xdr:row>37</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F0D1AE-B4C7-4C15-B088-E3033774A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44</xdr:row>
      <xdr:rowOff>0</xdr:rowOff>
    </xdr:from>
    <xdr:to>
      <xdr:col>14</xdr:col>
      <xdr:colOff>209550</xdr:colOff>
      <xdr:row>67</xdr:row>
      <xdr:rowOff>9525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F4619CD-077B-4907-B24F-DBDF84F1CABB}"/>
                </a:ext>
                <a:ext uri="{147F2762-F138-4A5C-976F-8EAC2B608ADB}">
                  <a16:predDERef xmlns:a16="http://schemas.microsoft.com/office/drawing/2014/main" pred="{E7F0D1AE-B4C7-4C15-B088-E3033774A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13</xdr:row>
      <xdr:rowOff>0</xdr:rowOff>
    </xdr:from>
    <xdr:to>
      <xdr:col>13</xdr:col>
      <xdr:colOff>203200</xdr:colOff>
      <xdr:row>37</xdr:row>
      <xdr:rowOff>177800</xdr:rowOff>
    </xdr:to>
    <mc:AlternateContent xmlns:mc="http://schemas.openxmlformats.org/markup-compatibility/2006">
      <mc:Choice xmlns:cx1="http://schemas.microsoft.com/office/drawing/2015/9/8/chartex" Requires="cx1">
        <xdr:graphicFrame macro="">
          <xdr:nvGraphicFramePr>
            <xdr:cNvPr id="4" name="Chart 1">
              <a:extLst>
                <a:ext uri="{FF2B5EF4-FFF2-40B4-BE49-F238E27FC236}">
                  <a16:creationId xmlns:a16="http://schemas.microsoft.com/office/drawing/2014/main" id="{05D94C1B-51D4-4A18-B5CA-4F1EBA5917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44</xdr:row>
      <xdr:rowOff>0</xdr:rowOff>
    </xdr:from>
    <xdr:to>
      <xdr:col>17</xdr:col>
      <xdr:colOff>219075</xdr:colOff>
      <xdr:row>76</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13721B9-7804-43C3-8685-E66C0AAA02F7}"/>
                </a:ext>
                <a:ext uri="{147F2762-F138-4A5C-976F-8EAC2B608ADB}">
                  <a16:predDERef xmlns:a16="http://schemas.microsoft.com/office/drawing/2014/main" pred="{05D94C1B-51D4-4A18-B5CA-4F1EBA5917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el, Mia, Lucia" id="{61DE8ACC-11F4-4709-AA8E-BCB51A0276CD}" userId="S::miarael@bu.edu::d8307ee5-bdf1-4445-9855-d0a7a146ba21" providerId="AD"/>
  <person displayName="Wang, Lillian" id="{7C6CD981-7A80-4D45-96D3-E882799381AA}" userId="S::lillian1@bu.edu::27566ed8-c121-4129-8ef0-14458806498c" providerId="AD"/>
  <person displayName="Chen, Jiaying" id="{37180A89-FE27-412F-AF7B-47DADF48E90D}" userId="S::stellacc@bu.edu::ed596a48-32a0-4738-87bd-d86eb0a591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5A4F52D-9375-425D-B3C9-8ABC33938FBE}" name="Table7" displayName="Table7" ref="B7:G13" totalsRowShown="0" headerRowDxfId="15">
  <autoFilter ref="B7:G13" xr:uid="{15A4F52D-9375-425D-B3C9-8ABC33938FBE}"/>
  <tableColumns count="6">
    <tableColumn id="1" xr3:uid="{45985961-1A0D-48BE-9400-3F03E6C3E17B}" name=" " dataDxfId="14"/>
    <tableColumn id="2" xr3:uid="{4D59FE0C-34A5-4473-851B-9C0E31A1B80B}" name="High Price" dataDxfId="13"/>
    <tableColumn id="3" xr3:uid="{93CB15E4-A462-4A74-818B-4FEB74FA5ACF}" name="Low Price" dataDxfId="12"/>
    <tableColumn id="4" xr3:uid="{19EE0C92-79EC-4153-A2AC-7E5A3AA788E4}" name="Size" dataDxfId="11"/>
    <tableColumn id="5" xr3:uid="{E3502B6E-0D18-4616-A1D4-0F6BB9571903}" name="Durability" dataDxfId="10"/>
    <tableColumn id="6" xr3:uid="{02B24E8F-7908-4152-BD42-FADE6773BC9D}" name="Resuability"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2F227A-3698-4F4A-88E9-1448104CD8D8}" name="Table1" displayName="Table1" ref="D23:I69" totalsRowShown="0" headerRowDxfId="8" dataDxfId="7" tableBorderDxfId="6">
  <autoFilter ref="D23:I69" xr:uid="{DF2F227A-3698-4F4A-88E9-1448104CD8D8}"/>
  <tableColumns count="6">
    <tableColumn id="1" xr3:uid="{CA099831-7084-4D3C-994A-85475135A8FE}" name="Record ID" dataDxfId="5"/>
    <tableColumn id="2" xr3:uid="{FC8FDAF7-CFF0-47C8-80CC-AABD3483CD23}" name="Cluster" dataDxfId="4"/>
    <tableColumn id="3" xr3:uid="{76F4DCDD-47E6-4EAB-8590-5AC33D7EF681}" name="Dist.Cluster-1" dataDxfId="3"/>
    <tableColumn id="4" xr3:uid="{C55835BD-79DC-4EB6-BBB8-6386840758BC}" name="Dist.Cluster-2" dataDxfId="2"/>
    <tableColumn id="5" xr3:uid="{EDD459B1-CF7D-48D9-9A8A-9BF51A9B4DBD}" name="size" dataDxfId="1"/>
    <tableColumn id="6" xr3:uid="{E793EC44-8A44-4398-A85C-E9A6DE95BDCC}" name="reusabilit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4" dT="2023-04-10T18:48:02.83" personId="{61DE8ACC-11F4-4709-AA8E-BCB51A0276CD}" id="{B2BAC6AF-19D7-4301-957D-AFDECD897CF6}">
    <text>fill in</text>
  </threadedComment>
</ThreadedComments>
</file>

<file path=xl/threadedComments/threadedComment2.xml><?xml version="1.0" encoding="utf-8"?>
<ThreadedComments xmlns="http://schemas.microsoft.com/office/spreadsheetml/2018/threadedcomments" xmlns:x="http://schemas.openxmlformats.org/spreadsheetml/2006/main">
  <threadedComment ref="A5" dT="2023-04-10T19:00:45.75" personId="{7C6CD981-7A80-4D45-96D3-E882799381AA}" id="{AA108351-4A04-4A0C-A52F-756F92E6431A}" done="1">
    <text>change the 0.05 to link to assumptions</text>
  </threadedComment>
  <threadedComment ref="A6" dT="2023-04-10T19:01:29.97" personId="{7C6CD981-7A80-4D45-96D3-E882799381AA}" id="{466376E4-91F2-4DFF-AA41-704D196F3032}" done="1">
    <text>link days to assumptions</text>
  </threadedComment>
  <threadedComment ref="A11" dT="2023-04-10T18:58:52.64" personId="{37180A89-FE27-412F-AF7B-47DADF48E90D}" id="{211821C6-9162-4D8B-8A96-F4E379028AF3}" done="1">
    <text>?</text>
  </threadedComment>
  <threadedComment ref="A18" dT="2023-04-10T18:59:08.96" personId="{37180A89-FE27-412F-AF7B-47DADF48E90D}" id="{091D614D-8837-4885-9B86-D0EF99F86002}">
    <text>?</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QM%20Qualitative%20Risk%20Matrix!A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7AB32-E768-4D19-AE06-27BF52FE41B9}">
  <dimension ref="A1:G20"/>
  <sheetViews>
    <sheetView topLeftCell="E1" zoomScaleNormal="100" workbookViewId="0">
      <selection activeCell="G2" sqref="G2"/>
    </sheetView>
  </sheetViews>
  <sheetFormatPr defaultColWidth="8.875" defaultRowHeight="15.95"/>
  <cols>
    <col min="1" max="1" width="28.125" bestFit="1" customWidth="1"/>
    <col min="3" max="3" width="29.875" bestFit="1" customWidth="1"/>
    <col min="5" max="5" width="23.625" bestFit="1" customWidth="1"/>
    <col min="7" max="7" width="27.125" bestFit="1" customWidth="1"/>
  </cols>
  <sheetData>
    <row r="1" spans="1:7">
      <c r="A1" s="356" t="s">
        <v>0</v>
      </c>
      <c r="B1" s="65"/>
      <c r="C1" s="942" t="s">
        <v>1</v>
      </c>
      <c r="D1" s="65"/>
      <c r="E1" s="943" t="s">
        <v>2</v>
      </c>
      <c r="F1" s="65"/>
      <c r="G1" s="949" t="s">
        <v>3</v>
      </c>
    </row>
    <row r="2" spans="1:7">
      <c r="A2" s="944" t="s">
        <v>4</v>
      </c>
      <c r="B2" s="65"/>
      <c r="C2" s="945" t="s">
        <v>5</v>
      </c>
      <c r="D2" s="65"/>
      <c r="E2" s="944" t="s">
        <v>6</v>
      </c>
      <c r="F2" s="65"/>
      <c r="G2" s="956" t="s">
        <v>7</v>
      </c>
    </row>
    <row r="3" spans="1:7">
      <c r="A3" s="944" t="s">
        <v>8</v>
      </c>
      <c r="B3" s="65"/>
      <c r="C3" s="944" t="s">
        <v>9</v>
      </c>
      <c r="D3" s="65"/>
      <c r="E3" s="944" t="s">
        <v>10</v>
      </c>
      <c r="F3" s="65"/>
      <c r="G3" s="944" t="s">
        <v>11</v>
      </c>
    </row>
    <row r="4" spans="1:7">
      <c r="A4" s="944" t="s">
        <v>12</v>
      </c>
      <c r="B4" s="65"/>
      <c r="C4" s="944" t="s">
        <v>13</v>
      </c>
      <c r="D4" s="65"/>
      <c r="E4" s="944" t="s">
        <v>14</v>
      </c>
      <c r="F4" s="65"/>
      <c r="G4" s="957" t="s">
        <v>15</v>
      </c>
    </row>
    <row r="5" spans="1:7">
      <c r="A5" s="944" t="s">
        <v>16</v>
      </c>
      <c r="B5" s="65"/>
      <c r="C5" s="944" t="s">
        <v>17</v>
      </c>
      <c r="D5" s="65"/>
      <c r="E5" s="944" t="s">
        <v>18</v>
      </c>
      <c r="F5" s="65"/>
      <c r="G5" s="957" t="s">
        <v>19</v>
      </c>
    </row>
    <row r="6" spans="1:7">
      <c r="A6" s="944" t="s">
        <v>20</v>
      </c>
      <c r="B6" s="65"/>
      <c r="C6" s="944" t="s">
        <v>21</v>
      </c>
      <c r="D6" s="65"/>
      <c r="E6" s="946" t="s">
        <v>22</v>
      </c>
      <c r="F6" s="65"/>
      <c r="G6" s="957" t="s">
        <v>23</v>
      </c>
    </row>
    <row r="7" spans="1:7">
      <c r="A7" s="944" t="s">
        <v>24</v>
      </c>
      <c r="B7" s="65"/>
      <c r="C7" s="944" t="s">
        <v>25</v>
      </c>
      <c r="D7" s="65"/>
      <c r="E7" s="65"/>
      <c r="F7" s="65"/>
      <c r="G7" s="957" t="s">
        <v>26</v>
      </c>
    </row>
    <row r="8" spans="1:7">
      <c r="A8" s="946" t="s">
        <v>27</v>
      </c>
      <c r="B8" s="65"/>
      <c r="C8" s="944" t="s">
        <v>28</v>
      </c>
      <c r="D8" s="65"/>
      <c r="E8" s="65"/>
      <c r="F8" s="65"/>
      <c r="G8" s="957" t="s">
        <v>29</v>
      </c>
    </row>
    <row r="9" spans="1:7">
      <c r="A9" s="947"/>
      <c r="B9" s="65"/>
      <c r="C9" s="944" t="s">
        <v>30</v>
      </c>
      <c r="D9" s="65"/>
      <c r="E9" s="65"/>
      <c r="F9" s="65"/>
      <c r="G9" s="957" t="s">
        <v>31</v>
      </c>
    </row>
    <row r="10" spans="1:7">
      <c r="A10" s="680"/>
      <c r="B10" s="65"/>
      <c r="C10" s="944" t="s">
        <v>32</v>
      </c>
      <c r="D10" s="65"/>
      <c r="E10" s="65"/>
      <c r="F10" s="65"/>
      <c r="G10" s="957" t="s">
        <v>33</v>
      </c>
    </row>
    <row r="11" spans="1:7">
      <c r="A11" s="65"/>
      <c r="B11" s="65"/>
      <c r="C11" s="944" t="s">
        <v>34</v>
      </c>
      <c r="D11" s="65"/>
      <c r="E11" s="65"/>
      <c r="F11" s="65"/>
      <c r="G11" s="957" t="s">
        <v>35</v>
      </c>
    </row>
    <row r="12" spans="1:7">
      <c r="A12" s="65"/>
      <c r="B12" s="65"/>
      <c r="C12" s="944" t="s">
        <v>36</v>
      </c>
      <c r="D12" s="65"/>
      <c r="E12" s="65"/>
      <c r="F12" s="65"/>
      <c r="G12" s="957" t="s">
        <v>37</v>
      </c>
    </row>
    <row r="13" spans="1:7">
      <c r="A13" s="65"/>
      <c r="B13" s="65"/>
      <c r="C13" s="944" t="s">
        <v>38</v>
      </c>
      <c r="D13" s="65"/>
      <c r="E13" s="65"/>
      <c r="F13" s="65"/>
      <c r="G13" s="958" t="s">
        <v>39</v>
      </c>
    </row>
    <row r="14" spans="1:7">
      <c r="A14" s="65"/>
      <c r="B14" s="65"/>
      <c r="C14" s="946" t="s">
        <v>40</v>
      </c>
      <c r="D14" s="65"/>
      <c r="E14" s="65"/>
      <c r="F14" s="65"/>
      <c r="G14" s="65"/>
    </row>
    <row r="15" spans="1:7">
      <c r="A15" s="65"/>
      <c r="B15" s="65"/>
      <c r="C15" s="947"/>
      <c r="D15" s="65"/>
      <c r="E15" s="65"/>
      <c r="F15" s="65"/>
      <c r="G15" s="65"/>
    </row>
    <row r="16" spans="1:7">
      <c r="A16" s="44"/>
    </row>
    <row r="19" spans="1:1">
      <c r="A19" s="948"/>
    </row>
    <row r="20" spans="1:1">
      <c r="A20" s="44"/>
    </row>
  </sheetData>
  <hyperlinks>
    <hyperlink ref="A2" location="'MK Assumptions'!A1" display="MK Assumptions" xr:uid="{41468D8B-C4D8-44E5-A21C-41A6B1C2C168}"/>
    <hyperlink ref="C2" location="'OM Assumptions'!A1" display="OM Assumptions" xr:uid="{0BB81D15-826D-4DD6-8F71-E76FC93924E0}"/>
    <hyperlink ref="E2" location="'FE Assumptions'!A1" display="FE Assumptions" xr:uid="{8AFD481B-B50C-45F0-AFB2-D623D36D7569}"/>
    <hyperlink ref="A3" location="'MK Bases Model (Base Case)'!A1" display="MK Bases Model (Base Case)" xr:uid="{5D09F0B6-020A-40ED-89A5-F144C8C6026B}"/>
    <hyperlink ref="C3" location="'OM Bill of Materials List'!A1" display="OM Bill of Material List" xr:uid="{7DCCA004-C272-407A-9397-59B02CFEC843}"/>
    <hyperlink ref="E3" location="'FE Income Statement Y1-Y5'!A1" display="FE Income Statement Y1-Y5" xr:uid="{5F338617-A2B8-4D30-A275-085448CF36CD}"/>
    <hyperlink ref="A4" location="'MK Avg. Man. Selling Price'!A1" display="MK Avg. Man. Selling Price" xr:uid="{00D788CF-B3BC-409D-881E-67706697FD5A}"/>
    <hyperlink ref="C4" location="'OM Capital Expenditures Y1-Y5'!A1" display="OM Capital Expenditures Y1-Y5" xr:uid="{B9D5CD75-427D-4336-BFC5-D7433D987271}"/>
    <hyperlink ref="E4" location="'FE Balance Sheet Y1-Y5'!A1" display="FE Balance Sheet Y1-Y5" xr:uid="{0C3204C0-F22A-4A79-AE4E-B6F990F00BF3}"/>
    <hyperlink ref="A5" location="'MK Purchase Intent and Price'!A1" display="MK Purchase Intent and Price" xr:uid="{657FF416-BC8A-47E7-980D-7BCB77F6E7E6}"/>
    <hyperlink ref="C5" location="'OM Labor Y1-Y5'!A1" display="OM Labor Y1-Y5" xr:uid="{9889BE5E-FF4C-45C7-817A-8177ADF0FFE6}"/>
    <hyperlink ref="E5" location="'FE Cash Flow Y1-Y5'!A1" display="FE Cash Flow Y1-Y5" xr:uid="{D43CBFC3-C425-4B35-94DA-B2E18373D5F1}"/>
    <hyperlink ref="A6" location="'MK IMC Schedule Y1-Y5'!A1" display="MK IMC Schedule Y1-Y5" xr:uid="{1F6A8F2E-95D0-451B-B535-E3F08B6CDCA9}"/>
    <hyperlink ref="C6" location="'OM Manufacturing OH Y1-Y5'!A1" display="OM Manufacturing OH Y1-Y5" xr:uid="{25978B8E-7C1E-46A9-B502-002EA8E91D4B}"/>
    <hyperlink ref="E6" location="'FE Comparable Companies'!A1" display="FE Comparable Companies" xr:uid="{7EC9077D-F20F-4792-93BF-89DCA7CFB606}"/>
    <hyperlink ref="A7" location="'MK ACV Y1-Y5'!A1" display="MK ACV Y1-Y5" xr:uid="{B2003B70-7760-4056-8F3F-D7E60116C304}"/>
    <hyperlink ref="C7" location="'OM IS Expenses Y1-Y5'!A1" display="OM IS Expenses Y1-Y5" xr:uid="{149D4EF8-E3A4-4720-895B-7C122FF22D6B}"/>
    <hyperlink ref="A8" location="'MK Segment Variable Analysis'!A1" display="MK Segment Variable Analysis" xr:uid="{F407FD71-849B-4001-A72B-805CAAF8B760}"/>
    <hyperlink ref="C8" location="'OM Logistics Y1-Y5'!A1" display="OM Logistics Y1-Y5" xr:uid="{2C116DE7-4B7B-4B0F-8543-E7564C8D32AB}"/>
    <hyperlink ref="C9" location="'OM S&amp;M and G&amp;A Expenses Y1-Y5'!A1" display="OM S&amp;M and G&amp;A Expenses Y1-Y5" xr:uid="{5D6FD2A3-6771-4E93-B70D-485EE5169978}"/>
    <hyperlink ref="C10" location="'OM Capacity Analysis Y1-Y5'!A1" display="OM Capacity Analysis Y1-Y5" xr:uid="{3CF4E77D-886C-4908-8779-16AD215497FC}"/>
    <hyperlink ref="C11" location="'OM Inventory Y1-Y5'!A1" display="OM Inventory Y1-Y5" xr:uid="{B2E8870B-1C90-4E3D-98FD-553023C4EF6A}"/>
    <hyperlink ref="C12" location="'OM Final COGS Y1-Y5'!A1" display="OM Final COGS Y1-Y5" xr:uid="{EE06459C-35D5-49FA-9E34-A5F7AB3009A1}"/>
    <hyperlink ref="C13" location="'OM Location Analysis'!A1" display="OM Location Analysis" xr:uid="{5847997A-3A79-4F10-A224-EF527F13B95B}"/>
    <hyperlink ref="C14" location="RANGE!A1" display="OM Y0 Initial Investment" xr:uid="{B88D6847-E0A1-411F-B7D9-2EE9947EE265}"/>
    <hyperlink ref="G2" location="'QM Assumptions'!A1" display="QM Assumptions" xr:uid="{3AE96D67-7F28-4C0F-9B4E-AF43ED9AC993}"/>
    <hyperlink ref="G3" location="'QM Conjoint Analysis'!A1" display="QM Conjoint Analysis" xr:uid="{76126977-3060-4A98-AA73-80E9E416142B}"/>
    <hyperlink ref="G4" r:id="rId1" xr:uid="{42C45CF3-7081-4074-BA16-C021404EACC4}"/>
    <hyperlink ref="G5" location="'QM Sensitivity Analysis'!A1" display="QM Sensitivity Analysis" xr:uid="{A93DAE04-0AEE-4476-84FA-F18FC3E5BF0A}"/>
    <hyperlink ref="G6" location="'QM Quantitative Risk Matrix'!A1" display="QM Quantitative Risk Matrix" xr:uid="{B08D231F-BEB0-479D-999B-D75DB2B2E862}"/>
    <hyperlink ref="G7" location="'QM All Risk Variables'!A1" display="QM All RISK Variables" xr:uid="{615EC202-2FF3-4CC1-8410-B01051341332}"/>
    <hyperlink ref="G8" location="'QM Parameters for Simulation'!A1" display="QM Parameters for Simulation" xr:uid="{84CE9FBF-CDEA-4617-954A-E68580E00F0F}"/>
    <hyperlink ref="G9" location="'QM Run Simulations'!A1" display="QM RUN Simulations" xr:uid="{DE1DBFCA-6887-4EC8-8ED3-75CE4928146F}"/>
    <hyperlink ref="G10" location="'QM Simulation Summary Stats'!A1" display="QM Simulation Summary Stats" xr:uid="{D4A9A374-4C6F-44EF-AF27-C23CA00428E4}"/>
    <hyperlink ref="G11" location="'QM Simulation 1-Pasted Values'!A1" display="QM Simulation 1-Pasted Values" xr:uid="{6192952C-C6B9-45F5-B182-BA1B803EBD90}"/>
    <hyperlink ref="G12" location="'QM Simulation 2-Pasted Values'!A1" display="QM Simulation 2-Pasted Values" xr:uid="{D3EB1D38-1FCC-48C8-AD81-1C440EF317D8}"/>
    <hyperlink ref="G13" location="'QM Simulation 3-Pasted Values'!A1" display="QM Simulation 3-Pasted Values" xr:uid="{F7BF4E78-0565-4EE0-9086-DD4B75738C52}"/>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01EE9-E69D-429B-88DD-3F4F55ABF3A9}">
  <sheetPr>
    <tabColor rgb="FF9BC2E6"/>
  </sheetPr>
  <dimension ref="A1:Q64"/>
  <sheetViews>
    <sheetView topLeftCell="A5" workbookViewId="0">
      <selection activeCell="B26" sqref="B26"/>
    </sheetView>
  </sheetViews>
  <sheetFormatPr defaultColWidth="8.875" defaultRowHeight="15.95"/>
  <cols>
    <col min="1" max="1" width="26.5" customWidth="1"/>
    <col min="2" max="2" width="16.125" bestFit="1" customWidth="1"/>
    <col min="3" max="3" width="9" bestFit="1" customWidth="1"/>
    <col min="4" max="4" width="28.625" bestFit="1" customWidth="1"/>
    <col min="5" max="5" width="10.125" bestFit="1" customWidth="1"/>
  </cols>
  <sheetData>
    <row r="1" spans="1:17">
      <c r="A1" s="44" t="s">
        <v>41</v>
      </c>
    </row>
    <row r="2" spans="1:17">
      <c r="A2" s="354" t="s">
        <v>4</v>
      </c>
      <c r="B2" s="355" t="s">
        <v>42</v>
      </c>
    </row>
    <row r="3" spans="1:17">
      <c r="A3" s="252" t="s">
        <v>43</v>
      </c>
      <c r="B3" s="268">
        <v>13000000</v>
      </c>
      <c r="D3" s="1"/>
      <c r="Q3" s="19"/>
    </row>
    <row r="4" spans="1:17">
      <c r="A4" s="252" t="s">
        <v>44</v>
      </c>
      <c r="B4" s="257">
        <v>7.1000000000000004E-3</v>
      </c>
      <c r="C4" s="20"/>
    </row>
    <row r="5" spans="1:17">
      <c r="A5" s="354" t="s">
        <v>45</v>
      </c>
      <c r="B5" s="355" t="s">
        <v>42</v>
      </c>
      <c r="D5" s="1"/>
    </row>
    <row r="6" spans="1:17">
      <c r="A6" s="252" t="s">
        <v>46</v>
      </c>
      <c r="B6" s="269">
        <v>0.15</v>
      </c>
      <c r="E6" s="2"/>
    </row>
    <row r="7" spans="1:17">
      <c r="A7" s="252" t="s">
        <v>47</v>
      </c>
      <c r="B7" s="269">
        <v>0.1</v>
      </c>
      <c r="E7" s="19"/>
    </row>
    <row r="8" spans="1:17">
      <c r="A8" s="354" t="s">
        <v>48</v>
      </c>
      <c r="B8" s="355" t="s">
        <v>42</v>
      </c>
      <c r="D8" s="1"/>
      <c r="E8" s="20"/>
    </row>
    <row r="9" spans="1:17">
      <c r="A9" s="252" t="s">
        <v>49</v>
      </c>
      <c r="B9" s="269">
        <v>0.5</v>
      </c>
      <c r="E9" s="18"/>
    </row>
    <row r="10" spans="1:17">
      <c r="A10" s="252" t="s">
        <v>50</v>
      </c>
      <c r="B10" s="269">
        <v>0.4</v>
      </c>
      <c r="E10" s="18"/>
    </row>
    <row r="11" spans="1:17">
      <c r="A11" s="252" t="s">
        <v>51</v>
      </c>
      <c r="B11" s="269">
        <v>0.45</v>
      </c>
      <c r="E11" s="18"/>
    </row>
    <row r="12" spans="1:17">
      <c r="A12" s="252" t="s">
        <v>52</v>
      </c>
      <c r="B12" s="269">
        <v>0.4</v>
      </c>
      <c r="D12" s="1"/>
    </row>
    <row r="13" spans="1:17">
      <c r="A13" s="356" t="s">
        <v>53</v>
      </c>
      <c r="B13" s="357"/>
      <c r="E13" s="18"/>
    </row>
    <row r="14" spans="1:17">
      <c r="A14" s="252" t="s">
        <v>49</v>
      </c>
      <c r="B14" s="257">
        <v>0.1429</v>
      </c>
    </row>
    <row r="15" spans="1:17">
      <c r="A15" s="252" t="s">
        <v>50</v>
      </c>
      <c r="B15" s="269">
        <v>0.12</v>
      </c>
    </row>
    <row r="16" spans="1:17">
      <c r="A16" s="252" t="s">
        <v>54</v>
      </c>
      <c r="B16" s="257">
        <v>0.24099999999999999</v>
      </c>
    </row>
    <row r="17" spans="1:5">
      <c r="A17" s="252" t="s">
        <v>55</v>
      </c>
      <c r="B17" s="257">
        <v>4.2999999999999997E-2</v>
      </c>
    </row>
    <row r="18" spans="1:5">
      <c r="A18" s="252" t="s">
        <v>52</v>
      </c>
      <c r="B18" s="257">
        <v>0.4531</v>
      </c>
    </row>
    <row r="19" spans="1:5">
      <c r="A19" s="354" t="s">
        <v>56</v>
      </c>
      <c r="B19" s="355" t="s">
        <v>42</v>
      </c>
    </row>
    <row r="20" spans="1:5">
      <c r="A20" s="224" t="s">
        <v>57</v>
      </c>
      <c r="B20" s="358">
        <v>85109000000</v>
      </c>
    </row>
    <row r="21" spans="1:5">
      <c r="A21" s="224" t="s">
        <v>58</v>
      </c>
      <c r="B21" s="358">
        <v>219581000000</v>
      </c>
    </row>
    <row r="22" spans="1:5">
      <c r="A22" s="224" t="s">
        <v>59</v>
      </c>
      <c r="B22" s="358">
        <v>29300000000</v>
      </c>
    </row>
    <row r="23" spans="1:5">
      <c r="A23" s="224" t="s">
        <v>60</v>
      </c>
      <c r="B23" s="358">
        <v>94513069653</v>
      </c>
    </row>
    <row r="24" spans="1:5">
      <c r="A24" s="359" t="s">
        <v>61</v>
      </c>
      <c r="B24" s="270">
        <v>232890000000</v>
      </c>
    </row>
    <row r="26" spans="1:5">
      <c r="E26" s="92"/>
    </row>
    <row r="27" spans="1:5">
      <c r="E27" s="18"/>
    </row>
    <row r="28" spans="1:5">
      <c r="E28" s="18"/>
    </row>
    <row r="29" spans="1:5">
      <c r="E29" s="18"/>
    </row>
    <row r="31" spans="1:5">
      <c r="E31" s="22"/>
    </row>
    <row r="33" spans="5:5">
      <c r="E33" s="19"/>
    </row>
    <row r="34" spans="5:5">
      <c r="E34" s="18"/>
    </row>
    <row r="37" spans="5:5">
      <c r="E37" s="18"/>
    </row>
    <row r="38" spans="5:5">
      <c r="E38" s="18"/>
    </row>
    <row r="39" spans="5:5">
      <c r="E39" s="20"/>
    </row>
    <row r="41" spans="5:5">
      <c r="E41" s="19"/>
    </row>
    <row r="44" spans="5:5">
      <c r="E44" s="130"/>
    </row>
    <row r="46" spans="5:5">
      <c r="E46" s="2"/>
    </row>
    <row r="49" spans="5:5">
      <c r="E49" s="2"/>
    </row>
    <row r="51" spans="5:5">
      <c r="E51" s="18"/>
    </row>
    <row r="52" spans="5:5">
      <c r="E52" s="2"/>
    </row>
    <row r="53" spans="5:5">
      <c r="E53" s="2"/>
    </row>
    <row r="54" spans="5:5">
      <c r="E54" s="2"/>
    </row>
    <row r="56" spans="5:5">
      <c r="E56" s="2"/>
    </row>
    <row r="57" spans="5:5">
      <c r="E57" s="2"/>
    </row>
    <row r="58" spans="5:5">
      <c r="E58" s="18"/>
    </row>
    <row r="60" spans="5:5">
      <c r="E60" s="18"/>
    </row>
    <row r="63" spans="5:5">
      <c r="E63" s="2"/>
    </row>
    <row r="64" spans="5:5">
      <c r="E64" s="2"/>
    </row>
  </sheetData>
  <hyperlinks>
    <hyperlink ref="A1" location="'Index'!A1" display="Back to Index" xr:uid="{EF0773F8-B4BE-472F-90F5-F67587FE7B5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3981C-33EE-9144-BBD3-72CF58D7DBAB}">
  <sheetPr>
    <tabColor rgb="FF9BC2E6"/>
  </sheetPr>
  <dimension ref="A1:J18"/>
  <sheetViews>
    <sheetView workbookViewId="0">
      <selection activeCell="A21" sqref="A21"/>
    </sheetView>
  </sheetViews>
  <sheetFormatPr defaultColWidth="11" defaultRowHeight="15.95"/>
  <cols>
    <col min="1" max="1" width="66" customWidth="1"/>
    <col min="2" max="6" width="11.5" bestFit="1" customWidth="1"/>
    <col min="7" max="7" width="9.125" bestFit="1" customWidth="1"/>
    <col min="9" max="9" width="39" bestFit="1" customWidth="1"/>
  </cols>
  <sheetData>
    <row r="1" spans="1:10">
      <c r="A1" s="44" t="s">
        <v>41</v>
      </c>
    </row>
    <row r="2" spans="1:10">
      <c r="A2" s="680" t="s">
        <v>62</v>
      </c>
      <c r="H2" s="194"/>
    </row>
    <row r="3" spans="1:10">
      <c r="A3" s="439" t="s">
        <v>63</v>
      </c>
      <c r="B3" s="439">
        <v>1</v>
      </c>
      <c r="C3" s="439">
        <v>2</v>
      </c>
      <c r="D3" s="439">
        <v>3</v>
      </c>
      <c r="E3" s="439">
        <v>4</v>
      </c>
      <c r="F3" s="439">
        <v>5</v>
      </c>
      <c r="G3" s="1066" t="s">
        <v>64</v>
      </c>
      <c r="I3" s="889"/>
    </row>
    <row r="4" spans="1:10">
      <c r="A4" s="51" t="s">
        <v>65</v>
      </c>
      <c r="B4" s="447">
        <f>'MK Assumptions'!$B$3*G4</f>
        <v>13000000</v>
      </c>
      <c r="C4" s="447">
        <f>((B4*(1+'MK Assumptions'!B4))-B9)</f>
        <v>12992189.808000002</v>
      </c>
      <c r="D4" s="447">
        <f>((C4*(1+'MK Assumptions'!B4)-C9))</f>
        <v>12878524.045462828</v>
      </c>
      <c r="E4" s="447">
        <f>((D4*(1+'MK Assumptions'!B4)-D9))</f>
        <v>12623914.105418192</v>
      </c>
      <c r="F4" s="447">
        <f>((E4*(1+'MK Assumptions'!B4)-E9))</f>
        <v>12208957.056708584</v>
      </c>
      <c r="G4" s="1067">
        <f>IF(OR(Simulation_Number=1,Simulation_Number=3),'QM Parameters for Simulation'!F18,1)</f>
        <v>1</v>
      </c>
    </row>
    <row r="5" spans="1:10">
      <c r="A5" s="51" t="s">
        <v>66</v>
      </c>
      <c r="B5" s="448">
        <f>'MK Purchase Intent and Price'!A44*$G$5</f>
        <v>0.25584000000000007</v>
      </c>
      <c r="C5" s="448">
        <f>'MK Purchase Intent and Price'!B44*$G$5</f>
        <v>0.25584000000000007</v>
      </c>
      <c r="D5" s="448">
        <f>'MK Purchase Intent and Price'!C44*$G$5</f>
        <v>0.26266000000000006</v>
      </c>
      <c r="E5" s="448">
        <f>'MK Purchase Intent and Price'!D44*$G$5</f>
        <v>0.27233200000000007</v>
      </c>
      <c r="F5" s="448">
        <f>'MK Purchase Intent and Price'!E44*$G$5</f>
        <v>0.27927600000000008</v>
      </c>
      <c r="G5" s="1068">
        <v>1</v>
      </c>
    </row>
    <row r="6" spans="1:10">
      <c r="A6" s="51" t="s">
        <v>67</v>
      </c>
      <c r="B6" s="448">
        <f>('MK IMC Schedule Y1-Y5'!P28)*G6</f>
        <v>0.1075</v>
      </c>
      <c r="C6" s="448">
        <f>'MK IMC Schedule Y1-Y5'!AG34*G6</f>
        <v>0.1822</v>
      </c>
      <c r="D6" s="448">
        <f>'MK IMC Schedule Y1-Y5'!AX33*G6</f>
        <v>0.23250000000000001</v>
      </c>
      <c r="E6" s="448">
        <f>'MK IMC Schedule Y1-Y5'!BO34*G6</f>
        <v>0.27180000000000004</v>
      </c>
      <c r="F6" s="448">
        <f>'MK IMC Schedule Y1-Y5'!CF34*G6</f>
        <v>0.29820000000000002</v>
      </c>
      <c r="G6" s="1068">
        <v>1</v>
      </c>
    </row>
    <row r="7" spans="1:10">
      <c r="A7" s="51" t="s">
        <v>68</v>
      </c>
      <c r="B7" s="448">
        <f>'MK ACV Y1-Y5'!B4*$G$7</f>
        <v>0.14000000000000001</v>
      </c>
      <c r="C7" s="448">
        <f>'MK ACV Y1-Y5'!C4*$G$7</f>
        <v>0.17</v>
      </c>
      <c r="D7" s="448">
        <f>'MK ACV Y1-Y5'!D4*$G$7</f>
        <v>0.22</v>
      </c>
      <c r="E7" s="448">
        <f>'MK ACV Y1-Y5'!E4*$G$7</f>
        <v>0.27</v>
      </c>
      <c r="F7" s="448">
        <f>'MK ACV Y1-Y5'!F4*$G$7</f>
        <v>0.33</v>
      </c>
      <c r="G7" s="1068">
        <v>1</v>
      </c>
    </row>
    <row r="8" spans="1:10">
      <c r="A8" s="51" t="s">
        <v>69</v>
      </c>
      <c r="B8" s="449">
        <v>2</v>
      </c>
      <c r="C8" s="449">
        <v>2</v>
      </c>
      <c r="D8" s="449">
        <v>2</v>
      </c>
      <c r="E8" s="449">
        <v>2</v>
      </c>
      <c r="F8" s="449">
        <v>2</v>
      </c>
      <c r="G8" s="1069"/>
    </row>
    <row r="9" spans="1:10">
      <c r="A9" s="51" t="s">
        <v>70</v>
      </c>
      <c r="B9" s="450">
        <f>B4*B5*B6*B7*B8</f>
        <v>100110.19200000004</v>
      </c>
      <c r="C9" s="450">
        <f>C4*C5*C6*C7*C8</f>
        <v>205910.31017397586</v>
      </c>
      <c r="D9" s="450">
        <f>D4*D5*D6*D7*D8</f>
        <v>346047.46076742368</v>
      </c>
      <c r="E9" s="450">
        <f>E4*E5*E6*E7*E8</f>
        <v>504586.83885807835</v>
      </c>
      <c r="F9" s="450">
        <f>F4*F5*F6*F7*F8</f>
        <v>671063.71440705925</v>
      </c>
      <c r="G9" s="52"/>
      <c r="J9" s="20"/>
    </row>
    <row r="10" spans="1:10">
      <c r="A10" s="51" t="s">
        <v>71</v>
      </c>
      <c r="B10" s="451" t="s">
        <v>72</v>
      </c>
      <c r="C10" s="451" t="s">
        <v>72</v>
      </c>
      <c r="D10" s="451" t="s">
        <v>72</v>
      </c>
      <c r="E10" s="451" t="s">
        <v>72</v>
      </c>
      <c r="F10" s="451" t="s">
        <v>72</v>
      </c>
      <c r="G10" s="52"/>
    </row>
    <row r="11" spans="1:10">
      <c r="A11" s="51" t="s">
        <v>73</v>
      </c>
      <c r="B11" s="450">
        <f>B9</f>
        <v>100110.19200000004</v>
      </c>
      <c r="C11" s="450">
        <f>C9</f>
        <v>205910.31017397586</v>
      </c>
      <c r="D11" s="450">
        <f t="shared" ref="D11:E11" si="0">D9</f>
        <v>346047.46076742368</v>
      </c>
      <c r="E11" s="450">
        <f t="shared" si="0"/>
        <v>504586.83885807835</v>
      </c>
      <c r="F11" s="450">
        <f>F9</f>
        <v>671063.71440705925</v>
      </c>
      <c r="G11" s="52"/>
    </row>
    <row r="12" spans="1:10">
      <c r="A12" s="51" t="s">
        <v>74</v>
      </c>
      <c r="B12" s="449"/>
      <c r="C12" s="453"/>
      <c r="D12" s="453">
        <v>0.2</v>
      </c>
      <c r="E12" s="453">
        <v>0.3</v>
      </c>
      <c r="F12" s="453">
        <v>0.35</v>
      </c>
      <c r="G12" s="1070"/>
      <c r="I12" s="19"/>
    </row>
    <row r="13" spans="1:10">
      <c r="A13" s="104" t="s">
        <v>75</v>
      </c>
      <c r="B13" s="452">
        <f>B11</f>
        <v>100110.19200000004</v>
      </c>
      <c r="C13" s="452">
        <f>C11-(C11*C12)</f>
        <v>205910.31017397586</v>
      </c>
      <c r="D13" s="452">
        <f>D11-(D11*D12)</f>
        <v>276837.96861393895</v>
      </c>
      <c r="E13" s="452">
        <f>E11-(E11*E12)</f>
        <v>353210.78720065486</v>
      </c>
      <c r="F13" s="452">
        <f>F11-(F11*F12)</f>
        <v>436191.41436458856</v>
      </c>
      <c r="G13" s="55"/>
    </row>
    <row r="14" spans="1:10">
      <c r="A14" s="104" t="s">
        <v>76</v>
      </c>
      <c r="B14" s="415">
        <f>'MK Avg. Man. Selling Price'!C10</f>
        <v>13.149999999999999</v>
      </c>
      <c r="C14" s="415">
        <f>'MK Avg. Man. Selling Price'!C20</f>
        <v>13.149999999999999</v>
      </c>
      <c r="D14" s="415">
        <f>ROUND('MK Avg. Man. Selling Price'!C30,2)</f>
        <v>12.6</v>
      </c>
      <c r="E14" s="415">
        <f>'MK Avg. Man. Selling Price'!C40</f>
        <v>11.819999999999999</v>
      </c>
      <c r="F14" s="415">
        <f>'MK Avg. Man. Selling Price'!C50</f>
        <v>11.26</v>
      </c>
      <c r="G14" s="52"/>
      <c r="H14" s="19"/>
    </row>
    <row r="15" spans="1:10">
      <c r="A15" s="104" t="s">
        <v>77</v>
      </c>
      <c r="B15" s="424">
        <f>B13*B14</f>
        <v>1316449.0248000005</v>
      </c>
      <c r="C15" s="424">
        <f>C13*C14</f>
        <v>2707720.5787877822</v>
      </c>
      <c r="D15" s="424">
        <f t="shared" ref="D15:E15" si="1">D13*D14</f>
        <v>3488158.4045356307</v>
      </c>
      <c r="E15" s="424">
        <f t="shared" si="1"/>
        <v>4174951.5047117397</v>
      </c>
      <c r="F15" s="424">
        <f>F13*F14</f>
        <v>4911515.3257452669</v>
      </c>
      <c r="G15" s="110"/>
      <c r="H15" s="19" t="str">
        <f>'FE Cash Flow Y1-Y5'!B18</f>
        <v xml:space="preserve"> </v>
      </c>
    </row>
    <row r="16" spans="1:10">
      <c r="F16" s="19"/>
    </row>
    <row r="18" spans="6:6">
      <c r="F18" s="19"/>
    </row>
  </sheetData>
  <hyperlinks>
    <hyperlink ref="A1" location="'Index'!A1" display="Back to Index" xr:uid="{081B068F-3470-484D-A54F-5829B2EF603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775DB-C86F-5A44-8F33-B108B8EB23F9}">
  <sheetPr>
    <tabColor rgb="FF9BC2E6"/>
  </sheetPr>
  <dimension ref="A1:R92"/>
  <sheetViews>
    <sheetView tabSelected="1" topLeftCell="A21" zoomScale="125" workbookViewId="0">
      <selection activeCell="E36" sqref="E36"/>
    </sheetView>
  </sheetViews>
  <sheetFormatPr defaultColWidth="11" defaultRowHeight="15.75" customHeight="1"/>
  <cols>
    <col min="1" max="1" width="49.5" bestFit="1" customWidth="1"/>
    <col min="2" max="2" width="23.5" bestFit="1" customWidth="1"/>
    <col min="3" max="3" width="23" bestFit="1" customWidth="1"/>
    <col min="4" max="4" width="14" bestFit="1" customWidth="1"/>
    <col min="5" max="5" width="17.125" bestFit="1" customWidth="1"/>
    <col min="6" max="6" width="12.375" customWidth="1"/>
    <col min="7" max="7" width="17.875" bestFit="1" customWidth="1"/>
    <col min="8" max="8" width="9.625" bestFit="1" customWidth="1"/>
    <col min="14" max="14" width="26.625" bestFit="1" customWidth="1"/>
    <col min="16" max="16" width="26.625" bestFit="1" customWidth="1"/>
    <col min="17" max="17" width="7" bestFit="1" customWidth="1"/>
    <col min="18" max="18" width="14" customWidth="1"/>
  </cols>
  <sheetData>
    <row r="1" spans="1:18" ht="15.95">
      <c r="A1" s="44" t="s">
        <v>41</v>
      </c>
      <c r="I1" s="834"/>
      <c r="J1" s="834"/>
      <c r="K1" s="834"/>
      <c r="L1" s="834"/>
      <c r="M1" s="129"/>
      <c r="N1" s="129"/>
      <c r="O1" s="129"/>
      <c r="P1" s="24"/>
    </row>
    <row r="2" spans="1:18" ht="15.95">
      <c r="A2" s="1" t="s">
        <v>78</v>
      </c>
      <c r="I2" s="835"/>
      <c r="J2" s="836"/>
      <c r="K2" s="835"/>
      <c r="L2" s="835"/>
      <c r="M2" s="835"/>
      <c r="N2" s="243"/>
      <c r="O2" s="243"/>
      <c r="P2" s="25"/>
      <c r="Q2" s="20"/>
      <c r="R2" s="72"/>
    </row>
    <row r="3" spans="1:18" ht="15.95">
      <c r="A3" s="455" t="s">
        <v>79</v>
      </c>
      <c r="B3" s="55"/>
      <c r="C3" s="55"/>
      <c r="D3" s="55"/>
      <c r="E3" s="55"/>
      <c r="F3" s="55"/>
      <c r="G3" s="681" t="s">
        <v>42</v>
      </c>
      <c r="I3" s="835"/>
      <c r="J3" s="836"/>
      <c r="K3" s="835"/>
      <c r="L3" s="835"/>
      <c r="M3" s="24"/>
      <c r="N3" s="243"/>
      <c r="O3" s="243"/>
      <c r="P3" s="25"/>
      <c r="Q3" s="20"/>
      <c r="R3" s="72"/>
    </row>
    <row r="4" spans="1:18" ht="15.95">
      <c r="A4" s="480" t="s">
        <v>80</v>
      </c>
      <c r="B4" s="445" t="s">
        <v>81</v>
      </c>
      <c r="C4" s="445" t="s">
        <v>82</v>
      </c>
      <c r="D4" s="445" t="s">
        <v>48</v>
      </c>
      <c r="E4" s="445" t="s">
        <v>83</v>
      </c>
      <c r="F4" s="445" t="s">
        <v>84</v>
      </c>
      <c r="G4" s="682" t="s">
        <v>85</v>
      </c>
      <c r="I4" s="835"/>
      <c r="J4" s="836"/>
      <c r="K4" s="836"/>
      <c r="L4" s="836"/>
      <c r="M4" s="836"/>
      <c r="N4" s="836"/>
      <c r="O4" s="836"/>
      <c r="P4" s="25"/>
      <c r="Q4" s="20"/>
      <c r="R4" s="72"/>
    </row>
    <row r="5" spans="1:18" ht="15.95">
      <c r="A5" s="64" t="s">
        <v>86</v>
      </c>
      <c r="B5" s="862">
        <f>'MK ACV Y1-Y5'!C19/'MK ACV Y1-Y5'!C22</f>
        <v>0.22227407061751439</v>
      </c>
      <c r="C5" s="858">
        <f xml:space="preserve"> E5-(E5*D5)</f>
        <v>12.5</v>
      </c>
      <c r="D5" s="453">
        <v>0.5</v>
      </c>
      <c r="E5" s="105">
        <v>25</v>
      </c>
      <c r="F5" s="465">
        <f>ROUND(B5*'MK Bases Model (Base Case)'!$B$13,0)</f>
        <v>22252</v>
      </c>
      <c r="G5" s="442" t="s">
        <v>42</v>
      </c>
      <c r="I5" s="835"/>
      <c r="J5" s="836"/>
      <c r="K5" s="836"/>
      <c r="L5" s="836"/>
      <c r="M5" s="836"/>
      <c r="N5" s="836"/>
      <c r="O5" s="836"/>
      <c r="P5" s="25"/>
      <c r="Q5" s="20"/>
      <c r="R5" s="72"/>
    </row>
    <row r="6" spans="1:18" ht="15.95">
      <c r="A6" s="64" t="s">
        <v>87</v>
      </c>
      <c r="B6" s="862">
        <f>'MK ACV Y1-Y5'!C20/'MK ACV Y1-Y5'!C22</f>
        <v>0.77772592938248564</v>
      </c>
      <c r="C6" s="858">
        <f xml:space="preserve"> E6-(E6*D6)</f>
        <v>13.799999999999999</v>
      </c>
      <c r="D6" s="459">
        <v>0.4</v>
      </c>
      <c r="E6" s="105">
        <v>23</v>
      </c>
      <c r="F6" s="465">
        <f>ROUND(B6*'MK Bases Model (Base Case)'!$B$13,0)</f>
        <v>77858</v>
      </c>
      <c r="G6" s="442" t="s">
        <v>42</v>
      </c>
      <c r="I6" s="835"/>
      <c r="J6" s="836"/>
      <c r="K6" s="835"/>
      <c r="L6" s="835"/>
      <c r="M6" s="243"/>
      <c r="N6" s="243"/>
      <c r="O6" s="243"/>
      <c r="P6" s="25"/>
      <c r="Q6" s="20"/>
      <c r="R6" s="72"/>
    </row>
    <row r="7" spans="1:18" ht="15.95">
      <c r="A7" s="64" t="s">
        <v>88</v>
      </c>
      <c r="B7" s="476" t="s">
        <v>89</v>
      </c>
      <c r="C7" s="476" t="s">
        <v>89</v>
      </c>
      <c r="D7" s="476" t="s">
        <v>89</v>
      </c>
      <c r="E7" s="476" t="s">
        <v>89</v>
      </c>
      <c r="F7" s="476" t="s">
        <v>89</v>
      </c>
      <c r="G7" s="442" t="s">
        <v>42</v>
      </c>
      <c r="I7" s="835"/>
      <c r="J7" s="836"/>
      <c r="K7" s="836"/>
      <c r="L7" s="836"/>
      <c r="M7" s="836"/>
      <c r="N7" s="836"/>
      <c r="O7" s="836"/>
      <c r="P7" s="25"/>
      <c r="R7" s="23"/>
    </row>
    <row r="8" spans="1:18" ht="15.95">
      <c r="A8" s="64" t="s">
        <v>90</v>
      </c>
      <c r="B8" s="476" t="s">
        <v>89</v>
      </c>
      <c r="C8" s="476" t="s">
        <v>89</v>
      </c>
      <c r="D8" s="476" t="s">
        <v>89</v>
      </c>
      <c r="E8" s="476" t="s">
        <v>89</v>
      </c>
      <c r="F8" s="476" t="s">
        <v>89</v>
      </c>
      <c r="G8" s="442" t="s">
        <v>42</v>
      </c>
      <c r="J8" s="22"/>
    </row>
    <row r="9" spans="1:18" ht="15.95">
      <c r="A9" s="64" t="s">
        <v>91</v>
      </c>
      <c r="B9" s="476" t="s">
        <v>89</v>
      </c>
      <c r="C9" s="476" t="s">
        <v>89</v>
      </c>
      <c r="D9" s="476" t="s">
        <v>89</v>
      </c>
      <c r="E9" s="476" t="s">
        <v>89</v>
      </c>
      <c r="F9" s="476" t="s">
        <v>89</v>
      </c>
      <c r="G9" s="442" t="s">
        <v>42</v>
      </c>
    </row>
    <row r="10" spans="1:18" ht="15.95">
      <c r="A10" s="457" t="s">
        <v>79</v>
      </c>
      <c r="B10" s="464"/>
      <c r="C10" s="859">
        <f>AVERAGE(C5:C6)</f>
        <v>13.149999999999999</v>
      </c>
      <c r="D10" s="464"/>
      <c r="E10" s="464"/>
      <c r="F10" s="477">
        <f>SUM(F5:F6)</f>
        <v>100110</v>
      </c>
      <c r="G10" s="861">
        <f>SUM(F5:F6)*C10</f>
        <v>1316446.4999999998</v>
      </c>
    </row>
    <row r="11" spans="1:18" ht="15.95">
      <c r="A11" s="458" t="s">
        <v>92</v>
      </c>
      <c r="B11" s="461"/>
      <c r="C11" s="461"/>
      <c r="D11" s="461"/>
      <c r="E11" s="860">
        <f>AVERAGE(E5:E9)</f>
        <v>24</v>
      </c>
      <c r="F11" s="478"/>
      <c r="G11" s="683" t="s">
        <v>42</v>
      </c>
      <c r="P11" s="194"/>
    </row>
    <row r="12" spans="1:18" ht="15.95">
      <c r="F12" s="132"/>
      <c r="G12" s="65"/>
      <c r="J12" s="1"/>
      <c r="K12" s="1"/>
      <c r="L12" s="1"/>
      <c r="M12" s="1"/>
      <c r="N12" s="1"/>
    </row>
    <row r="13" spans="1:18" ht="15.95">
      <c r="A13" s="455" t="s">
        <v>79</v>
      </c>
      <c r="B13" s="55"/>
      <c r="C13" s="55"/>
      <c r="D13" s="55"/>
      <c r="E13" s="55"/>
      <c r="F13" s="475"/>
      <c r="G13" s="681"/>
      <c r="I13" s="1"/>
    </row>
    <row r="14" spans="1:18" ht="15.95">
      <c r="A14" s="454" t="s">
        <v>93</v>
      </c>
      <c r="B14" s="440" t="s">
        <v>81</v>
      </c>
      <c r="C14" s="440" t="s">
        <v>82</v>
      </c>
      <c r="D14" s="440" t="s">
        <v>48</v>
      </c>
      <c r="E14" s="440" t="s">
        <v>83</v>
      </c>
      <c r="F14" s="479" t="s">
        <v>84</v>
      </c>
      <c r="G14" s="682" t="s">
        <v>85</v>
      </c>
    </row>
    <row r="15" spans="1:18" ht="15.95">
      <c r="A15" s="64" t="s">
        <v>86</v>
      </c>
      <c r="B15" s="862">
        <f>'MK ACV Y1-Y5'!D19/'MK ACV Y1-Y5'!D22</f>
        <v>0.33466754667972493</v>
      </c>
      <c r="C15" s="105">
        <f>E15-(E15*D15)</f>
        <v>12.5</v>
      </c>
      <c r="D15" s="459">
        <v>0.5</v>
      </c>
      <c r="E15" s="105">
        <v>25</v>
      </c>
      <c r="F15" s="465">
        <f>ROUND(B15*'MK Bases Model (Base Case)'!$C$13,0)</f>
        <v>68911</v>
      </c>
      <c r="G15" s="442"/>
      <c r="I15" s="1"/>
    </row>
    <row r="16" spans="1:18" ht="15.95">
      <c r="A16" s="64" t="s">
        <v>87</v>
      </c>
      <c r="B16" s="862">
        <f>'MK ACV Y1-Y5'!D20/'MK ACV Y1-Y5'!D22</f>
        <v>0.66533245332027502</v>
      </c>
      <c r="C16" s="105">
        <f t="shared" ref="C16" si="0">E16-(E16*D16)</f>
        <v>13.799999999999999</v>
      </c>
      <c r="D16" s="459">
        <v>0.4</v>
      </c>
      <c r="E16" s="105">
        <v>23</v>
      </c>
      <c r="F16" s="465">
        <f>ROUND(B16*'MK Bases Model (Base Case)'!$C$13,0)</f>
        <v>136999</v>
      </c>
      <c r="G16" s="442"/>
      <c r="I16" s="1"/>
    </row>
    <row r="17" spans="1:11" ht="15.95">
      <c r="A17" s="64" t="s">
        <v>88</v>
      </c>
      <c r="B17" s="476" t="s">
        <v>89</v>
      </c>
      <c r="C17" s="476" t="s">
        <v>89</v>
      </c>
      <c r="D17" s="476" t="s">
        <v>89</v>
      </c>
      <c r="E17" s="476" t="s">
        <v>89</v>
      </c>
      <c r="F17" s="476" t="s">
        <v>89</v>
      </c>
      <c r="G17" s="442"/>
      <c r="I17" s="1"/>
    </row>
    <row r="18" spans="1:11" ht="15.95">
      <c r="A18" s="64" t="s">
        <v>90</v>
      </c>
      <c r="B18" s="476" t="s">
        <v>89</v>
      </c>
      <c r="C18" s="476" t="s">
        <v>89</v>
      </c>
      <c r="D18" s="476" t="s">
        <v>89</v>
      </c>
      <c r="E18" s="476" t="s">
        <v>89</v>
      </c>
      <c r="F18" s="476" t="s">
        <v>89</v>
      </c>
      <c r="G18" s="442"/>
      <c r="I18" s="1"/>
    </row>
    <row r="19" spans="1:11" ht="15.95">
      <c r="A19" s="64" t="s">
        <v>91</v>
      </c>
      <c r="B19" s="476" t="s">
        <v>89</v>
      </c>
      <c r="C19" s="476" t="s">
        <v>89</v>
      </c>
      <c r="D19" s="476" t="s">
        <v>89</v>
      </c>
      <c r="E19" s="476" t="s">
        <v>89</v>
      </c>
      <c r="F19" s="476" t="s">
        <v>89</v>
      </c>
      <c r="G19" s="442"/>
      <c r="I19" s="1"/>
      <c r="K19" s="23"/>
    </row>
    <row r="20" spans="1:11" ht="15.95">
      <c r="A20" s="457" t="s">
        <v>79</v>
      </c>
      <c r="B20" s="464"/>
      <c r="C20" s="859">
        <f>AVERAGE(C15:C16)</f>
        <v>13.149999999999999</v>
      </c>
      <c r="D20" s="462"/>
      <c r="E20" s="464"/>
      <c r="F20" s="477"/>
      <c r="G20" s="861">
        <f>SUM(F15:F16)*C20</f>
        <v>2707716.4999999995</v>
      </c>
    </row>
    <row r="21" spans="1:11" ht="15.95">
      <c r="A21" s="458" t="s">
        <v>92</v>
      </c>
      <c r="B21" s="461"/>
      <c r="C21" s="461"/>
      <c r="D21" s="463"/>
      <c r="E21" s="860">
        <f>AVERAGE(E15:E16)</f>
        <v>24</v>
      </c>
      <c r="F21" s="478"/>
      <c r="G21" s="683" t="s">
        <v>42</v>
      </c>
    </row>
    <row r="22" spans="1:11" ht="15.95">
      <c r="F22" s="132"/>
      <c r="G22" s="65"/>
    </row>
    <row r="23" spans="1:11" ht="15.95">
      <c r="A23" s="455" t="s">
        <v>79</v>
      </c>
      <c r="B23" s="55"/>
      <c r="C23" s="55"/>
      <c r="D23" s="55"/>
      <c r="E23" s="55"/>
      <c r="F23" s="475"/>
      <c r="G23" s="681"/>
    </row>
    <row r="24" spans="1:11" ht="15.95">
      <c r="A24" s="454" t="s">
        <v>94</v>
      </c>
      <c r="B24" s="440" t="s">
        <v>81</v>
      </c>
      <c r="C24" s="440" t="s">
        <v>82</v>
      </c>
      <c r="D24" s="440" t="s">
        <v>48</v>
      </c>
      <c r="E24" s="440" t="s">
        <v>83</v>
      </c>
      <c r="F24" s="479" t="s">
        <v>84</v>
      </c>
      <c r="G24" s="682" t="s">
        <v>85</v>
      </c>
    </row>
    <row r="25" spans="1:11" ht="15.95">
      <c r="A25" s="64" t="s">
        <v>86</v>
      </c>
      <c r="B25" s="862">
        <f>'MK ACV Y1-Y5'!E19/'MK ACV Y1-Y5'!E22</f>
        <v>0.39538153974396623</v>
      </c>
      <c r="C25" s="105">
        <f>E25-(E25*D25)</f>
        <v>12.5</v>
      </c>
      <c r="D25" s="459">
        <v>0.5</v>
      </c>
      <c r="E25" s="105">
        <v>25</v>
      </c>
      <c r="F25" s="465">
        <f>ROUND(B25*'MK Bases Model (Base Case)'!$D$13,0)</f>
        <v>109457</v>
      </c>
      <c r="G25" s="442"/>
    </row>
    <row r="26" spans="1:11" ht="15.95">
      <c r="A26" s="64" t="s">
        <v>87</v>
      </c>
      <c r="B26" s="862">
        <f>'MK ACV Y1-Y5'!E20/'MK ACV Y1-Y5'!E22</f>
        <v>0.59181227027506123</v>
      </c>
      <c r="C26" s="105">
        <f t="shared" ref="C26" si="1">E26-(E26*D26)</f>
        <v>13.2</v>
      </c>
      <c r="D26" s="459">
        <v>0.4</v>
      </c>
      <c r="E26" s="105">
        <v>22</v>
      </c>
      <c r="F26" s="465">
        <f>ROUND(B26*'MK Bases Model (Base Case)'!$D$13,0)</f>
        <v>163836</v>
      </c>
      <c r="G26" s="442"/>
    </row>
    <row r="27" spans="1:11" ht="15.95">
      <c r="A27" s="64" t="s">
        <v>88</v>
      </c>
      <c r="B27" s="862">
        <f>'MK ACV Y1-Y5'!E21/'MK ACV Y1-Y5'!E22</f>
        <v>1.2806189980972639E-2</v>
      </c>
      <c r="C27" s="105">
        <f>E27-(E27*D27)</f>
        <v>12.1</v>
      </c>
      <c r="D27" s="459">
        <v>0.45</v>
      </c>
      <c r="E27" s="105">
        <v>22</v>
      </c>
      <c r="F27" s="465">
        <f>ROUND(B27*'MK Bases Model (Base Case)'!$D$13,0)</f>
        <v>3545</v>
      </c>
      <c r="G27" s="442"/>
    </row>
    <row r="28" spans="1:11" ht="15.95">
      <c r="A28" s="64" t="s">
        <v>90</v>
      </c>
      <c r="B28" s="476" t="s">
        <v>89</v>
      </c>
      <c r="C28" s="476" t="s">
        <v>89</v>
      </c>
      <c r="D28" s="476" t="s">
        <v>89</v>
      </c>
      <c r="E28" s="476" t="s">
        <v>89</v>
      </c>
      <c r="F28" s="476" t="s">
        <v>89</v>
      </c>
      <c r="G28" s="442"/>
      <c r="J28" s="23"/>
    </row>
    <row r="29" spans="1:11" ht="15.95">
      <c r="A29" s="64" t="s">
        <v>91</v>
      </c>
      <c r="B29" s="476" t="s">
        <v>89</v>
      </c>
      <c r="C29" s="476" t="s">
        <v>89</v>
      </c>
      <c r="D29" s="476" t="s">
        <v>89</v>
      </c>
      <c r="E29" s="476" t="s">
        <v>89</v>
      </c>
      <c r="F29" s="476" t="s">
        <v>89</v>
      </c>
      <c r="G29" s="442"/>
    </row>
    <row r="30" spans="1:11" ht="15.95">
      <c r="A30" s="457" t="s">
        <v>79</v>
      </c>
      <c r="B30" s="464"/>
      <c r="C30" s="859">
        <f>AVERAGE(C25:C29)</f>
        <v>12.6</v>
      </c>
      <c r="D30" s="462"/>
      <c r="E30" s="464"/>
      <c r="F30" s="477"/>
      <c r="G30" s="861">
        <f>SUM(F25:F27)*C30</f>
        <v>3488158.8</v>
      </c>
    </row>
    <row r="31" spans="1:11" ht="15.95">
      <c r="A31" s="458" t="s">
        <v>92</v>
      </c>
      <c r="B31" s="461"/>
      <c r="C31" s="461"/>
      <c r="D31" s="463"/>
      <c r="E31" s="860">
        <f>AVERAGE(E25:E29)</f>
        <v>23</v>
      </c>
      <c r="F31" s="478"/>
      <c r="G31" s="683" t="s">
        <v>42</v>
      </c>
    </row>
    <row r="32" spans="1:11" ht="15.95">
      <c r="F32" s="132"/>
      <c r="G32" s="65"/>
    </row>
    <row r="33" spans="1:7" ht="15.95">
      <c r="A33" s="455" t="s">
        <v>79</v>
      </c>
      <c r="B33" s="55"/>
      <c r="C33" s="55"/>
      <c r="D33" s="55"/>
      <c r="E33" s="55"/>
      <c r="F33" s="475"/>
      <c r="G33" s="681" t="s">
        <v>42</v>
      </c>
    </row>
    <row r="34" spans="1:7" ht="15.95">
      <c r="A34" s="454" t="s">
        <v>95</v>
      </c>
      <c r="B34" s="440" t="s">
        <v>81</v>
      </c>
      <c r="C34" s="440" t="s">
        <v>82</v>
      </c>
      <c r="D34" s="440" t="s">
        <v>48</v>
      </c>
      <c r="E34" s="440" t="s">
        <v>83</v>
      </c>
      <c r="F34" s="479" t="s">
        <v>84</v>
      </c>
      <c r="G34" s="682" t="s">
        <v>85</v>
      </c>
    </row>
    <row r="35" spans="1:7" ht="15.95">
      <c r="A35" s="456" t="s">
        <v>86</v>
      </c>
      <c r="B35" s="863">
        <f>'MK ACV Y1-Y5'!F19/'MK ACV Y1-Y5'!F22</f>
        <v>0.36857776712807044</v>
      </c>
      <c r="C35" s="105">
        <f>E35-(E35*D35)</f>
        <v>12</v>
      </c>
      <c r="D35" s="459">
        <v>0.5</v>
      </c>
      <c r="E35" s="105">
        <v>24</v>
      </c>
      <c r="F35" s="465">
        <f>ROUND(B35*'MK Bases Model (Base Case)'!$E$13,0)</f>
        <v>130186</v>
      </c>
      <c r="G35" s="442" t="s">
        <v>42</v>
      </c>
    </row>
    <row r="36" spans="1:7" ht="15.95">
      <c r="A36" s="456" t="s">
        <v>87</v>
      </c>
      <c r="B36" s="863">
        <f>'MK ACV Y1-Y5'!F20/'MK ACV Y1-Y5'!F22</f>
        <v>0.46446965412073665</v>
      </c>
      <c r="C36" s="105">
        <f t="shared" ref="C36" si="2">E36-(E36*D36)</f>
        <v>12.6</v>
      </c>
      <c r="D36" s="459">
        <v>0.4</v>
      </c>
      <c r="E36" s="105">
        <v>21</v>
      </c>
      <c r="F36" s="465">
        <f>ROUND(B36*'MK Bases Model (Base Case)'!$E$13,0)</f>
        <v>164056</v>
      </c>
      <c r="G36" s="442" t="s">
        <v>42</v>
      </c>
    </row>
    <row r="37" spans="1:7" ht="15.95">
      <c r="A37" s="456" t="s">
        <v>88</v>
      </c>
      <c r="B37" s="863">
        <f>'MK ACV Y1-Y5'!F21/'MK ACV Y1-Y5'!F22</f>
        <v>1.4070883119106625E-2</v>
      </c>
      <c r="C37" s="105">
        <f>E37-(E37*D37)</f>
        <v>11.549999999999999</v>
      </c>
      <c r="D37" s="459">
        <v>0.45</v>
      </c>
      <c r="E37" s="105">
        <v>21</v>
      </c>
      <c r="F37" s="465">
        <f>ROUND(B37*'MK Bases Model (Base Case)'!$E$13,0)</f>
        <v>4970</v>
      </c>
      <c r="G37" s="442" t="s">
        <v>42</v>
      </c>
    </row>
    <row r="38" spans="1:7" ht="15.95">
      <c r="A38" s="456" t="s">
        <v>90</v>
      </c>
      <c r="B38" s="864">
        <f>'MK ACV Y1-Y5'!F18/'MK ACV Y1-Y5'!F22</f>
        <v>5.2530249704525293E-2</v>
      </c>
      <c r="C38" s="105">
        <f>E38-(E38*D38)</f>
        <v>11.549999999999999</v>
      </c>
      <c r="D38" s="459">
        <v>0.45</v>
      </c>
      <c r="E38" s="105">
        <v>21</v>
      </c>
      <c r="F38" s="465">
        <f>ROUND(B38*'MK Bases Model (Base Case)'!$E$13,0)</f>
        <v>18554</v>
      </c>
      <c r="G38" s="442" t="s">
        <v>42</v>
      </c>
    </row>
    <row r="39" spans="1:7" ht="15.95">
      <c r="A39" s="456" t="s">
        <v>91</v>
      </c>
      <c r="B39" s="863">
        <f>'MK ACV Y1-Y5'!F17/'MK ACV Y1-Y5'!F22</f>
        <v>0.10035144592756105</v>
      </c>
      <c r="C39" s="105">
        <f>E39-(E39*D39)</f>
        <v>11.399999999999999</v>
      </c>
      <c r="D39" s="459">
        <v>0.4</v>
      </c>
      <c r="E39" s="105">
        <v>19</v>
      </c>
      <c r="F39" s="465">
        <f>ROUND(B39*'MK Bases Model (Base Case)'!$E$13,0)</f>
        <v>35445</v>
      </c>
      <c r="G39" s="442" t="s">
        <v>42</v>
      </c>
    </row>
    <row r="40" spans="1:7" ht="15.95">
      <c r="A40" s="466" t="s">
        <v>79</v>
      </c>
      <c r="B40" s="469"/>
      <c r="C40" s="866">
        <f>AVERAGE(C35:C39)</f>
        <v>11.819999999999999</v>
      </c>
      <c r="D40" s="472"/>
      <c r="E40" s="474"/>
      <c r="F40" s="464"/>
      <c r="G40" s="861">
        <f>SUM(F35:F39)*C40</f>
        <v>4174954.0199999996</v>
      </c>
    </row>
    <row r="41" spans="1:7" ht="15.95">
      <c r="A41" s="467" t="s">
        <v>92</v>
      </c>
      <c r="B41" s="470"/>
      <c r="C41" s="471"/>
      <c r="D41" s="473"/>
      <c r="E41" s="867">
        <f>AVERAGE(E35:E39)</f>
        <v>21.2</v>
      </c>
      <c r="F41" s="461"/>
      <c r="G41" s="683" t="s">
        <v>42</v>
      </c>
    </row>
    <row r="42" spans="1:7" ht="15.95">
      <c r="G42" s="65"/>
    </row>
    <row r="43" spans="1:7" ht="15.95">
      <c r="A43" s="455" t="s">
        <v>79</v>
      </c>
      <c r="B43" s="55"/>
      <c r="C43" s="55"/>
      <c r="D43" s="55"/>
      <c r="E43" s="55"/>
      <c r="F43" s="55"/>
      <c r="G43" s="681" t="s">
        <v>42</v>
      </c>
    </row>
    <row r="44" spans="1:7" ht="15.95">
      <c r="A44" s="454" t="s">
        <v>96</v>
      </c>
      <c r="B44" s="440" t="s">
        <v>81</v>
      </c>
      <c r="C44" s="440" t="s">
        <v>82</v>
      </c>
      <c r="D44" s="440" t="s">
        <v>48</v>
      </c>
      <c r="E44" s="440" t="s">
        <v>83</v>
      </c>
      <c r="F44" s="440" t="s">
        <v>84</v>
      </c>
      <c r="G44" s="682" t="s">
        <v>85</v>
      </c>
    </row>
    <row r="45" spans="1:7" ht="15.95">
      <c r="A45" s="64" t="s">
        <v>86</v>
      </c>
      <c r="B45" s="865">
        <f>'MK ACV Y1-Y5'!G19/'MK ACV Y1-Y5'!G22</f>
        <v>0.37348452999227</v>
      </c>
      <c r="C45" s="105">
        <f>E45-(E45*D45)</f>
        <v>11.5</v>
      </c>
      <c r="D45" s="459">
        <v>0.5</v>
      </c>
      <c r="E45" s="105">
        <v>23</v>
      </c>
      <c r="F45" s="465">
        <f>ROUND(B45*'MK Bases Model (Base Case)'!$F$13,0)</f>
        <v>162911</v>
      </c>
      <c r="G45" s="442" t="s">
        <v>42</v>
      </c>
    </row>
    <row r="46" spans="1:7" ht="15.95">
      <c r="A46" s="64" t="s">
        <v>87</v>
      </c>
      <c r="B46" s="865">
        <f>'MK ACV Y1-Y5'!G20/'MK ACV Y1-Y5'!G22</f>
        <v>0.42016743457136185</v>
      </c>
      <c r="C46" s="105">
        <f t="shared" ref="C46" si="3">E46-(E46*D46)</f>
        <v>12</v>
      </c>
      <c r="D46" s="459">
        <v>0.4</v>
      </c>
      <c r="E46" s="105">
        <v>20</v>
      </c>
      <c r="F46" s="465">
        <f>ROUND(B46*'MK Bases Model (Base Case)'!$F$13,0)</f>
        <v>183273</v>
      </c>
      <c r="G46" s="442" t="s">
        <v>42</v>
      </c>
    </row>
    <row r="47" spans="1:7" ht="15.95">
      <c r="A47" s="64" t="s">
        <v>88</v>
      </c>
      <c r="B47" s="865">
        <f>'MK ACV Y1-Y5'!G21/'MK ACV Y1-Y5'!G22</f>
        <v>1.2728768843898862E-2</v>
      </c>
      <c r="C47" s="105">
        <f>E47-(E47*D47)</f>
        <v>11</v>
      </c>
      <c r="D47" s="459">
        <v>0.45</v>
      </c>
      <c r="E47" s="105">
        <v>20</v>
      </c>
      <c r="F47" s="465">
        <f>ROUND(B47*'MK Bases Model (Base Case)'!$F$13,0)</f>
        <v>5552</v>
      </c>
      <c r="G47" s="442" t="s">
        <v>42</v>
      </c>
    </row>
    <row r="48" spans="1:7" ht="15.95">
      <c r="A48" s="64" t="s">
        <v>90</v>
      </c>
      <c r="B48" s="865">
        <f>'MK ACV Y1-Y5'!G18/'MK ACV Y1-Y5'!G22</f>
        <v>6.6527705489255642E-2</v>
      </c>
      <c r="C48" s="105">
        <f>E48-(E48*D48)</f>
        <v>11</v>
      </c>
      <c r="D48" s="459">
        <v>0.45</v>
      </c>
      <c r="E48" s="105">
        <v>20</v>
      </c>
      <c r="F48" s="465">
        <f>ROUND(B48*'MK Bases Model (Base Case)'!$F$13,0)</f>
        <v>29019</v>
      </c>
      <c r="G48" s="442" t="s">
        <v>42</v>
      </c>
    </row>
    <row r="49" spans="1:7" ht="15.75" customHeight="1">
      <c r="A49" s="64" t="s">
        <v>91</v>
      </c>
      <c r="B49" s="865">
        <f>'MK ACV Y1-Y5'!G17/'MK ACV Y1-Y5'!G22</f>
        <v>0.1270915611032136</v>
      </c>
      <c r="C49" s="105">
        <f>E49-(E49*D49)</f>
        <v>10.8</v>
      </c>
      <c r="D49" s="459">
        <v>0.4</v>
      </c>
      <c r="E49" s="105">
        <v>18</v>
      </c>
      <c r="F49" s="465">
        <f>ROUND(B49*'MK Bases Model (Base Case)'!$F$13,0)</f>
        <v>55436</v>
      </c>
      <c r="G49" s="442" t="s">
        <v>42</v>
      </c>
    </row>
    <row r="50" spans="1:7" ht="15.95">
      <c r="A50" s="457" t="s">
        <v>79</v>
      </c>
      <c r="B50" s="460"/>
      <c r="C50" s="859">
        <f>AVERAGE(C45:C49)</f>
        <v>11.26</v>
      </c>
      <c r="D50" s="462"/>
      <c r="E50" s="859"/>
      <c r="F50" s="464"/>
      <c r="G50" s="861">
        <f>SUM(F45:F49)*C50</f>
        <v>4911510.66</v>
      </c>
    </row>
    <row r="51" spans="1:7" ht="15.75" customHeight="1">
      <c r="A51" s="458" t="s">
        <v>92</v>
      </c>
      <c r="B51" s="461"/>
      <c r="C51" s="461"/>
      <c r="D51" s="463"/>
      <c r="E51" s="860">
        <f>AVERAGE(E45:E49)</f>
        <v>20.2</v>
      </c>
      <c r="F51" s="461"/>
      <c r="G51" s="683" t="s">
        <v>42</v>
      </c>
    </row>
    <row r="52" spans="1:7" ht="15.75" customHeight="1">
      <c r="G52" s="65"/>
    </row>
    <row r="53" spans="1:7" ht="15.75" customHeight="1">
      <c r="G53" s="65"/>
    </row>
    <row r="54" spans="1:7" ht="15.95">
      <c r="B54" s="194"/>
      <c r="G54" s="65"/>
    </row>
    <row r="55" spans="1:7" ht="15.95">
      <c r="G55" s="65"/>
    </row>
    <row r="56" spans="1:7" ht="15.95">
      <c r="G56" s="65"/>
    </row>
    <row r="57" spans="1:7" ht="15.95">
      <c r="G57" s="65"/>
    </row>
    <row r="58" spans="1:7" ht="15.95">
      <c r="G58" s="65"/>
    </row>
    <row r="59" spans="1:7" ht="15.95">
      <c r="G59" s="65"/>
    </row>
    <row r="60" spans="1:7" ht="15.95">
      <c r="C60" s="194"/>
      <c r="G60" s="65"/>
    </row>
    <row r="61" spans="1:7" ht="15.95">
      <c r="G61" s="65"/>
    </row>
    <row r="62" spans="1:7" ht="15.95">
      <c r="G62" s="65"/>
    </row>
    <row r="63" spans="1:7" ht="15.95">
      <c r="G63" s="65"/>
    </row>
    <row r="64" spans="1:7" ht="15.95">
      <c r="G64" s="65"/>
    </row>
    <row r="65" spans="7:7" ht="15.95">
      <c r="G65" s="65"/>
    </row>
    <row r="66" spans="7:7" ht="15.95">
      <c r="G66" s="65"/>
    </row>
    <row r="67" spans="7:7" ht="15.95">
      <c r="G67" s="65"/>
    </row>
    <row r="68" spans="7:7" ht="15.95">
      <c r="G68" s="65"/>
    </row>
    <row r="69" spans="7:7" ht="15.95">
      <c r="G69" s="65"/>
    </row>
    <row r="70" spans="7:7" ht="15.95">
      <c r="G70" s="65"/>
    </row>
    <row r="71" spans="7:7" ht="15.95">
      <c r="G71" s="65"/>
    </row>
    <row r="72" spans="7:7" ht="15.95">
      <c r="G72" s="65"/>
    </row>
    <row r="73" spans="7:7" ht="15.95">
      <c r="G73" s="65"/>
    </row>
    <row r="74" spans="7:7" ht="15.95">
      <c r="G74" s="65"/>
    </row>
    <row r="75" spans="7:7" ht="15.95">
      <c r="G75" s="65"/>
    </row>
    <row r="76" spans="7:7" ht="15.95">
      <c r="G76" s="65"/>
    </row>
    <row r="77" spans="7:7" ht="15.95">
      <c r="G77" s="65"/>
    </row>
    <row r="78" spans="7:7" ht="15.95">
      <c r="G78" s="65"/>
    </row>
    <row r="79" spans="7:7" ht="15.95">
      <c r="G79" s="65"/>
    </row>
    <row r="80" spans="7:7" ht="15.95">
      <c r="G80" s="65"/>
    </row>
    <row r="81" spans="7:7" ht="15.95">
      <c r="G81" s="65"/>
    </row>
    <row r="82" spans="7:7" ht="15.95">
      <c r="G82" s="65"/>
    </row>
    <row r="83" spans="7:7" ht="15.95">
      <c r="G83" s="65"/>
    </row>
    <row r="84" spans="7:7" ht="15.95">
      <c r="G84" s="65"/>
    </row>
    <row r="85" spans="7:7" ht="15.95">
      <c r="G85" s="65"/>
    </row>
    <row r="86" spans="7:7" ht="15.95">
      <c r="G86" s="65"/>
    </row>
    <row r="87" spans="7:7" ht="15.95">
      <c r="G87" s="65"/>
    </row>
    <row r="88" spans="7:7" ht="15.95">
      <c r="G88" s="65"/>
    </row>
    <row r="89" spans="7:7" ht="15.95">
      <c r="G89" s="65"/>
    </row>
    <row r="90" spans="7:7" ht="15.95">
      <c r="G90" s="65"/>
    </row>
    <row r="91" spans="7:7" ht="15.95">
      <c r="G91" s="65"/>
    </row>
    <row r="92" spans="7:7" ht="15.95">
      <c r="G92" s="65"/>
    </row>
  </sheetData>
  <hyperlinks>
    <hyperlink ref="A1" location="'Index'!A1" display="Back to Index" xr:uid="{0266AFA1-6564-4476-B61B-BEC774750FC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53A0-57AE-423B-BA0B-0F05A3CCFD6B}">
  <sheetPr>
    <tabColor rgb="FF9BC2E6"/>
  </sheetPr>
  <dimension ref="A1:M90"/>
  <sheetViews>
    <sheetView topLeftCell="A66" workbookViewId="0">
      <selection activeCell="J10" sqref="J10"/>
    </sheetView>
  </sheetViews>
  <sheetFormatPr defaultColWidth="7.625" defaultRowHeight="15.95"/>
  <cols>
    <col min="1" max="1" width="57.625" bestFit="1" customWidth="1"/>
    <col min="2" max="2" width="13.875" customWidth="1"/>
    <col min="3" max="4" width="14.625" bestFit="1" customWidth="1"/>
    <col min="5" max="5" width="12.625" bestFit="1" customWidth="1"/>
    <col min="6" max="6" width="12.375" bestFit="1" customWidth="1"/>
    <col min="7" max="7" width="11.625" customWidth="1"/>
    <col min="8" max="8" width="12" bestFit="1" customWidth="1"/>
    <col min="9" max="9" width="11.625" customWidth="1"/>
    <col min="10" max="10" width="14" bestFit="1" customWidth="1"/>
    <col min="11" max="11" width="22.125" customWidth="1"/>
    <col min="12" max="12" width="12.625" customWidth="1"/>
    <col min="13" max="13" width="27.875" customWidth="1"/>
  </cols>
  <sheetData>
    <row r="1" spans="1:13">
      <c r="A1" s="44" t="s">
        <v>41</v>
      </c>
      <c r="B1" s="120"/>
      <c r="C1" s="120"/>
      <c r="D1" s="120"/>
      <c r="E1" s="206"/>
      <c r="F1" s="206"/>
      <c r="G1" s="206"/>
      <c r="H1" s="206"/>
      <c r="I1" s="206"/>
      <c r="J1" s="206"/>
      <c r="K1" s="206"/>
      <c r="L1" s="206"/>
      <c r="M1" s="206"/>
    </row>
    <row r="2" spans="1:13">
      <c r="A2" s="120" t="s">
        <v>97</v>
      </c>
      <c r="B2" s="65"/>
      <c r="C2" s="65"/>
      <c r="D2" s="65"/>
      <c r="E2" s="65"/>
      <c r="F2" s="65"/>
      <c r="G2" s="65"/>
      <c r="H2" s="65"/>
      <c r="I2" s="65"/>
      <c r="J2" s="65"/>
      <c r="K2" s="206"/>
      <c r="L2" s="206"/>
      <c r="M2" s="206"/>
    </row>
    <row r="3" spans="1:13">
      <c r="A3" s="1107" t="s">
        <v>98</v>
      </c>
      <c r="B3" s="1108"/>
      <c r="C3" s="206"/>
      <c r="D3" s="206"/>
      <c r="E3" s="206"/>
      <c r="F3" s="206"/>
      <c r="G3" s="206"/>
      <c r="H3" s="206"/>
      <c r="I3" s="206"/>
      <c r="J3" s="206"/>
      <c r="K3" s="206"/>
      <c r="L3" s="206"/>
      <c r="M3" s="206"/>
    </row>
    <row r="4" spans="1:13" ht="119.1">
      <c r="A4" s="226" t="s">
        <v>99</v>
      </c>
      <c r="B4" s="226" t="s">
        <v>100</v>
      </c>
      <c r="C4" s="65"/>
      <c r="D4" s="65"/>
      <c r="E4" s="65"/>
      <c r="F4" s="65"/>
      <c r="G4" s="65"/>
      <c r="H4" s="206"/>
      <c r="I4" s="287" t="s">
        <v>101</v>
      </c>
      <c r="J4" s="289" t="s">
        <v>42</v>
      </c>
      <c r="K4" s="206"/>
      <c r="L4" s="206"/>
      <c r="M4" s="206"/>
    </row>
    <row r="5" spans="1:13" ht="33.950000000000003">
      <c r="A5" s="226" t="s">
        <v>102</v>
      </c>
      <c r="B5" s="65" t="s">
        <v>103</v>
      </c>
      <c r="C5" s="65" t="s">
        <v>104</v>
      </c>
      <c r="D5" s="65" t="s">
        <v>105</v>
      </c>
      <c r="E5" s="65" t="s">
        <v>106</v>
      </c>
      <c r="F5" s="65" t="s">
        <v>107</v>
      </c>
      <c r="G5" s="65" t="s">
        <v>108</v>
      </c>
      <c r="H5" s="206"/>
      <c r="I5" s="360" t="s">
        <v>109</v>
      </c>
      <c r="J5" s="361" t="s">
        <v>110</v>
      </c>
      <c r="K5" s="206"/>
      <c r="L5" s="206"/>
      <c r="M5" s="206"/>
    </row>
    <row r="6" spans="1:13">
      <c r="A6" s="65" t="s">
        <v>111</v>
      </c>
      <c r="B6" s="65">
        <v>4</v>
      </c>
      <c r="C6" s="65">
        <v>29</v>
      </c>
      <c r="D6" s="65">
        <v>28</v>
      </c>
      <c r="E6" s="65">
        <v>39</v>
      </c>
      <c r="F6" s="65">
        <v>6</v>
      </c>
      <c r="G6" s="65">
        <v>106</v>
      </c>
      <c r="H6" s="206"/>
      <c r="I6" s="362">
        <v>39</v>
      </c>
      <c r="J6" s="363">
        <v>6</v>
      </c>
      <c r="K6" s="206"/>
      <c r="L6" s="206"/>
      <c r="M6" s="206"/>
    </row>
    <row r="7" spans="1:13">
      <c r="A7" s="65" t="s">
        <v>112</v>
      </c>
      <c r="B7" s="65"/>
      <c r="C7" s="65">
        <v>1</v>
      </c>
      <c r="D7" s="65">
        <v>11</v>
      </c>
      <c r="E7" s="65">
        <v>15</v>
      </c>
      <c r="F7" s="65">
        <v>3</v>
      </c>
      <c r="G7" s="65">
        <v>30</v>
      </c>
      <c r="H7" s="206"/>
      <c r="I7" s="364">
        <v>15</v>
      </c>
      <c r="J7" s="365">
        <v>3</v>
      </c>
      <c r="K7" s="206"/>
      <c r="L7" s="206"/>
      <c r="M7" s="206"/>
    </row>
    <row r="8" spans="1:13">
      <c r="A8" s="65" t="s">
        <v>113</v>
      </c>
      <c r="B8" s="65"/>
      <c r="C8" s="65"/>
      <c r="D8" s="65">
        <v>1</v>
      </c>
      <c r="E8" s="65">
        <v>8</v>
      </c>
      <c r="F8" s="65">
        <v>4</v>
      </c>
      <c r="G8" s="65">
        <v>13</v>
      </c>
      <c r="H8" s="206"/>
      <c r="I8" s="366">
        <v>8</v>
      </c>
      <c r="J8" s="66">
        <v>4</v>
      </c>
      <c r="K8" s="206"/>
      <c r="L8" s="206"/>
      <c r="M8" s="206"/>
    </row>
    <row r="9" spans="1:13">
      <c r="A9" s="65" t="s">
        <v>114</v>
      </c>
      <c r="B9" s="65"/>
      <c r="C9" s="65"/>
      <c r="D9" s="65"/>
      <c r="E9" s="65">
        <v>2</v>
      </c>
      <c r="F9" s="65"/>
      <c r="G9" s="65">
        <v>2</v>
      </c>
      <c r="H9" s="206"/>
      <c r="I9" s="367">
        <v>2</v>
      </c>
      <c r="J9" s="368">
        <v>0</v>
      </c>
      <c r="K9" s="206"/>
      <c r="L9" s="206"/>
      <c r="M9" s="206"/>
    </row>
    <row r="10" spans="1:13">
      <c r="A10" s="65" t="s">
        <v>108</v>
      </c>
      <c r="B10" s="65">
        <v>4</v>
      </c>
      <c r="C10" s="65">
        <v>30</v>
      </c>
      <c r="D10" s="65">
        <v>40</v>
      </c>
      <c r="E10" s="65">
        <v>64</v>
      </c>
      <c r="F10" s="65">
        <v>13</v>
      </c>
      <c r="G10" s="65">
        <v>151</v>
      </c>
      <c r="H10" s="206" t="s">
        <v>115</v>
      </c>
      <c r="I10" s="369">
        <v>64</v>
      </c>
      <c r="J10" s="370">
        <v>13</v>
      </c>
      <c r="K10" s="206"/>
      <c r="L10" s="206"/>
      <c r="M10" s="206"/>
    </row>
    <row r="11" spans="1:13">
      <c r="A11" s="206"/>
      <c r="B11" s="206"/>
      <c r="C11" s="206"/>
      <c r="D11" s="206"/>
      <c r="E11" s="206"/>
      <c r="F11" s="206"/>
      <c r="G11" s="206"/>
      <c r="H11" s="206"/>
      <c r="I11" s="206" t="s">
        <v>42</v>
      </c>
      <c r="J11" s="206" t="s">
        <v>42</v>
      </c>
      <c r="K11" s="206"/>
      <c r="L11" s="206"/>
      <c r="M11" s="206"/>
    </row>
    <row r="12" spans="1:13">
      <c r="A12" s="206"/>
      <c r="B12" s="206"/>
      <c r="C12" s="206"/>
      <c r="D12" s="143"/>
      <c r="E12" s="206"/>
      <c r="H12" s="374">
        <f>G13/G14</f>
        <v>8.8823529411764701E-6</v>
      </c>
      <c r="I12" s="206"/>
      <c r="J12" s="206"/>
      <c r="K12" s="206"/>
      <c r="L12" s="206"/>
      <c r="M12" s="206"/>
    </row>
    <row r="13" spans="1:13">
      <c r="A13" s="206"/>
      <c r="B13" s="143"/>
      <c r="C13" s="206"/>
      <c r="D13" s="206"/>
      <c r="E13" s="206"/>
      <c r="F13" s="371" t="s">
        <v>116</v>
      </c>
      <c r="G13" s="372">
        <v>151</v>
      </c>
      <c r="H13" s="206"/>
      <c r="I13" s="206"/>
      <c r="J13" s="206"/>
      <c r="K13" s="206"/>
      <c r="L13" s="206"/>
      <c r="M13" s="206"/>
    </row>
    <row r="14" spans="1:13">
      <c r="A14" s="206"/>
      <c r="B14" s="206"/>
      <c r="C14" s="206"/>
      <c r="D14" s="206"/>
      <c r="E14" s="206"/>
      <c r="F14" s="144" t="s">
        <v>117</v>
      </c>
      <c r="G14" s="373">
        <v>17000000</v>
      </c>
      <c r="H14" s="206"/>
      <c r="I14" s="206"/>
      <c r="J14" s="206"/>
      <c r="K14" s="206"/>
      <c r="L14" s="206"/>
      <c r="M14" s="206"/>
    </row>
    <row r="15" spans="1:13">
      <c r="L15" s="206"/>
      <c r="M15" s="206"/>
    </row>
    <row r="16" spans="1:13">
      <c r="A16" s="145" t="s">
        <v>118</v>
      </c>
      <c r="B16" s="146" t="s">
        <v>119</v>
      </c>
      <c r="C16" s="146" t="s">
        <v>120</v>
      </c>
      <c r="D16" s="146" t="s">
        <v>121</v>
      </c>
      <c r="E16" s="146" t="s">
        <v>122</v>
      </c>
      <c r="F16" s="146" t="s">
        <v>123</v>
      </c>
      <c r="G16" s="146" t="s">
        <v>124</v>
      </c>
      <c r="H16" s="146" t="s">
        <v>125</v>
      </c>
      <c r="I16" s="147" t="s">
        <v>126</v>
      </c>
      <c r="J16" s="143" t="s">
        <v>127</v>
      </c>
      <c r="K16" s="143" t="s">
        <v>128</v>
      </c>
      <c r="L16" s="208"/>
      <c r="M16" s="206"/>
    </row>
    <row r="17" spans="1:13">
      <c r="A17" s="207">
        <v>17.5</v>
      </c>
      <c r="B17" s="208">
        <f t="shared" ref="B17:C20" si="0">I6/$G$13</f>
        <v>0.25827814569536423</v>
      </c>
      <c r="C17" s="208">
        <f t="shared" si="0"/>
        <v>3.9735099337748346E-2</v>
      </c>
      <c r="D17" s="208">
        <f>B17*0.3</f>
        <v>7.7483443708609268E-2</v>
      </c>
      <c r="E17" s="208">
        <f>C17*0.8</f>
        <v>3.1788079470198675E-2</v>
      </c>
      <c r="F17" s="208">
        <f>SUM(D17:E17)</f>
        <v>0.10927152317880795</v>
      </c>
      <c r="G17" s="208">
        <f>SUM(F17:F20)</f>
        <v>0.19602649006622513</v>
      </c>
      <c r="H17" s="209">
        <f>G17*$G$14</f>
        <v>3332450.3311258275</v>
      </c>
      <c r="I17" s="210">
        <f>H17*A17</f>
        <v>58317880.794701979</v>
      </c>
      <c r="J17" s="208">
        <f>SUM(D17:D20)</f>
        <v>0.1271523178807947</v>
      </c>
      <c r="K17" s="208">
        <f>SUM(E17:E20)</f>
        <v>6.887417218543046E-2</v>
      </c>
      <c r="L17" s="206"/>
      <c r="M17" s="206"/>
    </row>
    <row r="18" spans="1:13">
      <c r="A18" s="207">
        <v>22.5</v>
      </c>
      <c r="B18" s="208">
        <f t="shared" si="0"/>
        <v>9.9337748344370855E-2</v>
      </c>
      <c r="C18" s="208">
        <f t="shared" si="0"/>
        <v>1.9867549668874173E-2</v>
      </c>
      <c r="D18" s="208">
        <f t="shared" ref="D18:D20" si="1">B18*0.3</f>
        <v>2.9801324503311254E-2</v>
      </c>
      <c r="E18" s="208">
        <f t="shared" ref="E18:E20" si="2">C18*0.8</f>
        <v>1.5894039735099338E-2</v>
      </c>
      <c r="F18" s="208">
        <f t="shared" ref="F18:F20" si="3">SUM(D18:E18)</f>
        <v>4.5695364238410592E-2</v>
      </c>
      <c r="G18" s="208">
        <f>SUM(F18:F21)</f>
        <v>8.6754966887417226E-2</v>
      </c>
      <c r="H18" s="209">
        <f>G18*$G$14</f>
        <v>1474834.4370860928</v>
      </c>
      <c r="I18" s="210">
        <f>H18*A18</f>
        <v>33183774.834437087</v>
      </c>
      <c r="J18" s="206"/>
      <c r="K18" s="206"/>
      <c r="L18" s="206"/>
      <c r="M18" s="206"/>
    </row>
    <row r="19" spans="1:13">
      <c r="A19" s="207">
        <v>27.5</v>
      </c>
      <c r="B19" s="208">
        <f t="shared" si="0"/>
        <v>5.2980132450331126E-2</v>
      </c>
      <c r="C19" s="208">
        <f t="shared" si="0"/>
        <v>2.6490066225165563E-2</v>
      </c>
      <c r="D19" s="208">
        <f t="shared" si="1"/>
        <v>1.5894039735099338E-2</v>
      </c>
      <c r="E19" s="208">
        <f t="shared" si="2"/>
        <v>2.119205298013245E-2</v>
      </c>
      <c r="F19" s="208">
        <f t="shared" si="3"/>
        <v>3.7086092715231792E-2</v>
      </c>
      <c r="G19" s="208">
        <f>SUM(F19:F21)</f>
        <v>4.1059602649006627E-2</v>
      </c>
      <c r="H19" s="209">
        <f>G19*$G$14</f>
        <v>698013.2450331127</v>
      </c>
      <c r="I19" s="210">
        <f t="shared" ref="I19:I20" si="4">H19*A19</f>
        <v>19195364.2384106</v>
      </c>
      <c r="J19" s="206"/>
      <c r="K19" s="206"/>
      <c r="L19" s="206"/>
      <c r="M19" s="206"/>
    </row>
    <row r="20" spans="1:13">
      <c r="A20" s="211">
        <v>32.5</v>
      </c>
      <c r="B20" s="212">
        <f t="shared" si="0"/>
        <v>1.3245033112582781E-2</v>
      </c>
      <c r="C20" s="212">
        <f t="shared" si="0"/>
        <v>0</v>
      </c>
      <c r="D20" s="212">
        <f t="shared" si="1"/>
        <v>3.9735099337748344E-3</v>
      </c>
      <c r="E20" s="212">
        <f t="shared" si="2"/>
        <v>0</v>
      </c>
      <c r="F20" s="212">
        <f t="shared" si="3"/>
        <v>3.9735099337748344E-3</v>
      </c>
      <c r="G20" s="212">
        <f>SUM(F20:F22)</f>
        <v>3.9735099337748344E-3</v>
      </c>
      <c r="H20" s="213">
        <f>G20*$G$14</f>
        <v>67549.668874172188</v>
      </c>
      <c r="I20" s="214">
        <f t="shared" si="4"/>
        <v>2195364.2384105963</v>
      </c>
      <c r="J20" s="206"/>
      <c r="K20" s="206"/>
      <c r="L20" s="206"/>
      <c r="M20" s="206"/>
    </row>
    <row r="21" spans="1:13">
      <c r="A21" s="206" t="s">
        <v>42</v>
      </c>
      <c r="B21" s="206"/>
      <c r="C21" s="206"/>
      <c r="D21" s="206"/>
      <c r="E21" s="206"/>
      <c r="F21" s="206"/>
      <c r="G21" s="206"/>
      <c r="H21" s="206"/>
      <c r="I21" s="206"/>
      <c r="J21" s="206"/>
      <c r="K21" s="206" t="s">
        <v>42</v>
      </c>
      <c r="L21" s="206"/>
      <c r="M21" s="206"/>
    </row>
    <row r="22" spans="1:13">
      <c r="A22" s="206"/>
      <c r="B22" s="206"/>
      <c r="C22" s="206"/>
      <c r="D22" s="206"/>
      <c r="E22" s="206"/>
      <c r="F22" s="206"/>
      <c r="G22" s="206"/>
      <c r="H22" s="206"/>
      <c r="I22" s="206"/>
      <c r="J22" s="206"/>
      <c r="K22" s="206"/>
      <c r="L22" s="206"/>
      <c r="M22" s="206"/>
    </row>
    <row r="23" spans="1:13">
      <c r="A23" s="206"/>
      <c r="B23" s="206"/>
      <c r="C23" s="206"/>
      <c r="D23" s="206"/>
      <c r="E23" s="206"/>
      <c r="F23" s="206"/>
      <c r="G23" s="206"/>
      <c r="H23" s="206"/>
      <c r="I23" s="206"/>
      <c r="J23" s="206"/>
      <c r="K23" s="206"/>
      <c r="L23" s="206"/>
      <c r="M23" s="206"/>
    </row>
    <row r="24" spans="1:13">
      <c r="A24" s="206"/>
      <c r="B24" s="206"/>
      <c r="C24" s="206"/>
      <c r="D24" s="206"/>
      <c r="E24" s="206"/>
      <c r="F24" s="206"/>
      <c r="G24" s="206"/>
      <c r="H24" s="206"/>
    </row>
    <row r="25" spans="1:13">
      <c r="C25" s="206"/>
      <c r="D25" s="206"/>
      <c r="E25" s="206"/>
      <c r="F25" s="206"/>
      <c r="G25" s="206"/>
      <c r="H25" s="206"/>
      <c r="I25" s="206"/>
      <c r="J25" s="206"/>
      <c r="K25" s="148" t="s">
        <v>129</v>
      </c>
      <c r="L25" s="215">
        <v>1.2</v>
      </c>
      <c r="M25" s="206"/>
    </row>
    <row r="26" spans="1:13">
      <c r="A26" s="1109" t="s">
        <v>130</v>
      </c>
      <c r="B26" s="1109"/>
      <c r="C26" s="206"/>
      <c r="D26" s="206"/>
      <c r="E26" s="206"/>
      <c r="F26" s="206"/>
      <c r="G26" s="206"/>
      <c r="H26" s="206"/>
      <c r="I26" s="206"/>
      <c r="J26" s="206"/>
      <c r="K26" s="206"/>
      <c r="L26" s="206"/>
      <c r="M26" s="206"/>
    </row>
    <row r="27" spans="1:13">
      <c r="A27" s="145" t="s">
        <v>118</v>
      </c>
      <c r="B27" s="147" t="s">
        <v>124</v>
      </c>
      <c r="C27" s="206"/>
      <c r="D27" s="206"/>
      <c r="E27" s="206"/>
      <c r="F27" s="206"/>
      <c r="G27" s="206"/>
      <c r="H27" s="206"/>
      <c r="I27" s="145" t="s">
        <v>131</v>
      </c>
      <c r="J27" s="146" t="s">
        <v>124</v>
      </c>
      <c r="K27" s="146" t="s">
        <v>132</v>
      </c>
      <c r="L27" s="146" t="s">
        <v>133</v>
      </c>
      <c r="M27" s="149" t="s">
        <v>134</v>
      </c>
    </row>
    <row r="28" spans="1:13">
      <c r="A28" s="207">
        <v>17.5</v>
      </c>
      <c r="B28" s="216">
        <v>0.196026490066225</v>
      </c>
      <c r="I28" s="217">
        <v>17.5</v>
      </c>
      <c r="J28" s="218">
        <f>(-0.0124*I28+0.3929)</f>
        <v>0.17590000000000003</v>
      </c>
      <c r="K28" s="219">
        <f>I28*J28*G14</f>
        <v>52330250.000000007</v>
      </c>
      <c r="L28" s="220" t="s">
        <v>42</v>
      </c>
      <c r="M28" s="221" t="s">
        <v>42</v>
      </c>
    </row>
    <row r="29" spans="1:13">
      <c r="A29" s="207">
        <v>22.5</v>
      </c>
      <c r="B29" s="216">
        <v>8.6754966887417226E-2</v>
      </c>
    </row>
    <row r="30" spans="1:13">
      <c r="A30" s="207">
        <v>27.5</v>
      </c>
      <c r="B30" s="216">
        <v>4.1059602649006627E-2</v>
      </c>
    </row>
    <row r="31" spans="1:13">
      <c r="A31" s="211">
        <v>32.5</v>
      </c>
      <c r="B31" s="222">
        <v>3.9735099337748344E-3</v>
      </c>
    </row>
    <row r="42" spans="1:13">
      <c r="A42" s="190" t="s">
        <v>135</v>
      </c>
      <c r="B42" s="191"/>
      <c r="C42" s="191"/>
      <c r="D42" s="191"/>
      <c r="E42" s="192"/>
    </row>
    <row r="43" spans="1:13">
      <c r="A43" s="51" t="s">
        <v>80</v>
      </c>
      <c r="B43" t="s">
        <v>93</v>
      </c>
      <c r="C43" t="s">
        <v>94</v>
      </c>
      <c r="D43" t="s">
        <v>95</v>
      </c>
      <c r="E43" s="99" t="s">
        <v>96</v>
      </c>
    </row>
    <row r="44" spans="1:13">
      <c r="A44" s="189">
        <f>(-0.0124*'MK Avg. Man. Selling Price'!$C10)+0.3929+'MK Segment Variable Analysis'!$B$59</f>
        <v>0.25584000000000007</v>
      </c>
      <c r="B44" s="189">
        <f>(-0.0124*'MK Avg. Man. Selling Price'!C20)+0.3929+'MK Segment Variable Analysis'!$B$59</f>
        <v>0.25584000000000007</v>
      </c>
      <c r="C44" s="189">
        <f>(-0.0124*'MK Avg. Man. Selling Price'!C30)+0.3929+'MK Segment Variable Analysis'!$B$59</f>
        <v>0.26266000000000006</v>
      </c>
      <c r="D44" s="189">
        <f>(-0.0124*'MK Avg. Man. Selling Price'!C40)+0.3929+'MK Segment Variable Analysis'!$B$59</f>
        <v>0.27233200000000007</v>
      </c>
      <c r="E44" s="189">
        <f>(-0.0124*'MK Avg. Man. Selling Price'!C50)+0.3929+'MK Segment Variable Analysis'!$B$59</f>
        <v>0.27927600000000008</v>
      </c>
    </row>
    <row r="48" spans="1:13">
      <c r="A48" s="684" t="s">
        <v>136</v>
      </c>
      <c r="B48" s="684"/>
      <c r="C48" s="65"/>
      <c r="D48" s="65"/>
      <c r="E48" s="65"/>
      <c r="F48" s="65"/>
      <c r="G48" s="65"/>
      <c r="H48" s="65"/>
      <c r="I48" s="24"/>
      <c r="J48" s="24"/>
      <c r="K48" s="24"/>
      <c r="L48" s="24"/>
      <c r="M48" s="24"/>
    </row>
    <row r="49" spans="1:13">
      <c r="A49" s="65"/>
      <c r="B49" s="65"/>
      <c r="C49" s="65"/>
      <c r="D49" s="65"/>
      <c r="E49" s="65"/>
      <c r="F49" s="65"/>
      <c r="G49" s="65"/>
      <c r="H49" s="65"/>
      <c r="I49" s="115"/>
      <c r="J49" s="115"/>
      <c r="K49" s="115"/>
      <c r="L49" s="115"/>
      <c r="M49" s="115"/>
    </row>
    <row r="50" spans="1:13">
      <c r="A50" s="685" t="s">
        <v>137</v>
      </c>
      <c r="B50" s="115"/>
      <c r="C50" s="65"/>
      <c r="D50" s="65"/>
      <c r="E50" s="65"/>
      <c r="F50" s="65"/>
      <c r="G50" s="65"/>
      <c r="H50" s="65"/>
      <c r="I50" s="65"/>
      <c r="J50" s="65"/>
      <c r="K50" s="65"/>
      <c r="L50" s="65"/>
      <c r="M50" s="65"/>
    </row>
    <row r="51" spans="1:13">
      <c r="A51" s="65"/>
      <c r="B51" s="65"/>
      <c r="C51" s="65"/>
      <c r="D51" s="65"/>
      <c r="E51" s="65"/>
      <c r="F51" s="65"/>
      <c r="G51" s="115"/>
      <c r="H51" s="65"/>
      <c r="I51" s="65"/>
      <c r="J51" s="65"/>
      <c r="K51" s="115"/>
      <c r="L51" s="65"/>
      <c r="M51" s="65"/>
    </row>
    <row r="52" spans="1:13">
      <c r="A52" s="680" t="s">
        <v>138</v>
      </c>
      <c r="B52" s="680"/>
      <c r="C52" s="65"/>
      <c r="D52" s="65"/>
      <c r="E52" s="65"/>
      <c r="F52" s="65"/>
      <c r="G52" s="65"/>
      <c r="H52" s="65"/>
      <c r="I52" s="65"/>
      <c r="J52" s="65"/>
      <c r="K52" s="65"/>
      <c r="L52" s="65"/>
      <c r="M52" s="65"/>
    </row>
    <row r="53" spans="1:13" ht="32.1">
      <c r="A53" s="286" t="s">
        <v>139</v>
      </c>
      <c r="B53" s="271" t="s">
        <v>103</v>
      </c>
      <c r="C53" s="271" t="s">
        <v>140</v>
      </c>
      <c r="D53" s="271" t="s">
        <v>141</v>
      </c>
      <c r="E53" s="271" t="s">
        <v>140</v>
      </c>
      <c r="F53" s="271" t="s">
        <v>105</v>
      </c>
      <c r="G53" s="271" t="s">
        <v>140</v>
      </c>
      <c r="H53" s="271" t="s">
        <v>106</v>
      </c>
      <c r="I53" s="271" t="s">
        <v>140</v>
      </c>
      <c r="J53" s="271" t="s">
        <v>107</v>
      </c>
      <c r="K53" s="271" t="s">
        <v>140</v>
      </c>
      <c r="L53" s="286" t="s">
        <v>142</v>
      </c>
      <c r="M53" s="686" t="s">
        <v>140</v>
      </c>
    </row>
    <row r="54" spans="1:13">
      <c r="A54" s="24" t="s">
        <v>143</v>
      </c>
      <c r="B54" s="24"/>
      <c r="C54" s="24"/>
      <c r="D54" s="24">
        <v>2</v>
      </c>
      <c r="E54" s="243">
        <v>6.6699999999999995E-2</v>
      </c>
      <c r="F54" s="24">
        <v>2</v>
      </c>
      <c r="G54" s="687">
        <v>0.05</v>
      </c>
      <c r="H54" s="24">
        <v>16</v>
      </c>
      <c r="I54" s="687">
        <v>0.25</v>
      </c>
      <c r="J54" s="24">
        <v>6</v>
      </c>
      <c r="K54" s="243">
        <v>0.46150000000000002</v>
      </c>
      <c r="L54" s="24">
        <v>38</v>
      </c>
      <c r="M54" s="243">
        <v>0.25169999999999998</v>
      </c>
    </row>
    <row r="55" spans="1:13">
      <c r="A55" s="24" t="s">
        <v>144</v>
      </c>
      <c r="B55" s="24"/>
      <c r="C55" s="24"/>
      <c r="D55" s="24">
        <v>8</v>
      </c>
      <c r="E55" s="243">
        <v>0.26669999999999999</v>
      </c>
      <c r="F55" s="24">
        <v>19</v>
      </c>
      <c r="G55" s="243">
        <v>0.47499999999999998</v>
      </c>
      <c r="H55" s="24">
        <v>25</v>
      </c>
      <c r="I55" s="243">
        <v>0.3906</v>
      </c>
      <c r="J55" s="24">
        <v>1</v>
      </c>
      <c r="K55" s="243">
        <v>7.6899999999999996E-2</v>
      </c>
      <c r="L55" s="24">
        <v>65</v>
      </c>
      <c r="M55" s="243">
        <v>0.43049999999999999</v>
      </c>
    </row>
    <row r="56" spans="1:13">
      <c r="A56" s="24" t="s">
        <v>145</v>
      </c>
      <c r="B56" s="24">
        <v>4</v>
      </c>
      <c r="C56" s="687">
        <v>1</v>
      </c>
      <c r="D56" s="24">
        <v>20</v>
      </c>
      <c r="E56" s="243">
        <v>0.66669999999999996</v>
      </c>
      <c r="F56" s="24">
        <v>19</v>
      </c>
      <c r="G56" s="243">
        <v>0.47499999999999998</v>
      </c>
      <c r="H56" s="24">
        <v>23</v>
      </c>
      <c r="I56" s="243">
        <v>0.3594</v>
      </c>
      <c r="J56" s="24">
        <v>6</v>
      </c>
      <c r="K56" s="243">
        <v>0.46150000000000002</v>
      </c>
      <c r="L56" s="24">
        <v>48</v>
      </c>
      <c r="M56" s="243">
        <v>0.31790000000000002</v>
      </c>
    </row>
    <row r="57" spans="1:13">
      <c r="A57" s="271" t="s">
        <v>108</v>
      </c>
      <c r="B57" s="271">
        <v>4</v>
      </c>
      <c r="C57" s="688">
        <v>1</v>
      </c>
      <c r="D57" s="271">
        <v>30</v>
      </c>
      <c r="E57" s="688">
        <v>1</v>
      </c>
      <c r="F57" s="271">
        <v>40</v>
      </c>
      <c r="G57" s="688">
        <v>1</v>
      </c>
      <c r="H57" s="271">
        <v>64</v>
      </c>
      <c r="I57" s="688">
        <v>1</v>
      </c>
      <c r="J57" s="271">
        <v>13</v>
      </c>
      <c r="K57" s="688">
        <v>1</v>
      </c>
      <c r="L57" s="245">
        <v>151</v>
      </c>
      <c r="M57" s="689">
        <v>1</v>
      </c>
    </row>
    <row r="58" spans="1:13">
      <c r="A58" s="65"/>
      <c r="B58" s="65"/>
      <c r="C58" s="65"/>
      <c r="D58" s="65"/>
      <c r="E58" s="65"/>
      <c r="F58" s="65"/>
      <c r="G58" s="65"/>
      <c r="H58" s="65"/>
      <c r="I58" s="65"/>
      <c r="J58" s="65"/>
      <c r="K58" s="65"/>
      <c r="L58" s="65"/>
      <c r="M58" s="65"/>
    </row>
    <row r="59" spans="1:13">
      <c r="A59" s="65"/>
      <c r="B59" s="65"/>
      <c r="C59" s="65"/>
      <c r="D59" s="65"/>
      <c r="E59" s="65"/>
      <c r="F59" s="65"/>
      <c r="G59" s="65"/>
      <c r="H59" s="65"/>
      <c r="I59" s="65"/>
      <c r="J59" s="65"/>
      <c r="K59" s="65"/>
      <c r="L59" s="65"/>
      <c r="M59" s="65"/>
    </row>
    <row r="60" spans="1:13">
      <c r="A60" s="685" t="s">
        <v>146</v>
      </c>
      <c r="B60" s="115"/>
      <c r="C60" s="65"/>
      <c r="D60" s="65"/>
      <c r="E60" s="115"/>
      <c r="F60" s="65"/>
      <c r="G60" s="65"/>
      <c r="H60" s="65"/>
      <c r="I60" s="115"/>
      <c r="J60" s="65"/>
      <c r="K60" s="65"/>
      <c r="L60" s="65"/>
      <c r="M60" s="65"/>
    </row>
    <row r="61" spans="1:13">
      <c r="A61" s="65"/>
      <c r="B61" s="65"/>
      <c r="C61" s="65"/>
      <c r="D61" s="65"/>
      <c r="E61" s="65"/>
      <c r="F61" s="65"/>
      <c r="G61" s="65"/>
      <c r="H61" s="65"/>
      <c r="I61" s="115"/>
      <c r="J61" s="65"/>
      <c r="K61" s="65"/>
      <c r="L61" s="65"/>
      <c r="M61" s="65"/>
    </row>
    <row r="62" spans="1:13">
      <c r="A62" s="680" t="s">
        <v>147</v>
      </c>
      <c r="B62" s="680"/>
      <c r="C62" s="65"/>
      <c r="D62" s="65"/>
      <c r="E62" s="65"/>
      <c r="F62" s="65"/>
      <c r="G62" s="65"/>
      <c r="H62" s="65"/>
      <c r="I62" s="65"/>
      <c r="J62" s="65"/>
      <c r="K62" s="65"/>
      <c r="L62" s="65"/>
      <c r="M62" s="65"/>
    </row>
    <row r="63" spans="1:13">
      <c r="A63" s="271" t="s">
        <v>42</v>
      </c>
      <c r="B63" s="271" t="s">
        <v>103</v>
      </c>
      <c r="C63" s="271" t="s">
        <v>42</v>
      </c>
      <c r="D63" s="271" t="s">
        <v>104</v>
      </c>
      <c r="E63" s="271"/>
      <c r="F63" s="271" t="s">
        <v>105</v>
      </c>
      <c r="G63" s="271" t="s">
        <v>42</v>
      </c>
      <c r="H63" s="271" t="s">
        <v>106</v>
      </c>
      <c r="I63" s="271" t="s">
        <v>42</v>
      </c>
      <c r="J63" s="271" t="s">
        <v>107</v>
      </c>
      <c r="K63" s="271" t="s">
        <v>42</v>
      </c>
      <c r="L63" s="271" t="s">
        <v>148</v>
      </c>
      <c r="M63" s="271" t="s">
        <v>149</v>
      </c>
    </row>
    <row r="64" spans="1:13">
      <c r="A64" s="272" t="s">
        <v>102</v>
      </c>
      <c r="B64" s="272" t="s">
        <v>150</v>
      </c>
      <c r="C64" s="272" t="s">
        <v>151</v>
      </c>
      <c r="D64" s="272" t="s">
        <v>150</v>
      </c>
      <c r="E64" s="272" t="s">
        <v>151</v>
      </c>
      <c r="F64" s="272" t="s">
        <v>150</v>
      </c>
      <c r="G64" s="272" t="s">
        <v>151</v>
      </c>
      <c r="H64" s="272" t="s">
        <v>150</v>
      </c>
      <c r="I64" s="272" t="s">
        <v>151</v>
      </c>
      <c r="J64" s="272" t="s">
        <v>150</v>
      </c>
      <c r="K64" s="272" t="s">
        <v>151</v>
      </c>
      <c r="L64" s="272" t="s">
        <v>42</v>
      </c>
      <c r="M64" s="272" t="s">
        <v>42</v>
      </c>
    </row>
    <row r="65" spans="1:13">
      <c r="A65" s="24" t="s">
        <v>111</v>
      </c>
      <c r="B65" s="24">
        <v>6</v>
      </c>
      <c r="C65" s="687">
        <v>0.75</v>
      </c>
      <c r="D65" s="24">
        <v>12</v>
      </c>
      <c r="E65" s="687">
        <v>0.75</v>
      </c>
      <c r="F65" s="24">
        <v>13</v>
      </c>
      <c r="G65" s="243">
        <v>0.76470000000000005</v>
      </c>
      <c r="H65" s="24">
        <v>38</v>
      </c>
      <c r="I65" s="243">
        <v>0.64410000000000001</v>
      </c>
      <c r="J65" s="24">
        <v>6</v>
      </c>
      <c r="K65" s="687">
        <v>0.6</v>
      </c>
      <c r="L65" s="24">
        <v>75</v>
      </c>
      <c r="M65" s="243">
        <v>0.68179999999999996</v>
      </c>
    </row>
    <row r="66" spans="1:13">
      <c r="A66" s="24" t="s">
        <v>112</v>
      </c>
      <c r="B66" s="24">
        <v>2</v>
      </c>
      <c r="C66" s="687">
        <v>0.25</v>
      </c>
      <c r="D66" s="24">
        <v>3</v>
      </c>
      <c r="E66" s="243">
        <v>0.1875</v>
      </c>
      <c r="F66" s="24">
        <v>1</v>
      </c>
      <c r="G66" s="243">
        <v>5.8799999999999998E-2</v>
      </c>
      <c r="H66" s="24">
        <v>17</v>
      </c>
      <c r="I66" s="243">
        <v>0.28810000000000002</v>
      </c>
      <c r="J66" s="24">
        <v>2</v>
      </c>
      <c r="K66" s="687">
        <v>0.2</v>
      </c>
      <c r="L66" s="24">
        <v>25</v>
      </c>
      <c r="M66" s="243">
        <v>0.2273</v>
      </c>
    </row>
    <row r="67" spans="1:13">
      <c r="A67" s="24" t="s">
        <v>113</v>
      </c>
      <c r="B67" s="24"/>
      <c r="C67" s="687">
        <v>0</v>
      </c>
      <c r="D67" s="24">
        <v>1</v>
      </c>
      <c r="E67" s="243">
        <v>6.25E-2</v>
      </c>
      <c r="F67" s="24">
        <v>2</v>
      </c>
      <c r="G67" s="243">
        <v>0.1176</v>
      </c>
      <c r="H67" s="24">
        <v>3</v>
      </c>
      <c r="I67" s="243">
        <v>5.0799999999999998E-2</v>
      </c>
      <c r="J67" s="24">
        <v>2</v>
      </c>
      <c r="K67" s="687">
        <v>0.2</v>
      </c>
      <c r="L67" s="24">
        <v>8</v>
      </c>
      <c r="M67" s="243">
        <v>7.2700000000000001E-2</v>
      </c>
    </row>
    <row r="68" spans="1:13">
      <c r="A68" s="24" t="s">
        <v>114</v>
      </c>
      <c r="B68" s="24"/>
      <c r="C68" s="687">
        <v>0</v>
      </c>
      <c r="D68" s="24"/>
      <c r="E68" s="687">
        <v>0</v>
      </c>
      <c r="F68" s="24">
        <v>1</v>
      </c>
      <c r="G68" s="243">
        <v>5.8799999999999998E-2</v>
      </c>
      <c r="H68" s="24">
        <v>1</v>
      </c>
      <c r="I68" s="243">
        <v>1.6899999999999998E-2</v>
      </c>
      <c r="J68" s="24"/>
      <c r="K68" s="687">
        <v>0</v>
      </c>
      <c r="L68" s="24">
        <v>2</v>
      </c>
      <c r="M68" s="243">
        <v>1.8200000000000001E-2</v>
      </c>
    </row>
    <row r="69" spans="1:13">
      <c r="A69" s="245" t="s">
        <v>108</v>
      </c>
      <c r="B69" s="245">
        <v>8</v>
      </c>
      <c r="C69" s="689">
        <v>1</v>
      </c>
      <c r="D69" s="245">
        <v>16</v>
      </c>
      <c r="E69" s="689">
        <v>1</v>
      </c>
      <c r="F69" s="245">
        <v>17</v>
      </c>
      <c r="G69" s="689">
        <v>1</v>
      </c>
      <c r="H69" s="245">
        <v>59</v>
      </c>
      <c r="I69" s="689">
        <v>1</v>
      </c>
      <c r="J69" s="245">
        <v>10</v>
      </c>
      <c r="K69" s="689">
        <v>1</v>
      </c>
      <c r="L69" s="245">
        <v>110</v>
      </c>
      <c r="M69" s="689">
        <v>1</v>
      </c>
    </row>
    <row r="70" spans="1:13">
      <c r="A70" s="65"/>
      <c r="B70" s="115"/>
      <c r="C70" s="65"/>
      <c r="D70" s="65"/>
      <c r="E70" s="65"/>
      <c r="F70" s="115"/>
      <c r="G70" s="65"/>
      <c r="H70" s="65"/>
      <c r="I70" s="65"/>
      <c r="J70" s="65"/>
      <c r="K70" s="65"/>
      <c r="L70" s="65"/>
      <c r="M70" s="65"/>
    </row>
    <row r="71" spans="1:13">
      <c r="A71" s="680" t="s">
        <v>152</v>
      </c>
      <c r="B71" s="680"/>
      <c r="C71" s="65"/>
      <c r="D71" s="65"/>
      <c r="E71" s="65"/>
      <c r="F71" s="115"/>
      <c r="G71" s="65"/>
      <c r="H71" s="65"/>
      <c r="I71" s="65"/>
      <c r="J71" s="65"/>
      <c r="K71" s="65"/>
      <c r="L71" s="65"/>
      <c r="M71" s="65"/>
    </row>
    <row r="72" spans="1:13">
      <c r="A72" s="271" t="s">
        <v>42</v>
      </c>
      <c r="B72" s="271" t="s">
        <v>103</v>
      </c>
      <c r="C72" s="271" t="s">
        <v>42</v>
      </c>
      <c r="D72" s="271" t="s">
        <v>104</v>
      </c>
      <c r="E72" s="271"/>
      <c r="F72" s="271" t="s">
        <v>105</v>
      </c>
      <c r="G72" s="271" t="s">
        <v>42</v>
      </c>
      <c r="H72" s="271" t="s">
        <v>106</v>
      </c>
      <c r="I72" s="271" t="s">
        <v>42</v>
      </c>
      <c r="J72" s="271" t="s">
        <v>107</v>
      </c>
      <c r="K72" s="271" t="s">
        <v>42</v>
      </c>
      <c r="L72" s="271" t="s">
        <v>148</v>
      </c>
      <c r="M72" s="271" t="s">
        <v>149</v>
      </c>
    </row>
    <row r="73" spans="1:13">
      <c r="A73" s="272" t="s">
        <v>102</v>
      </c>
      <c r="B73" s="272" t="s">
        <v>150</v>
      </c>
      <c r="C73" s="272" t="s">
        <v>151</v>
      </c>
      <c r="D73" s="272" t="s">
        <v>150</v>
      </c>
      <c r="E73" s="272" t="s">
        <v>151</v>
      </c>
      <c r="F73" s="272" t="s">
        <v>150</v>
      </c>
      <c r="G73" s="272" t="s">
        <v>151</v>
      </c>
      <c r="H73" s="272" t="s">
        <v>150</v>
      </c>
      <c r="I73" s="272" t="s">
        <v>151</v>
      </c>
      <c r="J73" s="272" t="s">
        <v>150</v>
      </c>
      <c r="K73" s="272" t="s">
        <v>151</v>
      </c>
      <c r="L73" s="272" t="s">
        <v>42</v>
      </c>
      <c r="M73" s="272" t="s">
        <v>42</v>
      </c>
    </row>
    <row r="74" spans="1:13">
      <c r="A74" s="24" t="s">
        <v>111</v>
      </c>
      <c r="B74" s="24">
        <v>5</v>
      </c>
      <c r="C74" s="243">
        <v>0.71430000000000005</v>
      </c>
      <c r="D74" s="24">
        <v>6</v>
      </c>
      <c r="E74" s="243">
        <v>0.66669999999999996</v>
      </c>
      <c r="F74" s="24">
        <v>5</v>
      </c>
      <c r="G74" s="243">
        <v>0.71430000000000005</v>
      </c>
      <c r="H74" s="24">
        <v>27</v>
      </c>
      <c r="I74" s="243">
        <v>0.64290000000000003</v>
      </c>
      <c r="J74" s="24">
        <v>6</v>
      </c>
      <c r="K74" s="243">
        <v>0.66669999999999996</v>
      </c>
      <c r="L74" s="24">
        <v>49</v>
      </c>
      <c r="M74" s="243">
        <v>0.66220000000000001</v>
      </c>
    </row>
    <row r="75" spans="1:13">
      <c r="A75" s="24" t="s">
        <v>112</v>
      </c>
      <c r="B75" s="24">
        <v>2</v>
      </c>
      <c r="C75" s="243">
        <v>0.28570000000000001</v>
      </c>
      <c r="D75" s="24">
        <v>2</v>
      </c>
      <c r="E75" s="243">
        <v>0.22220000000000001</v>
      </c>
      <c r="F75" s="24"/>
      <c r="G75" s="687">
        <v>0</v>
      </c>
      <c r="H75" s="24">
        <v>13</v>
      </c>
      <c r="I75" s="243">
        <v>0.3095</v>
      </c>
      <c r="J75" s="24">
        <v>2</v>
      </c>
      <c r="K75" s="243">
        <v>0.22220000000000001</v>
      </c>
      <c r="L75" s="24">
        <v>19</v>
      </c>
      <c r="M75" s="243">
        <v>0.25679999999999997</v>
      </c>
    </row>
    <row r="76" spans="1:13">
      <c r="A76" s="24" t="s">
        <v>113</v>
      </c>
      <c r="B76" s="24"/>
      <c r="C76" s="687">
        <v>0</v>
      </c>
      <c r="D76" s="24">
        <v>1</v>
      </c>
      <c r="E76" s="243">
        <v>0.1111</v>
      </c>
      <c r="F76" s="24">
        <v>1</v>
      </c>
      <c r="G76" s="243">
        <v>0.1429</v>
      </c>
      <c r="H76" s="24">
        <v>2</v>
      </c>
      <c r="I76" s="243">
        <v>4.7600000000000003E-2</v>
      </c>
      <c r="J76" s="24">
        <v>1</v>
      </c>
      <c r="K76" s="243">
        <v>0.1111</v>
      </c>
      <c r="L76" s="24">
        <v>5</v>
      </c>
      <c r="M76" s="243">
        <v>6.7599999999999993E-2</v>
      </c>
    </row>
    <row r="77" spans="1:13">
      <c r="A77" s="24" t="s">
        <v>114</v>
      </c>
      <c r="B77" s="24"/>
      <c r="C77" s="687">
        <v>0</v>
      </c>
      <c r="D77" s="24"/>
      <c r="E77" s="687">
        <v>0</v>
      </c>
      <c r="F77" s="24">
        <v>1</v>
      </c>
      <c r="G77" s="243">
        <v>0.1429</v>
      </c>
      <c r="H77" s="24"/>
      <c r="I77" s="687">
        <v>0</v>
      </c>
      <c r="J77" s="24"/>
      <c r="K77" s="687">
        <v>0</v>
      </c>
      <c r="L77" s="24">
        <v>1</v>
      </c>
      <c r="M77" s="243">
        <v>1.35E-2</v>
      </c>
    </row>
    <row r="78" spans="1:13">
      <c r="A78" s="245" t="s">
        <v>108</v>
      </c>
      <c r="B78" s="245">
        <v>7</v>
      </c>
      <c r="C78" s="689">
        <v>1</v>
      </c>
      <c r="D78" s="245">
        <v>9</v>
      </c>
      <c r="E78" s="689">
        <v>1</v>
      </c>
      <c r="F78" s="245">
        <v>7</v>
      </c>
      <c r="G78" s="689">
        <v>1</v>
      </c>
      <c r="H78" s="245">
        <v>42</v>
      </c>
      <c r="I78" s="689">
        <v>1</v>
      </c>
      <c r="J78" s="245">
        <v>9</v>
      </c>
      <c r="K78" s="689">
        <v>1</v>
      </c>
      <c r="L78" s="245">
        <v>74</v>
      </c>
      <c r="M78" s="689">
        <v>1</v>
      </c>
    </row>
    <row r="79" spans="1:13">
      <c r="A79" s="65"/>
      <c r="B79" s="65"/>
      <c r="C79" s="65"/>
      <c r="D79" s="65"/>
      <c r="E79" s="65"/>
      <c r="F79" s="65"/>
      <c r="G79" s="65"/>
      <c r="H79" s="65"/>
      <c r="I79" s="65"/>
      <c r="J79" s="65"/>
      <c r="K79" s="65"/>
      <c r="L79" s="65"/>
      <c r="M79" s="65"/>
    </row>
    <row r="80" spans="1:13">
      <c r="A80" s="65"/>
      <c r="B80" s="65"/>
      <c r="C80" s="65"/>
      <c r="D80" s="65"/>
      <c r="E80" s="65"/>
      <c r="F80" s="65"/>
      <c r="G80" s="65"/>
      <c r="H80" s="65"/>
      <c r="I80" s="65"/>
      <c r="J80" s="65"/>
      <c r="K80" s="65"/>
      <c r="L80" s="65"/>
      <c r="M80" s="65"/>
    </row>
    <row r="81" spans="1:13">
      <c r="A81" s="685" t="s">
        <v>153</v>
      </c>
      <c r="B81" s="115"/>
      <c r="C81" s="65"/>
      <c r="D81" s="65"/>
      <c r="E81" s="115"/>
      <c r="F81" s="65"/>
      <c r="G81" s="65"/>
      <c r="H81" s="115"/>
      <c r="I81" s="65"/>
      <c r="J81" s="65"/>
      <c r="K81" s="65"/>
      <c r="L81" s="65"/>
      <c r="M81" s="65"/>
    </row>
    <row r="82" spans="1:13">
      <c r="A82" s="65"/>
      <c r="B82" s="115"/>
      <c r="C82" s="65"/>
      <c r="D82" s="65"/>
      <c r="E82" s="115"/>
      <c r="F82" s="65"/>
      <c r="G82" s="65"/>
      <c r="H82" s="115"/>
      <c r="I82" s="65"/>
      <c r="J82" s="65"/>
      <c r="K82" s="65"/>
      <c r="L82" s="65"/>
      <c r="M82" s="65"/>
    </row>
    <row r="83" spans="1:13">
      <c r="A83" s="680" t="s">
        <v>154</v>
      </c>
      <c r="B83" s="115"/>
      <c r="C83" s="65"/>
      <c r="D83" s="65"/>
      <c r="E83" s="115"/>
      <c r="F83" s="65"/>
      <c r="G83" s="65"/>
      <c r="H83" s="115"/>
      <c r="I83" s="65"/>
      <c r="J83" s="65"/>
      <c r="K83" s="65"/>
      <c r="L83" s="65"/>
      <c r="M83" s="65"/>
    </row>
    <row r="84" spans="1:13">
      <c r="A84" s="271" t="s">
        <v>42</v>
      </c>
      <c r="B84" s="271" t="s">
        <v>103</v>
      </c>
      <c r="C84" s="271" t="s">
        <v>42</v>
      </c>
      <c r="D84" s="271" t="s">
        <v>104</v>
      </c>
      <c r="E84" s="271"/>
      <c r="F84" s="271" t="s">
        <v>105</v>
      </c>
      <c r="G84" s="271" t="s">
        <v>42</v>
      </c>
      <c r="H84" s="271" t="s">
        <v>106</v>
      </c>
      <c r="I84" s="271" t="s">
        <v>42</v>
      </c>
      <c r="J84" s="271" t="s">
        <v>107</v>
      </c>
      <c r="K84" s="271" t="s">
        <v>42</v>
      </c>
      <c r="L84" s="271" t="s">
        <v>155</v>
      </c>
      <c r="M84" s="271" t="s">
        <v>156</v>
      </c>
    </row>
    <row r="85" spans="1:13">
      <c r="A85" s="272" t="s">
        <v>102</v>
      </c>
      <c r="B85" s="271"/>
      <c r="C85" s="271"/>
      <c r="D85" s="272" t="s">
        <v>42</v>
      </c>
      <c r="E85" s="272" t="s">
        <v>42</v>
      </c>
      <c r="F85" s="272" t="s">
        <v>42</v>
      </c>
      <c r="G85" s="272" t="s">
        <v>42</v>
      </c>
      <c r="H85" s="272" t="s">
        <v>42</v>
      </c>
      <c r="I85" s="272" t="s">
        <v>42</v>
      </c>
      <c r="J85" s="272" t="s">
        <v>42</v>
      </c>
      <c r="K85" s="272" t="s">
        <v>42</v>
      </c>
      <c r="L85" s="272" t="s">
        <v>42</v>
      </c>
      <c r="M85" s="272" t="s">
        <v>42</v>
      </c>
    </row>
    <row r="86" spans="1:13">
      <c r="A86" s="24" t="s">
        <v>111</v>
      </c>
      <c r="B86" s="24">
        <v>4</v>
      </c>
      <c r="C86" s="243">
        <v>0.66669999999999996</v>
      </c>
      <c r="D86" s="24">
        <v>10</v>
      </c>
      <c r="E86" s="243">
        <v>0.71430000000000005</v>
      </c>
      <c r="F86" s="24">
        <v>13</v>
      </c>
      <c r="G86" s="243">
        <v>0.8125</v>
      </c>
      <c r="H86" s="24">
        <v>38</v>
      </c>
      <c r="I86" s="243">
        <v>0.60319999999999996</v>
      </c>
      <c r="J86" s="24">
        <v>9</v>
      </c>
      <c r="K86" s="243">
        <v>0.64290000000000003</v>
      </c>
      <c r="L86" s="24">
        <v>74</v>
      </c>
      <c r="M86" s="243">
        <v>0.65490000000000004</v>
      </c>
    </row>
    <row r="87" spans="1:13">
      <c r="A87" s="24" t="s">
        <v>112</v>
      </c>
      <c r="B87" s="24">
        <v>2</v>
      </c>
      <c r="C87" s="243">
        <v>0.33329999999999999</v>
      </c>
      <c r="D87" s="24">
        <v>4</v>
      </c>
      <c r="E87" s="243">
        <v>0.28570000000000001</v>
      </c>
      <c r="F87" s="24">
        <v>1</v>
      </c>
      <c r="G87" s="243">
        <v>6.25E-2</v>
      </c>
      <c r="H87" s="24">
        <v>19</v>
      </c>
      <c r="I87" s="243">
        <v>0.30159999999999998</v>
      </c>
      <c r="J87" s="24">
        <v>1</v>
      </c>
      <c r="K87" s="243">
        <v>7.1400000000000005E-2</v>
      </c>
      <c r="L87" s="24">
        <v>27</v>
      </c>
      <c r="M87" s="243">
        <v>0.2389</v>
      </c>
    </row>
    <row r="88" spans="1:13">
      <c r="A88" s="24" t="s">
        <v>113</v>
      </c>
      <c r="B88" s="24"/>
      <c r="C88" s="687">
        <v>0</v>
      </c>
      <c r="D88" s="24"/>
      <c r="E88" s="687">
        <v>0</v>
      </c>
      <c r="F88" s="24">
        <v>2</v>
      </c>
      <c r="G88" s="243">
        <v>0.125</v>
      </c>
      <c r="H88" s="24">
        <v>5</v>
      </c>
      <c r="I88" s="243">
        <v>7.9399999999999998E-2</v>
      </c>
      <c r="J88" s="24">
        <v>4</v>
      </c>
      <c r="K88" s="243">
        <v>0.28570000000000001</v>
      </c>
      <c r="L88" s="24">
        <v>11</v>
      </c>
      <c r="M88" s="243">
        <v>9.7299999999999998E-2</v>
      </c>
    </row>
    <row r="89" spans="1:13">
      <c r="A89" s="24" t="s">
        <v>114</v>
      </c>
      <c r="B89" s="24"/>
      <c r="C89" s="687">
        <v>0</v>
      </c>
      <c r="D89" s="24"/>
      <c r="E89" s="687">
        <v>0</v>
      </c>
      <c r="F89" s="24"/>
      <c r="G89" s="687">
        <v>0</v>
      </c>
      <c r="H89" s="24">
        <v>1</v>
      </c>
      <c r="I89" s="243">
        <v>1.5900000000000001E-2</v>
      </c>
      <c r="J89" s="24"/>
      <c r="K89" s="687">
        <v>0</v>
      </c>
      <c r="L89" s="24">
        <v>1</v>
      </c>
      <c r="M89" s="243">
        <v>8.8000000000000005E-3</v>
      </c>
    </row>
    <row r="90" spans="1:13">
      <c r="A90" s="245" t="s">
        <v>108</v>
      </c>
      <c r="B90" s="245">
        <v>6</v>
      </c>
      <c r="C90" s="689">
        <v>1</v>
      </c>
      <c r="D90" s="245">
        <v>14</v>
      </c>
      <c r="E90" s="689">
        <v>1</v>
      </c>
      <c r="F90" s="245">
        <v>16</v>
      </c>
      <c r="G90" s="689">
        <v>1</v>
      </c>
      <c r="H90" s="245">
        <v>63</v>
      </c>
      <c r="I90" s="689">
        <v>1</v>
      </c>
      <c r="J90" s="245">
        <v>14</v>
      </c>
      <c r="K90" s="689">
        <v>1</v>
      </c>
      <c r="L90" s="245">
        <v>113</v>
      </c>
      <c r="M90" s="689">
        <v>1</v>
      </c>
    </row>
  </sheetData>
  <mergeCells count="2">
    <mergeCell ref="A26:B26"/>
    <mergeCell ref="A3:B3"/>
  </mergeCells>
  <hyperlinks>
    <hyperlink ref="A1" location="'Index'!A1" display="Back to Index" xr:uid="{49257B9A-B008-47AE-A5E2-B29F7C8D7E4E}"/>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71145-707F-4169-B7AC-8B123FBFA215}">
  <sheetPr>
    <tabColor rgb="FF9BC2E6"/>
  </sheetPr>
  <dimension ref="A1:CF35"/>
  <sheetViews>
    <sheetView workbookViewId="0">
      <selection activeCell="N17" sqref="N17"/>
    </sheetView>
  </sheetViews>
  <sheetFormatPr defaultColWidth="8.875" defaultRowHeight="15.95"/>
  <cols>
    <col min="1" max="1" width="32.625" bestFit="1" customWidth="1"/>
    <col min="2" max="2" width="10.875" bestFit="1" customWidth="1"/>
    <col min="3" max="7" width="10" bestFit="1" customWidth="1"/>
    <col min="8" max="8" width="3.875" bestFit="1" customWidth="1"/>
    <col min="9" max="9" width="4.625" bestFit="1" customWidth="1"/>
    <col min="10" max="10" width="4" bestFit="1" customWidth="1"/>
    <col min="11" max="11" width="4.375" bestFit="1" customWidth="1"/>
    <col min="12" max="12" width="4.875" bestFit="1" customWidth="1"/>
    <col min="13" max="13" width="4.125" bestFit="1" customWidth="1"/>
    <col min="14" max="14" width="14" bestFit="1" customWidth="1"/>
    <col min="15" max="15" width="10.125" customWidth="1"/>
    <col min="16" max="16" width="11.5" bestFit="1" customWidth="1"/>
    <col min="18" max="18" width="32.625" bestFit="1" customWidth="1"/>
    <col min="21" max="25" width="9" bestFit="1" customWidth="1"/>
    <col min="31" max="31" width="14" bestFit="1" customWidth="1"/>
    <col min="32" max="32" width="10.125" bestFit="1" customWidth="1"/>
    <col min="33" max="33" width="11.5" bestFit="1" customWidth="1"/>
    <col min="35" max="35" width="32.625" bestFit="1" customWidth="1"/>
    <col min="48" max="48" width="14" bestFit="1" customWidth="1"/>
    <col min="49" max="49" width="10.125" bestFit="1" customWidth="1"/>
    <col min="50" max="50" width="11.5" bestFit="1" customWidth="1"/>
    <col min="52" max="52" width="32.625" bestFit="1" customWidth="1"/>
    <col min="65" max="65" width="14" bestFit="1" customWidth="1"/>
    <col min="66" max="66" width="10.125" bestFit="1" customWidth="1"/>
    <col min="67" max="67" width="11.5" bestFit="1" customWidth="1"/>
    <col min="69" max="69" width="32.625" bestFit="1" customWidth="1"/>
    <col min="82" max="82" width="14" bestFit="1" customWidth="1"/>
    <col min="83" max="83" width="10.125" bestFit="1" customWidth="1"/>
    <col min="84" max="84" width="11.5" bestFit="1" customWidth="1"/>
  </cols>
  <sheetData>
    <row r="1" spans="1:84">
      <c r="A1" s="44" t="s">
        <v>41</v>
      </c>
    </row>
    <row r="2" spans="1:84">
      <c r="A2" s="680" t="s">
        <v>157</v>
      </c>
    </row>
    <row r="3" spans="1:84">
      <c r="A3" s="150"/>
      <c r="B3" s="151"/>
      <c r="C3" s="151"/>
      <c r="D3" s="151"/>
      <c r="E3" s="151"/>
      <c r="F3" s="151"/>
      <c r="G3" s="151"/>
      <c r="H3" s="151"/>
      <c r="I3" s="151"/>
      <c r="J3" s="151"/>
      <c r="K3" s="151"/>
      <c r="L3" s="151"/>
      <c r="M3" s="151"/>
      <c r="N3" s="152" t="s">
        <v>158</v>
      </c>
      <c r="O3" s="153">
        <f>'MK Assumptions'!B3</f>
        <v>13000000</v>
      </c>
      <c r="P3" s="154"/>
      <c r="R3" s="150"/>
      <c r="S3" s="151"/>
      <c r="T3" s="151"/>
      <c r="U3" s="151"/>
      <c r="V3" s="151"/>
      <c r="W3" s="151"/>
      <c r="X3" s="151"/>
      <c r="Y3" s="151"/>
      <c r="Z3" s="151"/>
      <c r="AA3" s="151"/>
      <c r="AB3" s="151"/>
      <c r="AC3" s="151"/>
      <c r="AD3" s="151"/>
      <c r="AE3" s="152" t="s">
        <v>158</v>
      </c>
      <c r="AF3" s="153">
        <f>'MK Assumptions'!B3</f>
        <v>13000000</v>
      </c>
      <c r="AG3" s="154"/>
      <c r="AI3" s="150"/>
      <c r="AJ3" s="151"/>
      <c r="AK3" s="151"/>
      <c r="AL3" s="151"/>
      <c r="AM3" s="151"/>
      <c r="AN3" s="151"/>
      <c r="AO3" s="151"/>
      <c r="AP3" s="151"/>
      <c r="AQ3" s="151"/>
      <c r="AR3" s="151"/>
      <c r="AS3" s="151"/>
      <c r="AT3" s="151"/>
      <c r="AU3" s="151"/>
      <c r="AV3" s="152" t="s">
        <v>158</v>
      </c>
      <c r="AW3" s="153">
        <f>'MK Assumptions'!B3</f>
        <v>13000000</v>
      </c>
      <c r="AX3" s="154"/>
      <c r="AZ3" s="150"/>
      <c r="BA3" s="151"/>
      <c r="BB3" s="151"/>
      <c r="BC3" s="151"/>
      <c r="BD3" s="151"/>
      <c r="BE3" s="151"/>
      <c r="BF3" s="151"/>
      <c r="BG3" s="151"/>
      <c r="BH3" s="151"/>
      <c r="BI3" s="151"/>
      <c r="BJ3" s="151"/>
      <c r="BK3" s="151"/>
      <c r="BL3" s="151"/>
      <c r="BM3" s="152" t="s">
        <v>158</v>
      </c>
      <c r="BN3" s="153">
        <f>'MK Assumptions'!B3</f>
        <v>13000000</v>
      </c>
      <c r="BO3" s="154"/>
      <c r="BQ3" s="150"/>
      <c r="BR3" s="151"/>
      <c r="BS3" s="151"/>
      <c r="BT3" s="151"/>
      <c r="BU3" s="151"/>
      <c r="BV3" s="151"/>
      <c r="BW3" s="151"/>
      <c r="BX3" s="151"/>
      <c r="BY3" s="151"/>
      <c r="BZ3" s="151"/>
      <c r="CA3" s="151"/>
      <c r="CB3" s="151"/>
      <c r="CC3" s="151"/>
      <c r="CD3" s="152" t="s">
        <v>158</v>
      </c>
      <c r="CE3" s="153">
        <f>'MK Assumptions'!B3</f>
        <v>13000000</v>
      </c>
      <c r="CF3" s="154"/>
    </row>
    <row r="4" spans="1:84">
      <c r="A4" s="155" t="s">
        <v>159</v>
      </c>
      <c r="B4" s="3" t="s">
        <v>160</v>
      </c>
      <c r="C4" s="3" t="s">
        <v>161</v>
      </c>
      <c r="D4" s="3" t="s">
        <v>162</v>
      </c>
      <c r="E4" s="3" t="s">
        <v>163</v>
      </c>
      <c r="F4" s="3" t="s">
        <v>164</v>
      </c>
      <c r="G4" s="3" t="s">
        <v>165</v>
      </c>
      <c r="H4" s="3" t="s">
        <v>166</v>
      </c>
      <c r="I4" s="3" t="s">
        <v>167</v>
      </c>
      <c r="J4" s="3" t="s">
        <v>168</v>
      </c>
      <c r="K4" s="3" t="s">
        <v>169</v>
      </c>
      <c r="L4" s="3" t="s">
        <v>170</v>
      </c>
      <c r="M4" s="3" t="s">
        <v>171</v>
      </c>
      <c r="N4" s="3" t="s">
        <v>172</v>
      </c>
      <c r="O4" s="3" t="s">
        <v>173</v>
      </c>
      <c r="P4" s="156" t="s">
        <v>174</v>
      </c>
      <c r="R4" s="155" t="s">
        <v>175</v>
      </c>
      <c r="S4" s="3" t="s">
        <v>160</v>
      </c>
      <c r="T4" s="3" t="s">
        <v>161</v>
      </c>
      <c r="U4" s="3" t="s">
        <v>162</v>
      </c>
      <c r="V4" s="3" t="s">
        <v>163</v>
      </c>
      <c r="W4" s="3" t="s">
        <v>164</v>
      </c>
      <c r="X4" s="3" t="s">
        <v>165</v>
      </c>
      <c r="Y4" s="3" t="s">
        <v>166</v>
      </c>
      <c r="Z4" s="3" t="s">
        <v>167</v>
      </c>
      <c r="AA4" s="3" t="s">
        <v>168</v>
      </c>
      <c r="AB4" s="3" t="s">
        <v>169</v>
      </c>
      <c r="AC4" s="3" t="s">
        <v>170</v>
      </c>
      <c r="AD4" s="3" t="s">
        <v>171</v>
      </c>
      <c r="AE4" s="3" t="s">
        <v>172</v>
      </c>
      <c r="AF4" s="3" t="s">
        <v>173</v>
      </c>
      <c r="AG4" s="156" t="s">
        <v>174</v>
      </c>
      <c r="AI4" s="155" t="s">
        <v>176</v>
      </c>
      <c r="AJ4" s="3" t="s">
        <v>160</v>
      </c>
      <c r="AK4" s="3" t="s">
        <v>161</v>
      </c>
      <c r="AL4" s="3" t="s">
        <v>162</v>
      </c>
      <c r="AM4" s="3" t="s">
        <v>163</v>
      </c>
      <c r="AN4" s="3" t="s">
        <v>164</v>
      </c>
      <c r="AO4" s="3" t="s">
        <v>165</v>
      </c>
      <c r="AP4" s="3" t="s">
        <v>166</v>
      </c>
      <c r="AQ4" s="3" t="s">
        <v>167</v>
      </c>
      <c r="AR4" s="3" t="s">
        <v>168</v>
      </c>
      <c r="AS4" s="3" t="s">
        <v>169</v>
      </c>
      <c r="AT4" s="3" t="s">
        <v>170</v>
      </c>
      <c r="AU4" s="3" t="s">
        <v>171</v>
      </c>
      <c r="AV4" s="3" t="s">
        <v>172</v>
      </c>
      <c r="AW4" s="3" t="s">
        <v>173</v>
      </c>
      <c r="AX4" s="156" t="s">
        <v>174</v>
      </c>
      <c r="AZ4" s="155" t="s">
        <v>177</v>
      </c>
      <c r="BA4" s="3" t="s">
        <v>160</v>
      </c>
      <c r="BB4" s="3" t="s">
        <v>161</v>
      </c>
      <c r="BC4" s="3" t="s">
        <v>162</v>
      </c>
      <c r="BD4" s="3" t="s">
        <v>163</v>
      </c>
      <c r="BE4" s="3" t="s">
        <v>164</v>
      </c>
      <c r="BF4" s="3" t="s">
        <v>165</v>
      </c>
      <c r="BG4" s="3" t="s">
        <v>166</v>
      </c>
      <c r="BH4" s="3" t="s">
        <v>167</v>
      </c>
      <c r="BI4" s="3" t="s">
        <v>168</v>
      </c>
      <c r="BJ4" s="3" t="s">
        <v>169</v>
      </c>
      <c r="BK4" s="3" t="s">
        <v>170</v>
      </c>
      <c r="BL4" s="3" t="s">
        <v>171</v>
      </c>
      <c r="BM4" s="3" t="s">
        <v>172</v>
      </c>
      <c r="BN4" s="3" t="s">
        <v>173</v>
      </c>
      <c r="BO4" s="156" t="s">
        <v>174</v>
      </c>
      <c r="BQ4" s="155" t="s">
        <v>178</v>
      </c>
      <c r="BR4" s="3" t="s">
        <v>160</v>
      </c>
      <c r="BS4" s="3" t="s">
        <v>161</v>
      </c>
      <c r="BT4" s="3" t="s">
        <v>162</v>
      </c>
      <c r="BU4" s="3" t="s">
        <v>163</v>
      </c>
      <c r="BV4" s="3" t="s">
        <v>164</v>
      </c>
      <c r="BW4" s="3" t="s">
        <v>165</v>
      </c>
      <c r="BX4" s="3" t="s">
        <v>166</v>
      </c>
      <c r="BY4" s="3" t="s">
        <v>167</v>
      </c>
      <c r="BZ4" s="3" t="s">
        <v>168</v>
      </c>
      <c r="CA4" s="3" t="s">
        <v>169</v>
      </c>
      <c r="CB4" s="3" t="s">
        <v>170</v>
      </c>
      <c r="CC4" s="3" t="s">
        <v>171</v>
      </c>
      <c r="CD4" s="3" t="s">
        <v>172</v>
      </c>
      <c r="CE4" s="3" t="s">
        <v>173</v>
      </c>
      <c r="CF4" s="156" t="s">
        <v>174</v>
      </c>
    </row>
    <row r="5" spans="1:84">
      <c r="A5" s="157" t="s">
        <v>179</v>
      </c>
      <c r="B5" s="4"/>
      <c r="C5" s="4"/>
      <c r="D5" s="4"/>
      <c r="E5" s="4"/>
      <c r="F5" s="4"/>
      <c r="G5" s="4"/>
      <c r="H5" s="4"/>
      <c r="I5" s="4"/>
      <c r="J5" s="4"/>
      <c r="K5" s="4"/>
      <c r="L5" s="4"/>
      <c r="M5" s="4"/>
      <c r="N5" s="4"/>
      <c r="O5" s="4"/>
      <c r="P5" s="158"/>
      <c r="R5" s="157" t="s">
        <v>179</v>
      </c>
      <c r="S5" s="4"/>
      <c r="T5" s="4"/>
      <c r="U5" s="4"/>
      <c r="V5" s="4"/>
      <c r="W5" s="4"/>
      <c r="X5" s="4"/>
      <c r="Y5" s="4"/>
      <c r="Z5" s="4"/>
      <c r="AA5" s="4"/>
      <c r="AB5" s="4"/>
      <c r="AC5" s="4"/>
      <c r="AD5" s="4"/>
      <c r="AE5" s="4"/>
      <c r="AF5" s="4"/>
      <c r="AG5" s="158"/>
      <c r="AI5" s="157" t="s">
        <v>179</v>
      </c>
      <c r="AJ5" s="4"/>
      <c r="AK5" s="4"/>
      <c r="AL5" s="4"/>
      <c r="AM5" s="4"/>
      <c r="AN5" s="4"/>
      <c r="AO5" s="4"/>
      <c r="AP5" s="4"/>
      <c r="AQ5" s="4"/>
      <c r="AR5" s="4"/>
      <c r="AS5" s="4"/>
      <c r="AT5" s="4"/>
      <c r="AU5" s="4"/>
      <c r="AV5" s="4"/>
      <c r="AW5" s="4"/>
      <c r="AX5" s="158"/>
      <c r="AZ5" s="185" t="s">
        <v>179</v>
      </c>
      <c r="BA5" s="4"/>
      <c r="BB5" s="4"/>
      <c r="BC5" s="4"/>
      <c r="BD5" s="4"/>
      <c r="BE5" s="4"/>
      <c r="BF5" s="4"/>
      <c r="BG5" s="4"/>
      <c r="BH5" s="4"/>
      <c r="BI5" s="4"/>
      <c r="BJ5" s="4"/>
      <c r="BK5" s="4"/>
      <c r="BL5" s="4"/>
      <c r="BM5" s="4"/>
      <c r="BN5" s="4"/>
      <c r="BO5" s="158"/>
      <c r="BQ5" s="185" t="s">
        <v>179</v>
      </c>
      <c r="BR5" s="4"/>
      <c r="BS5" s="4"/>
      <c r="BT5" s="4"/>
      <c r="BU5" s="4"/>
      <c r="BV5" s="4"/>
      <c r="BW5" s="4"/>
      <c r="BX5" s="4"/>
      <c r="BY5" s="4"/>
      <c r="BZ5" s="4"/>
      <c r="CA5" s="4"/>
      <c r="CB5" s="4"/>
      <c r="CC5" s="4"/>
      <c r="CD5" s="4"/>
      <c r="CE5" s="4"/>
      <c r="CF5" s="158"/>
    </row>
    <row r="6" spans="1:84">
      <c r="A6" s="159" t="s">
        <v>180</v>
      </c>
      <c r="B6" s="5"/>
      <c r="C6" s="5"/>
      <c r="D6" s="5"/>
      <c r="E6" s="5"/>
      <c r="F6" s="5"/>
      <c r="G6" s="5"/>
      <c r="H6" s="5"/>
      <c r="I6" s="5"/>
      <c r="J6" s="5"/>
      <c r="K6" s="5"/>
      <c r="L6" s="5"/>
      <c r="M6" s="5"/>
      <c r="N6" s="868">
        <f>SUM(N7:N13)</f>
        <v>237059</v>
      </c>
      <c r="O6" s="5"/>
      <c r="P6" s="160">
        <f>SUM(P7:P13)</f>
        <v>9.7500000000000003E-2</v>
      </c>
      <c r="R6" s="159" t="s">
        <v>180</v>
      </c>
      <c r="S6" s="5"/>
      <c r="T6" s="5"/>
      <c r="U6" s="5"/>
      <c r="V6" s="5"/>
      <c r="W6" s="5"/>
      <c r="X6" s="5"/>
      <c r="Y6" s="5"/>
      <c r="Z6" s="5"/>
      <c r="AA6" s="5"/>
      <c r="AB6" s="5"/>
      <c r="AC6" s="5"/>
      <c r="AD6" s="5"/>
      <c r="AE6" s="868">
        <f>SUM(AE7:AE18)</f>
        <v>328420</v>
      </c>
      <c r="AF6" s="5"/>
      <c r="AG6" s="160">
        <f>SUM(AG7:AG15)</f>
        <v>0.15540000000000001</v>
      </c>
      <c r="AI6" s="159" t="s">
        <v>180</v>
      </c>
      <c r="AJ6" s="5"/>
      <c r="AK6" s="5"/>
      <c r="AL6" s="5"/>
      <c r="AM6" s="5"/>
      <c r="AN6" s="5"/>
      <c r="AO6" s="5"/>
      <c r="AP6" s="5"/>
      <c r="AQ6" s="5"/>
      <c r="AR6" s="5"/>
      <c r="AS6" s="5"/>
      <c r="AT6" s="5"/>
      <c r="AU6" s="5"/>
      <c r="AV6" s="868">
        <f>SUM(AV7:AV17)</f>
        <v>375383</v>
      </c>
      <c r="AW6" s="5"/>
      <c r="AX6" s="160">
        <f>SUM(AX7:AX14)</f>
        <v>0.19570000000000001</v>
      </c>
      <c r="AZ6" s="159" t="s">
        <v>180</v>
      </c>
      <c r="BA6" s="5"/>
      <c r="BB6" s="5"/>
      <c r="BC6" s="5"/>
      <c r="BD6" s="5"/>
      <c r="BE6" s="5"/>
      <c r="BF6" s="5"/>
      <c r="BG6" s="5"/>
      <c r="BH6" s="5"/>
      <c r="BI6" s="5"/>
      <c r="BJ6" s="5"/>
      <c r="BK6" s="5"/>
      <c r="BL6" s="5"/>
      <c r="BM6" s="868">
        <f>SUM(BM7:BM18)</f>
        <v>418343</v>
      </c>
      <c r="BN6" s="5"/>
      <c r="BO6" s="160">
        <f>SUM(BO7:BO15)</f>
        <v>0.23500000000000001</v>
      </c>
      <c r="BQ6" s="159" t="s">
        <v>180</v>
      </c>
      <c r="BR6" s="5"/>
      <c r="BS6" s="5"/>
      <c r="BT6" s="5"/>
      <c r="BU6" s="5"/>
      <c r="BV6" s="5"/>
      <c r="BW6" s="5"/>
      <c r="BX6" s="5"/>
      <c r="BY6" s="5"/>
      <c r="BZ6" s="5"/>
      <c r="CA6" s="5"/>
      <c r="CB6" s="5"/>
      <c r="CC6" s="5"/>
      <c r="CD6" s="868">
        <f>SUM(CD7:CD18)</f>
        <v>458976</v>
      </c>
      <c r="CE6" s="5"/>
      <c r="CF6" s="160">
        <f>SUM(CF7:CF15)</f>
        <v>0.26140000000000002</v>
      </c>
    </row>
    <row r="7" spans="1:84">
      <c r="A7" s="161" t="s">
        <v>181</v>
      </c>
      <c r="B7" s="6"/>
      <c r="C7" s="6"/>
      <c r="D7" s="6"/>
      <c r="E7" s="6"/>
      <c r="F7" s="6"/>
      <c r="G7" s="6"/>
      <c r="H7" s="6"/>
      <c r="I7" s="6"/>
      <c r="J7" s="6"/>
      <c r="K7" s="6"/>
      <c r="L7" s="6"/>
      <c r="M7" s="6"/>
      <c r="N7" s="869">
        <v>19059</v>
      </c>
      <c r="O7" s="17">
        <v>4.42</v>
      </c>
      <c r="P7" s="162">
        <v>2.81E-2</v>
      </c>
      <c r="R7" s="161" t="s">
        <v>181</v>
      </c>
      <c r="S7" s="6"/>
      <c r="T7" s="6"/>
      <c r="U7" s="6"/>
      <c r="V7" s="6"/>
      <c r="W7" s="6"/>
      <c r="X7" s="6"/>
      <c r="Y7" s="6"/>
      <c r="Z7" s="6"/>
      <c r="AA7" s="6"/>
      <c r="AB7" s="6"/>
      <c r="AC7" s="6"/>
      <c r="AD7" s="6"/>
      <c r="AE7" s="869">
        <v>40250</v>
      </c>
      <c r="AF7" s="17">
        <v>4.59</v>
      </c>
      <c r="AG7" s="162">
        <v>5.62E-2</v>
      </c>
      <c r="AI7" s="161" t="s">
        <v>181</v>
      </c>
      <c r="AJ7" s="6"/>
      <c r="AK7" s="6"/>
      <c r="AL7" s="6"/>
      <c r="AM7" s="6"/>
      <c r="AN7" s="6"/>
      <c r="AO7" s="6"/>
      <c r="AP7" s="6"/>
      <c r="AQ7" s="6"/>
      <c r="AR7" s="6"/>
      <c r="AS7" s="6"/>
      <c r="AT7" s="6"/>
      <c r="AU7" s="6"/>
      <c r="AV7" s="869">
        <v>61633</v>
      </c>
      <c r="AW7" s="17">
        <v>4.67</v>
      </c>
      <c r="AX7" s="162">
        <v>8.4199999999999997E-2</v>
      </c>
      <c r="AZ7" s="161" t="s">
        <v>181</v>
      </c>
      <c r="BA7" s="6"/>
      <c r="BB7" s="6"/>
      <c r="BC7" s="6"/>
      <c r="BD7" s="6"/>
      <c r="BE7" s="6"/>
      <c r="BF7" s="6"/>
      <c r="BG7" s="6"/>
      <c r="BH7" s="6"/>
      <c r="BI7" s="6"/>
      <c r="BJ7" s="6"/>
      <c r="BK7" s="6"/>
      <c r="BL7" s="6"/>
      <c r="BM7" s="869">
        <v>86143</v>
      </c>
      <c r="BN7" s="17">
        <v>4.7699999999999996</v>
      </c>
      <c r="BO7" s="162">
        <v>0.1158</v>
      </c>
      <c r="BQ7" s="161" t="s">
        <v>181</v>
      </c>
      <c r="BR7" s="6"/>
      <c r="BS7" s="6"/>
      <c r="BT7" s="6"/>
      <c r="BU7" s="6"/>
      <c r="BV7" s="6"/>
      <c r="BW7" s="6"/>
      <c r="BX7" s="6"/>
      <c r="BY7" s="6"/>
      <c r="BZ7" s="6"/>
      <c r="CA7" s="6"/>
      <c r="CB7" s="6"/>
      <c r="CC7" s="6"/>
      <c r="CD7" s="869">
        <v>96386</v>
      </c>
      <c r="CE7" s="17">
        <v>4.78</v>
      </c>
      <c r="CF7" s="162">
        <v>0.12989999999999999</v>
      </c>
    </row>
    <row r="8" spans="1:84">
      <c r="A8" s="163" t="s">
        <v>182</v>
      </c>
      <c r="B8" s="4"/>
      <c r="C8" s="4"/>
      <c r="D8" s="4"/>
      <c r="E8" s="4"/>
      <c r="F8" s="4"/>
      <c r="G8" s="4"/>
      <c r="H8" s="4"/>
      <c r="I8" s="4"/>
      <c r="J8" s="4"/>
      <c r="K8" s="4"/>
      <c r="L8" s="4"/>
      <c r="M8" s="4"/>
      <c r="N8" s="869">
        <v>10000</v>
      </c>
      <c r="O8" s="7"/>
      <c r="P8" s="164">
        <v>0.01</v>
      </c>
      <c r="R8" s="163" t="s">
        <v>182</v>
      </c>
      <c r="S8" s="4"/>
      <c r="T8" s="4"/>
      <c r="U8" s="4"/>
      <c r="V8" s="4"/>
      <c r="W8" s="4"/>
      <c r="X8" s="4"/>
      <c r="Y8" s="4"/>
      <c r="Z8" s="4"/>
      <c r="AA8" s="4"/>
      <c r="AB8" s="4"/>
      <c r="AC8" s="4"/>
      <c r="AD8" s="4"/>
      <c r="AE8" s="869">
        <v>20000</v>
      </c>
      <c r="AF8" s="4"/>
      <c r="AG8" s="164">
        <v>0.02</v>
      </c>
      <c r="AI8" s="163" t="s">
        <v>182</v>
      </c>
      <c r="AJ8" s="4"/>
      <c r="AK8" s="4"/>
      <c r="AL8" s="4"/>
      <c r="AM8" s="4"/>
      <c r="AN8" s="4"/>
      <c r="AO8" s="4"/>
      <c r="AP8" s="4"/>
      <c r="AQ8" s="4"/>
      <c r="AR8" s="4"/>
      <c r="AS8" s="4"/>
      <c r="AT8" s="4"/>
      <c r="AU8" s="4"/>
      <c r="AV8" s="869">
        <v>30000</v>
      </c>
      <c r="AW8" s="7"/>
      <c r="AX8" s="164">
        <v>0.03</v>
      </c>
      <c r="AZ8" s="163" t="s">
        <v>182</v>
      </c>
      <c r="BA8" s="4"/>
      <c r="BB8" s="4"/>
      <c r="BC8" s="4"/>
      <c r="BD8" s="4"/>
      <c r="BE8" s="4"/>
      <c r="BF8" s="4"/>
      <c r="BG8" s="4"/>
      <c r="BH8" s="4"/>
      <c r="BI8" s="4"/>
      <c r="BJ8" s="4"/>
      <c r="BK8" s="4"/>
      <c r="BL8" s="4"/>
      <c r="BM8" s="869">
        <v>40000</v>
      </c>
      <c r="BN8" s="7"/>
      <c r="BO8" s="162">
        <v>0.04</v>
      </c>
      <c r="BQ8" s="163" t="s">
        <v>182</v>
      </c>
      <c r="BR8" s="4"/>
      <c r="BS8" s="4"/>
      <c r="BT8" s="4"/>
      <c r="BU8" s="4"/>
      <c r="BV8" s="4"/>
      <c r="BW8" s="4"/>
      <c r="BX8" s="4"/>
      <c r="BY8" s="4"/>
      <c r="BZ8" s="4"/>
      <c r="CA8" s="4"/>
      <c r="CB8" s="4"/>
      <c r="CC8" s="4"/>
      <c r="CD8" s="869">
        <v>50000</v>
      </c>
      <c r="CE8" s="7"/>
      <c r="CF8" s="164">
        <v>0.05</v>
      </c>
    </row>
    <row r="9" spans="1:84">
      <c r="A9" s="165" t="s">
        <v>183</v>
      </c>
      <c r="B9" s="8"/>
      <c r="C9" s="8"/>
      <c r="D9" s="8"/>
      <c r="E9" s="8"/>
      <c r="F9" s="8"/>
      <c r="G9" s="8"/>
      <c r="H9" s="8"/>
      <c r="I9" s="8"/>
      <c r="J9" s="8"/>
      <c r="K9" s="8"/>
      <c r="L9" s="8"/>
      <c r="M9" s="8"/>
      <c r="N9" s="869">
        <v>1500</v>
      </c>
      <c r="O9" s="7"/>
      <c r="P9" s="158"/>
      <c r="R9" s="165" t="s">
        <v>184</v>
      </c>
      <c r="S9" s="8"/>
      <c r="T9" s="8"/>
      <c r="U9" s="8"/>
      <c r="V9" s="8"/>
      <c r="W9" s="8"/>
      <c r="X9" s="8"/>
      <c r="Y9" s="8"/>
      <c r="Z9" s="8"/>
      <c r="AA9" s="8"/>
      <c r="AB9" s="8"/>
      <c r="AC9" s="8"/>
      <c r="AD9" s="8"/>
      <c r="AE9" s="869">
        <v>1000</v>
      </c>
      <c r="AF9" s="7"/>
      <c r="AG9" s="158"/>
      <c r="AI9" s="165" t="s">
        <v>185</v>
      </c>
      <c r="AJ9" s="16"/>
      <c r="AK9" s="16"/>
      <c r="AL9" s="16"/>
      <c r="AM9" s="16"/>
      <c r="AN9" s="16"/>
      <c r="AO9" s="16"/>
      <c r="AP9" s="16"/>
      <c r="AQ9" s="16"/>
      <c r="AR9" s="16"/>
      <c r="AS9" s="16"/>
      <c r="AT9" s="16"/>
      <c r="AU9" s="16"/>
      <c r="AV9" s="869">
        <v>30000</v>
      </c>
      <c r="AW9" s="7"/>
      <c r="AX9" s="158"/>
      <c r="AZ9" s="165" t="s">
        <v>186</v>
      </c>
      <c r="BA9" s="16"/>
      <c r="BB9" s="16"/>
      <c r="BC9" s="16"/>
      <c r="BD9" s="16"/>
      <c r="BE9" s="16"/>
      <c r="BF9" s="16"/>
      <c r="BG9" s="16"/>
      <c r="BH9" s="16"/>
      <c r="BI9" s="16"/>
      <c r="BJ9" s="16"/>
      <c r="BK9" s="16"/>
      <c r="BL9" s="16"/>
      <c r="BM9" s="869">
        <v>4000</v>
      </c>
      <c r="BN9" s="4"/>
      <c r="BO9" s="158"/>
      <c r="BQ9" s="165" t="s">
        <v>187</v>
      </c>
      <c r="BR9" s="16"/>
      <c r="BS9" s="16"/>
      <c r="BT9" s="16"/>
      <c r="BU9" s="16"/>
      <c r="BV9" s="16"/>
      <c r="BW9" s="16"/>
      <c r="BX9" s="16"/>
      <c r="BY9" s="16"/>
      <c r="BZ9" s="16"/>
      <c r="CA9" s="16"/>
      <c r="CB9" s="16"/>
      <c r="CC9" s="16"/>
      <c r="CD9" s="869">
        <v>8000</v>
      </c>
      <c r="CE9" s="4"/>
      <c r="CF9" s="158"/>
    </row>
    <row r="10" spans="1:84">
      <c r="A10" s="165" t="s">
        <v>188</v>
      </c>
      <c r="B10" s="8"/>
      <c r="C10" s="8"/>
      <c r="D10" s="8"/>
      <c r="E10" s="8"/>
      <c r="F10" s="8"/>
      <c r="G10" s="8"/>
      <c r="H10" s="8"/>
      <c r="I10" s="8"/>
      <c r="J10" s="8"/>
      <c r="K10" s="8"/>
      <c r="L10" s="8"/>
      <c r="M10" s="8"/>
      <c r="N10" s="869">
        <v>8500</v>
      </c>
      <c r="O10" s="7"/>
      <c r="P10" s="158"/>
      <c r="R10" s="165" t="s">
        <v>189</v>
      </c>
      <c r="S10" s="8"/>
      <c r="T10" s="8"/>
      <c r="U10" s="8"/>
      <c r="V10" s="8"/>
      <c r="W10" s="8"/>
      <c r="X10" s="8"/>
      <c r="Y10" s="8"/>
      <c r="Z10" s="8"/>
      <c r="AA10" s="8"/>
      <c r="AB10" s="8"/>
      <c r="AC10" s="8"/>
      <c r="AD10" s="8"/>
      <c r="AE10" s="869">
        <v>19000</v>
      </c>
      <c r="AF10" s="7"/>
      <c r="AG10" s="158"/>
      <c r="AI10" s="166" t="s">
        <v>190</v>
      </c>
      <c r="AJ10" s="4"/>
      <c r="AK10" s="4"/>
      <c r="AL10" s="4"/>
      <c r="AM10" s="4"/>
      <c r="AN10" s="4"/>
      <c r="AO10" s="4"/>
      <c r="AP10" s="4"/>
      <c r="AQ10" s="4"/>
      <c r="AR10" s="4"/>
      <c r="AS10" s="4"/>
      <c r="AT10" s="4"/>
      <c r="AU10" s="4"/>
      <c r="AV10" s="869"/>
      <c r="AW10" s="4"/>
      <c r="AX10" s="158"/>
      <c r="AZ10" s="165" t="s">
        <v>191</v>
      </c>
      <c r="BA10" s="16"/>
      <c r="BB10" s="16"/>
      <c r="BC10" s="16"/>
      <c r="BD10" s="16"/>
      <c r="BE10" s="16"/>
      <c r="BF10" s="16"/>
      <c r="BG10" s="16"/>
      <c r="BH10" s="16"/>
      <c r="BI10" s="16"/>
      <c r="BJ10" s="16"/>
      <c r="BK10" s="16"/>
      <c r="BL10" s="16"/>
      <c r="BM10" s="869">
        <v>36000</v>
      </c>
      <c r="BN10" s="4"/>
      <c r="BO10" s="158"/>
      <c r="BQ10" s="165" t="s">
        <v>191</v>
      </c>
      <c r="BR10" s="16"/>
      <c r="BS10" s="16"/>
      <c r="BT10" s="16"/>
      <c r="BU10" s="16"/>
      <c r="BV10" s="16"/>
      <c r="BW10" s="16"/>
      <c r="BX10" s="16"/>
      <c r="BY10" s="16"/>
      <c r="BZ10" s="16"/>
      <c r="CA10" s="16"/>
      <c r="CB10" s="16"/>
      <c r="CC10" s="16"/>
      <c r="CD10" s="869">
        <v>42000</v>
      </c>
      <c r="CE10" s="4"/>
      <c r="CF10" s="158"/>
    </row>
    <row r="11" spans="1:84">
      <c r="A11" s="167" t="s">
        <v>192</v>
      </c>
      <c r="B11" s="4"/>
      <c r="C11" s="4"/>
      <c r="D11" s="4"/>
      <c r="E11" s="4"/>
      <c r="F11" s="4"/>
      <c r="G11" s="4"/>
      <c r="H11" s="4"/>
      <c r="I11" s="4"/>
      <c r="J11" s="4"/>
      <c r="K11" s="4"/>
      <c r="L11" s="4"/>
      <c r="M11" s="4"/>
      <c r="N11" s="869"/>
      <c r="O11" s="4"/>
      <c r="P11" s="158"/>
      <c r="R11" s="166" t="s">
        <v>190</v>
      </c>
      <c r="S11" s="4"/>
      <c r="T11" s="4"/>
      <c r="U11" s="4"/>
      <c r="V11" s="4"/>
      <c r="W11" s="4"/>
      <c r="X11" s="4"/>
      <c r="Y11" s="4"/>
      <c r="Z11" s="4"/>
      <c r="AA11" s="4"/>
      <c r="AB11" s="4"/>
      <c r="AC11" s="4"/>
      <c r="AD11" s="4"/>
      <c r="AE11" s="869"/>
      <c r="AF11" s="4"/>
      <c r="AG11" s="158"/>
      <c r="AI11" s="165" t="s">
        <v>193</v>
      </c>
      <c r="AJ11" s="4"/>
      <c r="AK11" s="4"/>
      <c r="AL11" s="4"/>
      <c r="AM11" s="4"/>
      <c r="AN11" s="4"/>
      <c r="AO11" s="15"/>
      <c r="AP11" s="15"/>
      <c r="AQ11" s="15"/>
      <c r="AR11" s="4"/>
      <c r="AS11" s="4"/>
      <c r="AT11" s="4"/>
      <c r="AU11" s="4"/>
      <c r="AV11" s="869">
        <v>36900</v>
      </c>
      <c r="AW11" s="4"/>
      <c r="AX11" s="162">
        <v>2.2100000000000002E-2</v>
      </c>
      <c r="AZ11" s="166" t="s">
        <v>190</v>
      </c>
      <c r="BA11" s="4"/>
      <c r="BB11" s="4"/>
      <c r="BC11" s="4"/>
      <c r="BD11" s="4"/>
      <c r="BE11" s="4"/>
      <c r="BF11" s="4"/>
      <c r="BG11" s="4"/>
      <c r="BH11" s="4"/>
      <c r="BI11" s="4"/>
      <c r="BJ11" s="4"/>
      <c r="BK11" s="4"/>
      <c r="BL11" s="4"/>
      <c r="BM11" s="869"/>
      <c r="BN11" s="4"/>
      <c r="BO11" s="158"/>
      <c r="BQ11" s="166" t="s">
        <v>190</v>
      </c>
      <c r="BR11" s="4"/>
      <c r="BS11" s="4"/>
      <c r="BT11" s="4"/>
      <c r="BU11" s="4"/>
      <c r="BV11" s="4"/>
      <c r="BW11" s="4"/>
      <c r="BX11" s="4"/>
      <c r="BY11" s="4"/>
      <c r="BZ11" s="4"/>
      <c r="CA11" s="4"/>
      <c r="CB11" s="4"/>
      <c r="CC11" s="4"/>
      <c r="CD11" s="869"/>
      <c r="CE11" s="4"/>
      <c r="CF11" s="158"/>
    </row>
    <row r="12" spans="1:84">
      <c r="A12" s="165" t="s">
        <v>194</v>
      </c>
      <c r="B12" s="3"/>
      <c r="C12" s="3"/>
      <c r="D12" s="3"/>
      <c r="E12" s="9"/>
      <c r="F12" s="9"/>
      <c r="G12" s="3"/>
      <c r="H12" s="3"/>
      <c r="I12" s="3"/>
      <c r="J12" s="3"/>
      <c r="K12" s="3"/>
      <c r="L12" s="3"/>
      <c r="M12" s="3"/>
      <c r="N12" s="869">
        <v>88000</v>
      </c>
      <c r="O12" s="4"/>
      <c r="P12" s="162">
        <v>2.64E-2</v>
      </c>
      <c r="R12" s="165" t="s">
        <v>195</v>
      </c>
      <c r="S12" s="4"/>
      <c r="T12" s="4"/>
      <c r="U12" s="4"/>
      <c r="V12" s="4"/>
      <c r="W12" s="15"/>
      <c r="X12" s="15"/>
      <c r="Y12" s="15"/>
      <c r="Z12" s="4"/>
      <c r="AA12" s="4"/>
      <c r="AB12" s="4"/>
      <c r="AC12" s="4"/>
      <c r="AD12" s="4"/>
      <c r="AE12" s="869">
        <v>33000</v>
      </c>
      <c r="AF12" s="4"/>
      <c r="AG12" s="162">
        <v>1.9800000000000002E-2</v>
      </c>
      <c r="AI12" s="167" t="s">
        <v>192</v>
      </c>
      <c r="AJ12" s="4"/>
      <c r="AK12" s="4"/>
      <c r="AL12" s="4"/>
      <c r="AM12" s="4"/>
      <c r="AN12" s="4"/>
      <c r="AO12" s="4"/>
      <c r="AP12" s="4"/>
      <c r="AQ12" s="4"/>
      <c r="AR12" s="4"/>
      <c r="AS12" s="4"/>
      <c r="AT12" s="4"/>
      <c r="AU12" s="4"/>
      <c r="AV12" s="869"/>
      <c r="AW12" s="4"/>
      <c r="AX12" s="158"/>
      <c r="AZ12" s="165" t="s">
        <v>195</v>
      </c>
      <c r="BA12" s="4"/>
      <c r="BB12" s="4"/>
      <c r="BC12" s="4"/>
      <c r="BD12" s="4"/>
      <c r="BE12" s="15"/>
      <c r="BF12" s="15"/>
      <c r="BG12" s="15"/>
      <c r="BH12" s="4"/>
      <c r="BI12" s="4"/>
      <c r="BJ12" s="4"/>
      <c r="BK12" s="4"/>
      <c r="BL12" s="4"/>
      <c r="BM12" s="869">
        <v>33000</v>
      </c>
      <c r="BN12" s="4"/>
      <c r="BO12" s="162">
        <v>1.9800000000000002E-2</v>
      </c>
      <c r="BQ12" s="165" t="s">
        <v>193</v>
      </c>
      <c r="BR12" s="4"/>
      <c r="BS12" s="4"/>
      <c r="BT12" s="4"/>
      <c r="BU12" s="4"/>
      <c r="BV12" s="4"/>
      <c r="BW12" s="15"/>
      <c r="BX12" s="15"/>
      <c r="BY12" s="15"/>
      <c r="BZ12" s="4"/>
      <c r="CA12" s="4"/>
      <c r="CB12" s="4"/>
      <c r="CC12" s="4"/>
      <c r="CD12" s="869">
        <v>36900</v>
      </c>
      <c r="CE12" s="4"/>
      <c r="CF12" s="162">
        <v>2.2100000000000002E-2</v>
      </c>
    </row>
    <row r="13" spans="1:84">
      <c r="A13" s="165" t="s">
        <v>196</v>
      </c>
      <c r="B13" s="3"/>
      <c r="C13" s="3"/>
      <c r="D13" s="3"/>
      <c r="E13" s="9"/>
      <c r="F13" s="9"/>
      <c r="G13" s="3"/>
      <c r="H13" s="3"/>
      <c r="I13" s="3"/>
      <c r="J13" s="3"/>
      <c r="K13" s="3"/>
      <c r="L13" s="3"/>
      <c r="M13" s="3"/>
      <c r="N13" s="869">
        <v>110000</v>
      </c>
      <c r="O13" s="4"/>
      <c r="P13" s="162">
        <v>3.3000000000000002E-2</v>
      </c>
      <c r="R13" s="167" t="s">
        <v>192</v>
      </c>
      <c r="S13" s="4"/>
      <c r="T13" s="4"/>
      <c r="U13" s="4"/>
      <c r="V13" s="4"/>
      <c r="W13" s="4"/>
      <c r="X13" s="4"/>
      <c r="Y13" s="4"/>
      <c r="Z13" s="4"/>
      <c r="AA13" s="4"/>
      <c r="AB13" s="4"/>
      <c r="AC13" s="4"/>
      <c r="AD13" s="4"/>
      <c r="AE13" s="869"/>
      <c r="AF13" s="4"/>
      <c r="AG13" s="158"/>
      <c r="AI13" s="165" t="s">
        <v>194</v>
      </c>
      <c r="AJ13" s="3"/>
      <c r="AK13" s="3"/>
      <c r="AL13" s="3"/>
      <c r="AM13" s="9"/>
      <c r="AN13" s="9"/>
      <c r="AO13" s="3"/>
      <c r="AP13" s="3"/>
      <c r="AQ13" s="3"/>
      <c r="AR13" s="3"/>
      <c r="AS13" s="3"/>
      <c r="AT13" s="3"/>
      <c r="AU13" s="3"/>
      <c r="AV13" s="869">
        <v>88000</v>
      </c>
      <c r="AW13" s="4"/>
      <c r="AX13" s="162">
        <v>2.64E-2</v>
      </c>
      <c r="AZ13" s="167" t="s">
        <v>192</v>
      </c>
      <c r="BA13" s="4"/>
      <c r="BB13" s="4"/>
      <c r="BC13" s="4"/>
      <c r="BD13" s="4"/>
      <c r="BE13" s="4"/>
      <c r="BF13" s="4"/>
      <c r="BG13" s="4"/>
      <c r="BH13" s="4"/>
      <c r="BI13" s="4"/>
      <c r="BJ13" s="4"/>
      <c r="BK13" s="4"/>
      <c r="BL13" s="4"/>
      <c r="BM13" s="869"/>
      <c r="BN13" s="4"/>
      <c r="BO13" s="158"/>
      <c r="BQ13" s="167" t="s">
        <v>192</v>
      </c>
      <c r="BR13" s="4"/>
      <c r="BS13" s="4"/>
      <c r="BT13" s="4"/>
      <c r="BU13" s="4"/>
      <c r="BV13" s="4"/>
      <c r="BW13" s="4"/>
      <c r="BX13" s="4"/>
      <c r="BY13" s="4"/>
      <c r="BZ13" s="4"/>
      <c r="CA13" s="4"/>
      <c r="CB13" s="4"/>
      <c r="CC13" s="4"/>
      <c r="CD13" s="869"/>
      <c r="CE13" s="4"/>
      <c r="CF13" s="158"/>
    </row>
    <row r="14" spans="1:84">
      <c r="A14" s="159" t="s">
        <v>197</v>
      </c>
      <c r="B14" s="5"/>
      <c r="C14" s="5"/>
      <c r="D14" s="5"/>
      <c r="E14" s="5"/>
      <c r="F14" s="5"/>
      <c r="G14" s="5"/>
      <c r="H14" s="5"/>
      <c r="I14" s="5"/>
      <c r="J14" s="5"/>
      <c r="K14" s="5"/>
      <c r="L14" s="5"/>
      <c r="M14" s="5"/>
      <c r="N14" s="868">
        <f>N15</f>
        <v>10000</v>
      </c>
      <c r="O14" s="5"/>
      <c r="P14" s="172">
        <f>P15</f>
        <v>0</v>
      </c>
      <c r="R14" s="165" t="s">
        <v>194</v>
      </c>
      <c r="S14" s="3"/>
      <c r="T14" s="3"/>
      <c r="U14" s="3"/>
      <c r="V14" s="9"/>
      <c r="W14" s="9"/>
      <c r="X14" s="3"/>
      <c r="Y14" s="3"/>
      <c r="Z14" s="3"/>
      <c r="AA14" s="3"/>
      <c r="AB14" s="3"/>
      <c r="AC14" s="3"/>
      <c r="AD14" s="3"/>
      <c r="AE14" s="869">
        <v>88000</v>
      </c>
      <c r="AF14" s="4"/>
      <c r="AG14" s="162">
        <v>2.64E-2</v>
      </c>
      <c r="AI14" s="165" t="s">
        <v>196</v>
      </c>
      <c r="AJ14" s="4"/>
      <c r="AK14" s="4"/>
      <c r="AL14" s="4"/>
      <c r="AM14" s="9"/>
      <c r="AN14" s="9"/>
      <c r="AO14" s="4"/>
      <c r="AP14" s="4"/>
      <c r="AQ14" s="4"/>
      <c r="AR14" s="4"/>
      <c r="AS14" s="4"/>
      <c r="AT14" s="4"/>
      <c r="AU14" s="4"/>
      <c r="AV14" s="869">
        <v>110000</v>
      </c>
      <c r="AW14" s="4"/>
      <c r="AX14" s="162">
        <v>3.3000000000000002E-2</v>
      </c>
      <c r="AZ14" s="165" t="s">
        <v>194</v>
      </c>
      <c r="BA14" s="3"/>
      <c r="BB14" s="3"/>
      <c r="BC14" s="3"/>
      <c r="BD14" s="9"/>
      <c r="BE14" s="9"/>
      <c r="BF14" s="3"/>
      <c r="BG14" s="3"/>
      <c r="BH14" s="3"/>
      <c r="BI14" s="3"/>
      <c r="BJ14" s="3"/>
      <c r="BK14" s="3"/>
      <c r="BL14" s="3"/>
      <c r="BM14" s="869">
        <v>88000</v>
      </c>
      <c r="BN14" s="4"/>
      <c r="BO14" s="162">
        <v>2.64E-2</v>
      </c>
      <c r="BQ14" s="165" t="s">
        <v>194</v>
      </c>
      <c r="BR14" s="3"/>
      <c r="BS14" s="3"/>
      <c r="BT14" s="3"/>
      <c r="BU14" s="9"/>
      <c r="BV14" s="9"/>
      <c r="BW14" s="3"/>
      <c r="BX14" s="3"/>
      <c r="BY14" s="3"/>
      <c r="BZ14" s="3"/>
      <c r="CA14" s="3"/>
      <c r="CB14" s="3"/>
      <c r="CC14" s="3"/>
      <c r="CD14" s="869">
        <v>88000</v>
      </c>
      <c r="CE14" s="4"/>
      <c r="CF14" s="162">
        <v>2.64E-2</v>
      </c>
    </row>
    <row r="15" spans="1:84">
      <c r="A15" s="165" t="s">
        <v>198</v>
      </c>
      <c r="B15" s="4"/>
      <c r="C15" s="4"/>
      <c r="D15" s="4"/>
      <c r="E15" s="4"/>
      <c r="F15" s="4"/>
      <c r="G15" s="4"/>
      <c r="H15" s="4"/>
      <c r="I15" s="4"/>
      <c r="J15" s="4"/>
      <c r="K15" s="4"/>
      <c r="L15" s="4"/>
      <c r="M15" s="4"/>
      <c r="N15" s="869">
        <v>10000</v>
      </c>
      <c r="O15" s="4"/>
      <c r="P15" s="164">
        <v>0</v>
      </c>
      <c r="R15" s="165" t="s">
        <v>196</v>
      </c>
      <c r="S15" s="4"/>
      <c r="T15" s="4"/>
      <c r="U15" s="4"/>
      <c r="V15" s="9"/>
      <c r="W15" s="9"/>
      <c r="X15" s="4"/>
      <c r="Y15" s="4"/>
      <c r="Z15" s="4"/>
      <c r="AA15" s="4"/>
      <c r="AB15" s="4"/>
      <c r="AC15" s="4"/>
      <c r="AD15" s="4"/>
      <c r="AE15" s="869">
        <v>110000</v>
      </c>
      <c r="AF15" s="4"/>
      <c r="AG15" s="162">
        <v>3.3000000000000002E-2</v>
      </c>
      <c r="AI15" s="168" t="s">
        <v>199</v>
      </c>
      <c r="AV15" s="22"/>
      <c r="AX15" s="99"/>
      <c r="AZ15" s="165" t="s">
        <v>196</v>
      </c>
      <c r="BA15" s="4"/>
      <c r="BB15" s="4"/>
      <c r="BC15" s="4"/>
      <c r="BD15" s="9"/>
      <c r="BE15" s="9"/>
      <c r="BF15" s="4"/>
      <c r="BG15" s="4"/>
      <c r="BH15" s="4"/>
      <c r="BI15" s="4"/>
      <c r="BJ15" s="4"/>
      <c r="BK15" s="4"/>
      <c r="BL15" s="4"/>
      <c r="BM15" s="869">
        <v>110000</v>
      </c>
      <c r="BN15" s="4"/>
      <c r="BO15" s="162">
        <v>3.3000000000000002E-2</v>
      </c>
      <c r="BQ15" s="165" t="s">
        <v>196</v>
      </c>
      <c r="BR15" s="4"/>
      <c r="BS15" s="4"/>
      <c r="BT15" s="4"/>
      <c r="BU15" s="9"/>
      <c r="BV15" s="9"/>
      <c r="BW15" s="4"/>
      <c r="BX15" s="4"/>
      <c r="BY15" s="4"/>
      <c r="BZ15" s="4"/>
      <c r="CA15" s="4"/>
      <c r="CB15" s="4"/>
      <c r="CC15" s="4"/>
      <c r="CD15" s="869">
        <v>110000</v>
      </c>
      <c r="CE15" s="4"/>
      <c r="CF15" s="162">
        <v>3.3000000000000002E-2</v>
      </c>
    </row>
    <row r="16" spans="1:84">
      <c r="A16" s="159" t="s">
        <v>200</v>
      </c>
      <c r="B16" s="5"/>
      <c r="C16" s="5"/>
      <c r="D16" s="5"/>
      <c r="E16" s="5"/>
      <c r="F16" s="5"/>
      <c r="G16" s="5"/>
      <c r="H16" s="5"/>
      <c r="I16" s="5"/>
      <c r="J16" s="5"/>
      <c r="K16" s="5"/>
      <c r="L16" s="5"/>
      <c r="M16" s="5"/>
      <c r="N16" s="868">
        <f>SUM(N17:N19)</f>
        <v>5000</v>
      </c>
      <c r="O16" s="10"/>
      <c r="P16" s="160">
        <f>SUM(P17:P19)</f>
        <v>0.01</v>
      </c>
      <c r="R16" s="168" t="s">
        <v>199</v>
      </c>
      <c r="AE16" s="22"/>
      <c r="AG16" s="99"/>
      <c r="AI16" s="51" t="s">
        <v>201</v>
      </c>
      <c r="AN16" s="169"/>
      <c r="AO16" s="169"/>
      <c r="AP16" s="169"/>
      <c r="AQ16" s="169"/>
      <c r="AV16" s="22">
        <f>18850/4</f>
        <v>4712.5</v>
      </c>
      <c r="AX16" s="99"/>
      <c r="AZ16" s="168" t="s">
        <v>199</v>
      </c>
      <c r="BM16" s="22"/>
      <c r="BO16" s="99"/>
      <c r="BQ16" s="223" t="s">
        <v>199</v>
      </c>
      <c r="CD16" s="22"/>
      <c r="CF16" s="99"/>
    </row>
    <row r="17" spans="1:84">
      <c r="A17" s="165" t="s">
        <v>202</v>
      </c>
      <c r="B17" s="4"/>
      <c r="C17" s="4"/>
      <c r="D17" s="4"/>
      <c r="E17" s="4"/>
      <c r="F17" s="4"/>
      <c r="G17" s="4"/>
      <c r="H17" s="4"/>
      <c r="I17" s="4"/>
      <c r="J17" s="4"/>
      <c r="K17" s="4"/>
      <c r="L17" s="4"/>
      <c r="M17" s="4"/>
      <c r="N17" s="869">
        <v>0</v>
      </c>
      <c r="O17" s="4"/>
      <c r="P17" s="162">
        <v>0</v>
      </c>
      <c r="R17" s="51" t="s">
        <v>201</v>
      </c>
      <c r="W17" s="169"/>
      <c r="X17" s="169"/>
      <c r="Y17" s="169"/>
      <c r="Z17" s="169"/>
      <c r="AE17" s="22">
        <f>17170/4</f>
        <v>4292.5</v>
      </c>
      <c r="AG17" s="99"/>
      <c r="AI17" s="51" t="s">
        <v>203</v>
      </c>
      <c r="AJ17" s="171"/>
      <c r="AK17" s="171"/>
      <c r="AL17" s="171"/>
      <c r="AM17" s="171"/>
      <c r="AN17" s="171"/>
      <c r="AO17" s="171"/>
      <c r="AP17" s="171"/>
      <c r="AQ17" s="171"/>
      <c r="AR17" s="171"/>
      <c r="AS17" s="171"/>
      <c r="AT17" s="171"/>
      <c r="AU17" s="171"/>
      <c r="AV17" s="22">
        <f>18850*3/4</f>
        <v>14137.5</v>
      </c>
      <c r="AX17" s="99"/>
      <c r="AZ17" s="51" t="s">
        <v>201</v>
      </c>
      <c r="BE17" s="169"/>
      <c r="BF17" s="169"/>
      <c r="BG17" s="169"/>
      <c r="BH17" s="169"/>
      <c r="BM17" s="22">
        <f>21200/4</f>
        <v>5300</v>
      </c>
      <c r="BO17" s="99"/>
      <c r="BQ17" s="51" t="s">
        <v>201</v>
      </c>
      <c r="BV17" s="169"/>
      <c r="BW17" s="169"/>
      <c r="BX17" s="169"/>
      <c r="BY17" s="169"/>
      <c r="CD17" s="22">
        <f>27690/4</f>
        <v>6922.5</v>
      </c>
      <c r="CF17" s="99"/>
    </row>
    <row r="18" spans="1:84">
      <c r="A18" s="165" t="s">
        <v>204</v>
      </c>
      <c r="B18" s="4"/>
      <c r="C18" s="4"/>
      <c r="D18" s="4"/>
      <c r="E18" s="4"/>
      <c r="F18" s="4"/>
      <c r="G18" s="4"/>
      <c r="H18" s="4"/>
      <c r="I18" s="4"/>
      <c r="J18" s="4"/>
      <c r="K18" s="4"/>
      <c r="L18" s="4"/>
      <c r="M18" s="4"/>
      <c r="N18" s="869">
        <v>5000</v>
      </c>
      <c r="O18" s="4"/>
      <c r="P18" s="164">
        <v>0.01</v>
      </c>
      <c r="R18" s="51" t="s">
        <v>203</v>
      </c>
      <c r="S18" s="171"/>
      <c r="T18" s="171"/>
      <c r="U18" s="171"/>
      <c r="V18" s="171"/>
      <c r="W18" s="171"/>
      <c r="X18" s="171"/>
      <c r="Y18" s="171"/>
      <c r="Z18" s="171"/>
      <c r="AA18" s="171"/>
      <c r="AB18" s="171"/>
      <c r="AC18" s="171"/>
      <c r="AD18" s="171"/>
      <c r="AE18" s="22">
        <f>17170*3/4</f>
        <v>12877.5</v>
      </c>
      <c r="AG18" s="99"/>
      <c r="AI18" s="159" t="s">
        <v>197</v>
      </c>
      <c r="AJ18" s="5"/>
      <c r="AK18" s="5"/>
      <c r="AL18" s="5"/>
      <c r="AM18" s="5"/>
      <c r="AN18" s="5"/>
      <c r="AO18" s="5"/>
      <c r="AP18" s="5"/>
      <c r="AQ18" s="5"/>
      <c r="AR18" s="5"/>
      <c r="AS18" s="5"/>
      <c r="AT18" s="5"/>
      <c r="AU18" s="5"/>
      <c r="AV18" s="868">
        <f>AV19</f>
        <v>1500</v>
      </c>
      <c r="AW18" s="5"/>
      <c r="AX18" s="172">
        <f>AX19</f>
        <v>0</v>
      </c>
      <c r="AZ18" s="51" t="s">
        <v>203</v>
      </c>
      <c r="BA18" s="171"/>
      <c r="BB18" s="171"/>
      <c r="BC18" s="171"/>
      <c r="BD18" s="171"/>
      <c r="BE18" s="171"/>
      <c r="BF18" s="171"/>
      <c r="BG18" s="171"/>
      <c r="BH18" s="171"/>
      <c r="BI18" s="171"/>
      <c r="BJ18" s="171"/>
      <c r="BK18" s="171"/>
      <c r="BL18" s="171"/>
      <c r="BM18" s="22">
        <f>21200*3/4</f>
        <v>15900</v>
      </c>
      <c r="BO18" s="99"/>
      <c r="BQ18" s="51" t="s">
        <v>203</v>
      </c>
      <c r="BR18" s="186"/>
      <c r="BS18" s="186"/>
      <c r="BT18" s="186"/>
      <c r="BU18" s="186"/>
      <c r="BV18" s="186"/>
      <c r="BW18" s="186"/>
      <c r="BX18" s="186"/>
      <c r="BY18" s="186"/>
      <c r="BZ18" s="186"/>
      <c r="CA18" s="186"/>
      <c r="CB18" s="186"/>
      <c r="CC18" s="186"/>
      <c r="CD18" s="22">
        <f>27690*3/4</f>
        <v>20767.5</v>
      </c>
      <c r="CF18" s="99"/>
    </row>
    <row r="19" spans="1:84">
      <c r="A19" s="173" t="s">
        <v>205</v>
      </c>
      <c r="B19" s="11"/>
      <c r="C19" s="11"/>
      <c r="D19" s="11"/>
      <c r="E19" s="11"/>
      <c r="F19" s="11"/>
      <c r="G19" s="11"/>
      <c r="H19" s="11"/>
      <c r="I19" s="11"/>
      <c r="J19" s="11"/>
      <c r="K19" s="11"/>
      <c r="L19" s="11"/>
      <c r="M19" s="11"/>
      <c r="N19" s="870">
        <v>0</v>
      </c>
      <c r="O19" s="11"/>
      <c r="P19" s="174">
        <v>0</v>
      </c>
      <c r="R19" s="159" t="s">
        <v>197</v>
      </c>
      <c r="S19" s="5"/>
      <c r="T19" s="5"/>
      <c r="U19" s="5"/>
      <c r="V19" s="5"/>
      <c r="W19" s="5"/>
      <c r="X19" s="5"/>
      <c r="Y19" s="5"/>
      <c r="Z19" s="5"/>
      <c r="AA19" s="5"/>
      <c r="AB19" s="5"/>
      <c r="AC19" s="5"/>
      <c r="AD19" s="5"/>
      <c r="AE19" s="868">
        <f>AE20</f>
        <v>1500</v>
      </c>
      <c r="AF19" s="5"/>
      <c r="AG19" s="172">
        <f>AG20</f>
        <v>0</v>
      </c>
      <c r="AI19" s="165" t="s">
        <v>198</v>
      </c>
      <c r="AJ19" s="4"/>
      <c r="AK19" s="4"/>
      <c r="AL19" s="4"/>
      <c r="AM19" s="4"/>
      <c r="AN19" s="4"/>
      <c r="AO19" s="4"/>
      <c r="AP19" s="4"/>
      <c r="AQ19" s="4"/>
      <c r="AR19" s="4"/>
      <c r="AS19" s="4"/>
      <c r="AT19" s="4"/>
      <c r="AU19" s="4"/>
      <c r="AV19" s="869">
        <v>1500</v>
      </c>
      <c r="AW19" s="4"/>
      <c r="AX19" s="164">
        <v>0</v>
      </c>
      <c r="AZ19" s="159" t="s">
        <v>197</v>
      </c>
      <c r="BA19" s="5"/>
      <c r="BB19" s="5"/>
      <c r="BC19" s="5"/>
      <c r="BD19" s="5"/>
      <c r="BE19" s="5"/>
      <c r="BF19" s="5"/>
      <c r="BG19" s="5"/>
      <c r="BH19" s="5"/>
      <c r="BI19" s="5"/>
      <c r="BJ19" s="5"/>
      <c r="BK19" s="5"/>
      <c r="BL19" s="5"/>
      <c r="BM19" s="868">
        <f>BM20</f>
        <v>1500</v>
      </c>
      <c r="BN19" s="5"/>
      <c r="BO19" s="160">
        <f>BO20</f>
        <v>0</v>
      </c>
      <c r="BQ19" s="159" t="s">
        <v>197</v>
      </c>
      <c r="BR19" s="5"/>
      <c r="BS19" s="5"/>
      <c r="BT19" s="5"/>
      <c r="BU19" s="5"/>
      <c r="BV19" s="5"/>
      <c r="BW19" s="5"/>
      <c r="BX19" s="5"/>
      <c r="BY19" s="5"/>
      <c r="BZ19" s="5"/>
      <c r="CA19" s="5"/>
      <c r="CB19" s="5"/>
      <c r="CC19" s="5"/>
      <c r="CD19" s="868">
        <f>CD20</f>
        <v>1500</v>
      </c>
      <c r="CE19" s="5"/>
      <c r="CF19" s="160">
        <f>CF20</f>
        <v>0</v>
      </c>
    </row>
    <row r="20" spans="1:84">
      <c r="A20" s="175" t="s">
        <v>206</v>
      </c>
      <c r="B20" s="11"/>
      <c r="C20" s="11"/>
      <c r="D20" s="11"/>
      <c r="E20" s="11"/>
      <c r="F20" s="11"/>
      <c r="G20" s="11"/>
      <c r="H20" s="11"/>
      <c r="I20" s="11"/>
      <c r="J20" s="11"/>
      <c r="K20" s="11"/>
      <c r="L20" s="11"/>
      <c r="M20" s="11"/>
      <c r="N20" s="871">
        <f>N16+N14+N6</f>
        <v>252059</v>
      </c>
      <c r="O20" s="11"/>
      <c r="P20" s="176">
        <f>P16+P14+P6</f>
        <v>0.1075</v>
      </c>
      <c r="R20" s="165" t="s">
        <v>198</v>
      </c>
      <c r="S20" s="4"/>
      <c r="T20" s="4"/>
      <c r="U20" s="4"/>
      <c r="V20" s="4"/>
      <c r="W20" s="4"/>
      <c r="X20" s="4"/>
      <c r="Y20" s="4"/>
      <c r="Z20" s="4"/>
      <c r="AA20" s="4"/>
      <c r="AB20" s="4"/>
      <c r="AC20" s="4"/>
      <c r="AD20" s="4"/>
      <c r="AE20" s="869">
        <v>1500</v>
      </c>
      <c r="AF20" s="4"/>
      <c r="AG20" s="164">
        <v>0</v>
      </c>
      <c r="AI20" s="159" t="s">
        <v>200</v>
      </c>
      <c r="AJ20" s="5"/>
      <c r="AK20" s="5"/>
      <c r="AL20" s="5"/>
      <c r="AM20" s="5"/>
      <c r="AN20" s="5"/>
      <c r="AO20" s="5"/>
      <c r="AP20" s="5"/>
      <c r="AQ20" s="5"/>
      <c r="AR20" s="5"/>
      <c r="AS20" s="5"/>
      <c r="AT20" s="5"/>
      <c r="AU20" s="5"/>
      <c r="AV20" s="868">
        <f>SUM(AV21:AV23)</f>
        <v>5000</v>
      </c>
      <c r="AW20" s="10"/>
      <c r="AX20" s="160">
        <f>SUM(AX21:AX23)</f>
        <v>3.6799999999999999E-2</v>
      </c>
      <c r="AZ20" s="165" t="s">
        <v>198</v>
      </c>
      <c r="BA20" s="4"/>
      <c r="BB20" s="4"/>
      <c r="BC20" s="4"/>
      <c r="BD20" s="4"/>
      <c r="BE20" s="4"/>
      <c r="BF20" s="4"/>
      <c r="BG20" s="4"/>
      <c r="BH20" s="4"/>
      <c r="BI20" s="4"/>
      <c r="BJ20" s="4"/>
      <c r="BK20" s="4"/>
      <c r="BL20" s="4"/>
      <c r="BM20" s="869">
        <v>1500</v>
      </c>
      <c r="BN20" s="4"/>
      <c r="BO20" s="162">
        <v>0</v>
      </c>
      <c r="BQ20" s="165" t="s">
        <v>198</v>
      </c>
      <c r="BR20" s="4"/>
      <c r="BS20" s="4"/>
      <c r="BT20" s="4"/>
      <c r="BU20" s="4"/>
      <c r="BV20" s="4"/>
      <c r="BW20" s="4"/>
      <c r="BX20" s="4"/>
      <c r="BY20" s="4"/>
      <c r="BZ20" s="4"/>
      <c r="CA20" s="4"/>
      <c r="CB20" s="4"/>
      <c r="CC20" s="4"/>
      <c r="CD20" s="869">
        <v>1500</v>
      </c>
      <c r="CE20" s="4"/>
      <c r="CF20" s="162">
        <v>0</v>
      </c>
    </row>
    <row r="21" spans="1:84">
      <c r="A21" s="157" t="s">
        <v>207</v>
      </c>
      <c r="B21" s="4"/>
      <c r="C21" s="4"/>
      <c r="D21" s="4"/>
      <c r="E21" s="4"/>
      <c r="F21" s="4"/>
      <c r="G21" s="4"/>
      <c r="H21" s="4"/>
      <c r="I21" s="4"/>
      <c r="J21" s="4"/>
      <c r="K21" s="4"/>
      <c r="L21" s="4"/>
      <c r="M21" s="4"/>
      <c r="N21" s="869"/>
      <c r="O21" s="4"/>
      <c r="P21" s="158"/>
      <c r="R21" s="159" t="s">
        <v>200</v>
      </c>
      <c r="S21" s="5"/>
      <c r="T21" s="5"/>
      <c r="U21" s="5"/>
      <c r="V21" s="5"/>
      <c r="W21" s="5"/>
      <c r="X21" s="5"/>
      <c r="Y21" s="5"/>
      <c r="Z21" s="5"/>
      <c r="AA21" s="5"/>
      <c r="AB21" s="5"/>
      <c r="AC21" s="5"/>
      <c r="AD21" s="5"/>
      <c r="AE21" s="868">
        <f>SUM(AE22:AE24)</f>
        <v>5000</v>
      </c>
      <c r="AF21" s="10"/>
      <c r="AG21" s="160">
        <f>SUM(AG22:AG24)</f>
        <v>2.6799999999999997E-2</v>
      </c>
      <c r="AI21" s="165" t="s">
        <v>202</v>
      </c>
      <c r="AJ21" s="4"/>
      <c r="AK21" s="4"/>
      <c r="AL21" s="4"/>
      <c r="AM21" s="4"/>
      <c r="AN21" s="4"/>
      <c r="AO21" s="4"/>
      <c r="AP21" s="4"/>
      <c r="AQ21" s="4"/>
      <c r="AR21" s="4"/>
      <c r="AS21" s="4"/>
      <c r="AT21" s="4"/>
      <c r="AU21" s="4"/>
      <c r="AV21" s="869">
        <v>0</v>
      </c>
      <c r="AW21" s="4"/>
      <c r="AX21" s="162">
        <v>6.7999999999999996E-3</v>
      </c>
      <c r="AZ21" s="159" t="s">
        <v>200</v>
      </c>
      <c r="BA21" s="5"/>
      <c r="BB21" s="5"/>
      <c r="BC21" s="5"/>
      <c r="BD21" s="5"/>
      <c r="BE21" s="5"/>
      <c r="BF21" s="5"/>
      <c r="BG21" s="5"/>
      <c r="BH21" s="5"/>
      <c r="BI21" s="5"/>
      <c r="BJ21" s="5"/>
      <c r="BK21" s="5"/>
      <c r="BL21" s="5"/>
      <c r="BM21" s="868">
        <f>SUM(BM22:BM24)</f>
        <v>5000</v>
      </c>
      <c r="BN21" s="10"/>
      <c r="BO21" s="160">
        <f>SUM(BO22:BO24)</f>
        <v>3.6799999999999999E-2</v>
      </c>
      <c r="BQ21" s="159" t="s">
        <v>200</v>
      </c>
      <c r="BR21" s="5"/>
      <c r="BS21" s="5"/>
      <c r="BT21" s="5"/>
      <c r="BU21" s="5"/>
      <c r="BV21" s="5"/>
      <c r="BW21" s="5"/>
      <c r="BX21" s="5"/>
      <c r="BY21" s="5"/>
      <c r="BZ21" s="5"/>
      <c r="CA21" s="5"/>
      <c r="CB21" s="5"/>
      <c r="CC21" s="5"/>
      <c r="CD21" s="868">
        <f>SUM(CD22:CD24)</f>
        <v>5000</v>
      </c>
      <c r="CE21" s="10"/>
      <c r="CF21" s="160">
        <v>3.6799999999999999E-2</v>
      </c>
    </row>
    <row r="22" spans="1:84">
      <c r="A22" s="165" t="s">
        <v>208</v>
      </c>
      <c r="B22" s="4"/>
      <c r="C22" s="4"/>
      <c r="D22" s="4"/>
      <c r="E22" s="4"/>
      <c r="F22" s="4"/>
      <c r="G22" s="4"/>
      <c r="H22" s="4"/>
      <c r="I22" s="4"/>
      <c r="J22" s="4"/>
      <c r="K22" s="4"/>
      <c r="L22" s="4"/>
      <c r="M22" s="4"/>
      <c r="N22" s="869">
        <v>14000</v>
      </c>
      <c r="O22" s="4"/>
      <c r="P22" s="177" t="s">
        <v>89</v>
      </c>
      <c r="R22" s="165" t="s">
        <v>202</v>
      </c>
      <c r="S22" s="4"/>
      <c r="T22" s="4"/>
      <c r="U22" s="4"/>
      <c r="V22" s="4"/>
      <c r="W22" s="4"/>
      <c r="X22" s="4"/>
      <c r="Y22" s="4"/>
      <c r="Z22" s="4"/>
      <c r="AA22" s="4"/>
      <c r="AB22" s="4"/>
      <c r="AC22" s="4"/>
      <c r="AD22" s="4"/>
      <c r="AE22" s="869">
        <v>0</v>
      </c>
      <c r="AF22" s="4"/>
      <c r="AG22" s="162">
        <v>6.7999999999999996E-3</v>
      </c>
      <c r="AI22" s="165" t="s">
        <v>204</v>
      </c>
      <c r="AJ22" s="4"/>
      <c r="AK22" s="4"/>
      <c r="AL22" s="4"/>
      <c r="AM22" s="4"/>
      <c r="AN22" s="4"/>
      <c r="AO22" s="4"/>
      <c r="AP22" s="4"/>
      <c r="AQ22" s="4"/>
      <c r="AR22" s="4"/>
      <c r="AS22" s="4"/>
      <c r="AT22" s="4"/>
      <c r="AU22" s="4"/>
      <c r="AV22" s="869">
        <v>5000</v>
      </c>
      <c r="AW22" s="4"/>
      <c r="AX22" s="164">
        <v>0.01</v>
      </c>
      <c r="AZ22" s="165" t="s">
        <v>202</v>
      </c>
      <c r="BA22" s="4"/>
      <c r="BB22" s="4"/>
      <c r="BC22" s="4"/>
      <c r="BD22" s="4"/>
      <c r="BE22" s="4"/>
      <c r="BF22" s="4"/>
      <c r="BG22" s="4"/>
      <c r="BH22" s="4"/>
      <c r="BI22" s="4"/>
      <c r="BJ22" s="4"/>
      <c r="BK22" s="4"/>
      <c r="BL22" s="4"/>
      <c r="BM22" s="869">
        <v>0</v>
      </c>
      <c r="BN22" s="4"/>
      <c r="BO22" s="162">
        <v>6.7999999999999996E-3</v>
      </c>
      <c r="BQ22" s="165" t="s">
        <v>202</v>
      </c>
      <c r="BR22" s="4"/>
      <c r="BS22" s="4"/>
      <c r="BT22" s="4"/>
      <c r="BU22" s="4"/>
      <c r="BV22" s="4"/>
      <c r="BW22" s="4"/>
      <c r="BX22" s="4"/>
      <c r="BY22" s="4"/>
      <c r="BZ22" s="4"/>
      <c r="CA22" s="4"/>
      <c r="CB22" s="4"/>
      <c r="CC22" s="4"/>
      <c r="CD22" s="869">
        <v>0</v>
      </c>
      <c r="CE22" s="4"/>
      <c r="CF22" s="162">
        <v>6.7999999999999996E-3</v>
      </c>
    </row>
    <row r="23" spans="1:84">
      <c r="A23" s="165" t="s">
        <v>209</v>
      </c>
      <c r="B23" s="4"/>
      <c r="C23" s="4"/>
      <c r="D23" s="4"/>
      <c r="E23" s="13"/>
      <c r="F23" s="4"/>
      <c r="G23" s="4"/>
      <c r="H23" s="4"/>
      <c r="I23" s="4"/>
      <c r="J23" s="4"/>
      <c r="K23" s="4"/>
      <c r="L23" s="4"/>
      <c r="M23" s="4"/>
      <c r="N23" s="869"/>
      <c r="O23" s="4"/>
      <c r="P23" s="177"/>
      <c r="R23" s="165" t="s">
        <v>204</v>
      </c>
      <c r="S23" s="4"/>
      <c r="T23" s="4"/>
      <c r="U23" s="4"/>
      <c r="V23" s="4"/>
      <c r="W23" s="4"/>
      <c r="X23" s="4"/>
      <c r="Y23" s="4"/>
      <c r="Z23" s="4"/>
      <c r="AA23" s="4"/>
      <c r="AB23" s="4"/>
      <c r="AC23" s="4"/>
      <c r="AD23" s="4"/>
      <c r="AE23" s="869">
        <v>5000</v>
      </c>
      <c r="AF23" s="4"/>
      <c r="AG23" s="164">
        <v>0.01</v>
      </c>
      <c r="AI23" s="173" t="s">
        <v>205</v>
      </c>
      <c r="AJ23" s="11"/>
      <c r="AK23" s="11"/>
      <c r="AL23" s="11"/>
      <c r="AM23" s="11"/>
      <c r="AN23" s="11"/>
      <c r="AO23" s="11"/>
      <c r="AP23" s="11"/>
      <c r="AQ23" s="11"/>
      <c r="AR23" s="11"/>
      <c r="AS23" s="11"/>
      <c r="AT23" s="11"/>
      <c r="AU23" s="11"/>
      <c r="AV23" s="870">
        <v>0</v>
      </c>
      <c r="AW23" s="11"/>
      <c r="AX23" s="174">
        <v>0.02</v>
      </c>
      <c r="AZ23" s="165" t="s">
        <v>204</v>
      </c>
      <c r="BA23" s="4"/>
      <c r="BB23" s="4"/>
      <c r="BC23" s="4"/>
      <c r="BD23" s="4"/>
      <c r="BE23" s="4"/>
      <c r="BF23" s="4"/>
      <c r="BG23" s="4"/>
      <c r="BH23" s="4"/>
      <c r="BI23" s="4"/>
      <c r="BJ23" s="4"/>
      <c r="BK23" s="4"/>
      <c r="BL23" s="4"/>
      <c r="BM23" s="869">
        <v>5000</v>
      </c>
      <c r="BN23" s="4"/>
      <c r="BO23" s="164">
        <v>0.01</v>
      </c>
      <c r="BQ23" s="165" t="s">
        <v>204</v>
      </c>
      <c r="BR23" s="4"/>
      <c r="BS23" s="4"/>
      <c r="BT23" s="4"/>
      <c r="BU23" s="4"/>
      <c r="BV23" s="4"/>
      <c r="BW23" s="4"/>
      <c r="BX23" s="4"/>
      <c r="BY23" s="4"/>
      <c r="BZ23" s="4"/>
      <c r="CA23" s="4"/>
      <c r="CB23" s="4"/>
      <c r="CC23" s="4"/>
      <c r="CD23" s="869">
        <v>5000</v>
      </c>
      <c r="CE23" s="4"/>
      <c r="CF23" s="164">
        <v>0.01</v>
      </c>
    </row>
    <row r="24" spans="1:84">
      <c r="A24" s="165" t="s">
        <v>210</v>
      </c>
      <c r="B24" s="4"/>
      <c r="C24" s="4"/>
      <c r="D24" s="4"/>
      <c r="E24" s="4"/>
      <c r="F24" s="13"/>
      <c r="G24" s="4"/>
      <c r="H24" s="4"/>
      <c r="I24" s="4"/>
      <c r="J24" s="4"/>
      <c r="K24" s="4"/>
      <c r="L24" s="4"/>
      <c r="M24" s="4"/>
      <c r="N24" s="869"/>
      <c r="O24" s="4"/>
      <c r="P24" s="177"/>
      <c r="R24" s="173" t="s">
        <v>205</v>
      </c>
      <c r="S24" s="11"/>
      <c r="T24" s="11"/>
      <c r="U24" s="11"/>
      <c r="V24" s="11"/>
      <c r="W24" s="11"/>
      <c r="X24" s="11"/>
      <c r="Y24" s="11"/>
      <c r="Z24" s="11"/>
      <c r="AA24" s="11"/>
      <c r="AB24" s="11"/>
      <c r="AC24" s="11"/>
      <c r="AD24" s="11"/>
      <c r="AE24" s="870">
        <v>0</v>
      </c>
      <c r="AF24" s="11"/>
      <c r="AG24" s="174">
        <v>0.01</v>
      </c>
      <c r="AI24" s="175" t="s">
        <v>206</v>
      </c>
      <c r="AJ24" s="11"/>
      <c r="AK24" s="11"/>
      <c r="AL24" s="11"/>
      <c r="AM24" s="11"/>
      <c r="AN24" s="11"/>
      <c r="AO24" s="11"/>
      <c r="AP24" s="11"/>
      <c r="AQ24" s="11"/>
      <c r="AR24" s="11"/>
      <c r="AS24" s="11"/>
      <c r="AT24" s="11"/>
      <c r="AU24" s="11"/>
      <c r="AV24" s="871">
        <f>AV20+AV18+AV6</f>
        <v>381883</v>
      </c>
      <c r="AW24" s="11"/>
      <c r="AX24" s="176">
        <f>AX20+AX18+AX6</f>
        <v>0.23250000000000001</v>
      </c>
      <c r="AZ24" s="173" t="s">
        <v>205</v>
      </c>
      <c r="BA24" s="11"/>
      <c r="BB24" s="11"/>
      <c r="BC24" s="11"/>
      <c r="BD24" s="11"/>
      <c r="BE24" s="11"/>
      <c r="BF24" s="11"/>
      <c r="BG24" s="11"/>
      <c r="BH24" s="11"/>
      <c r="BI24" s="11"/>
      <c r="BJ24" s="11"/>
      <c r="BK24" s="11"/>
      <c r="BL24" s="11"/>
      <c r="BM24" s="870">
        <v>0</v>
      </c>
      <c r="BN24" s="11"/>
      <c r="BO24" s="174">
        <v>0.02</v>
      </c>
      <c r="BQ24" s="173" t="s">
        <v>205</v>
      </c>
      <c r="BR24" s="11"/>
      <c r="BS24" s="11"/>
      <c r="BT24" s="11"/>
      <c r="BU24" s="11"/>
      <c r="BV24" s="11"/>
      <c r="BW24" s="11"/>
      <c r="BX24" s="11"/>
      <c r="BY24" s="11"/>
      <c r="BZ24" s="11"/>
      <c r="CA24" s="11"/>
      <c r="CB24" s="11"/>
      <c r="CC24" s="11"/>
      <c r="CD24" s="870">
        <v>0</v>
      </c>
      <c r="CE24" s="11"/>
      <c r="CF24" s="174">
        <v>0.02</v>
      </c>
    </row>
    <row r="25" spans="1:84">
      <c r="A25" s="165" t="s">
        <v>211</v>
      </c>
      <c r="B25" s="4"/>
      <c r="C25" s="4"/>
      <c r="D25" s="4"/>
      <c r="E25" s="4"/>
      <c r="F25" s="4"/>
      <c r="G25" s="4"/>
      <c r="H25" s="4"/>
      <c r="I25" s="4"/>
      <c r="J25" s="4"/>
      <c r="K25" s="4"/>
      <c r="L25" s="4"/>
      <c r="M25" s="4"/>
      <c r="N25" s="869">
        <v>1200</v>
      </c>
      <c r="O25" s="4"/>
      <c r="P25" s="177" t="s">
        <v>89</v>
      </c>
      <c r="R25" s="175" t="s">
        <v>206</v>
      </c>
      <c r="S25" s="11"/>
      <c r="T25" s="11"/>
      <c r="U25" s="11"/>
      <c r="V25" s="11"/>
      <c r="W25" s="11"/>
      <c r="X25" s="11"/>
      <c r="Y25" s="11"/>
      <c r="Z25" s="11"/>
      <c r="AA25" s="11"/>
      <c r="AB25" s="11"/>
      <c r="AC25" s="11"/>
      <c r="AD25" s="11"/>
      <c r="AE25" s="871">
        <f>AE21+AE19+AE6</f>
        <v>334920</v>
      </c>
      <c r="AF25" s="11"/>
      <c r="AG25" s="176">
        <f>AG21+AG19+AG6</f>
        <v>0.1822</v>
      </c>
      <c r="AI25" s="157" t="s">
        <v>207</v>
      </c>
      <c r="AJ25" s="4"/>
      <c r="AK25" s="4"/>
      <c r="AL25" s="4"/>
      <c r="AM25" s="4"/>
      <c r="AN25" s="4"/>
      <c r="AO25" s="4"/>
      <c r="AP25" s="4"/>
      <c r="AQ25" s="4"/>
      <c r="AR25" s="4"/>
      <c r="AS25" s="4"/>
      <c r="AT25" s="4"/>
      <c r="AU25" s="4"/>
      <c r="AV25" s="869"/>
      <c r="AW25" s="4"/>
      <c r="AX25" s="158"/>
      <c r="AZ25" s="175" t="s">
        <v>206</v>
      </c>
      <c r="BA25" s="11"/>
      <c r="BB25" s="11"/>
      <c r="BC25" s="11"/>
      <c r="BD25" s="11"/>
      <c r="BE25" s="11"/>
      <c r="BF25" s="11"/>
      <c r="BG25" s="11"/>
      <c r="BH25" s="11"/>
      <c r="BI25" s="11"/>
      <c r="BJ25" s="11"/>
      <c r="BK25" s="11"/>
      <c r="BL25" s="11"/>
      <c r="BM25" s="871">
        <f>SUM(BM21+BM19+BM6)</f>
        <v>424843</v>
      </c>
      <c r="BN25" s="11"/>
      <c r="BO25" s="176">
        <f>BO21+BO19+BO6</f>
        <v>0.27180000000000004</v>
      </c>
      <c r="BQ25" s="175" t="s">
        <v>206</v>
      </c>
      <c r="BR25" s="11"/>
      <c r="BS25" s="11"/>
      <c r="BT25" s="11"/>
      <c r="BU25" s="11"/>
      <c r="BV25" s="11"/>
      <c r="BW25" s="11"/>
      <c r="BX25" s="11"/>
      <c r="BY25" s="11"/>
      <c r="BZ25" s="11"/>
      <c r="CA25" s="11"/>
      <c r="CB25" s="11"/>
      <c r="CC25" s="11"/>
      <c r="CD25" s="871">
        <f>CD21+CD19+CD6</f>
        <v>465476</v>
      </c>
      <c r="CE25" s="11"/>
      <c r="CF25" s="176">
        <f>CF6+CF19+CF21</f>
        <v>0.29820000000000002</v>
      </c>
    </row>
    <row r="26" spans="1:84">
      <c r="A26" s="178" t="s">
        <v>212</v>
      </c>
      <c r="B26" s="14"/>
      <c r="C26" s="12"/>
      <c r="D26" s="14"/>
      <c r="E26" s="12"/>
      <c r="F26" s="14"/>
      <c r="G26" s="12"/>
      <c r="H26" s="14"/>
      <c r="I26" s="12"/>
      <c r="J26" s="14"/>
      <c r="K26" s="12"/>
      <c r="L26" s="14"/>
      <c r="M26" s="12"/>
      <c r="N26" s="870"/>
      <c r="O26" s="12"/>
      <c r="P26" s="179"/>
      <c r="R26" s="157" t="s">
        <v>207</v>
      </c>
      <c r="S26" s="4"/>
      <c r="T26" s="4"/>
      <c r="U26" s="4"/>
      <c r="V26" s="4"/>
      <c r="W26" s="4"/>
      <c r="X26" s="4"/>
      <c r="Y26" s="4"/>
      <c r="Z26" s="4"/>
      <c r="AA26" s="4"/>
      <c r="AB26" s="4"/>
      <c r="AC26" s="4"/>
      <c r="AD26" s="4"/>
      <c r="AE26" s="869"/>
      <c r="AF26" s="4"/>
      <c r="AG26" s="158"/>
      <c r="AI26" s="165" t="s">
        <v>208</v>
      </c>
      <c r="AJ26" s="4"/>
      <c r="AK26" s="4"/>
      <c r="AL26" s="4"/>
      <c r="AM26" s="4"/>
      <c r="AN26" s="4"/>
      <c r="AO26" s="4"/>
      <c r="AP26" s="4"/>
      <c r="AQ26" s="4"/>
      <c r="AR26" s="4"/>
      <c r="AS26" s="4"/>
      <c r="AT26" s="4"/>
      <c r="AU26" s="4"/>
      <c r="AV26" s="869">
        <v>6000</v>
      </c>
      <c r="AW26" s="4"/>
      <c r="AX26" s="177" t="s">
        <v>89</v>
      </c>
      <c r="AZ26" s="185" t="s">
        <v>207</v>
      </c>
      <c r="BA26" s="4"/>
      <c r="BB26" s="4"/>
      <c r="BC26" s="4"/>
      <c r="BD26" s="4"/>
      <c r="BE26" s="4"/>
      <c r="BF26" s="4"/>
      <c r="BG26" s="4"/>
      <c r="BH26" s="4"/>
      <c r="BI26" s="4"/>
      <c r="BJ26" s="4"/>
      <c r="BK26" s="4"/>
      <c r="BL26" s="4"/>
      <c r="BM26" s="869"/>
      <c r="BN26" s="4"/>
      <c r="BO26" s="158"/>
      <c r="BQ26" s="185" t="s">
        <v>207</v>
      </c>
      <c r="BR26" s="4"/>
      <c r="BS26" s="4"/>
      <c r="BT26" s="4"/>
      <c r="BU26" s="4"/>
      <c r="BV26" s="4"/>
      <c r="BW26" s="4"/>
      <c r="BX26" s="4"/>
      <c r="BY26" s="4"/>
      <c r="BZ26" s="4"/>
      <c r="CA26" s="4"/>
      <c r="CB26" s="4"/>
      <c r="CC26" s="4"/>
      <c r="CD26" s="869"/>
      <c r="CE26" s="4"/>
      <c r="CF26" s="158"/>
    </row>
    <row r="27" spans="1:84">
      <c r="A27" s="175" t="s">
        <v>213</v>
      </c>
      <c r="B27" s="11"/>
      <c r="C27" s="11"/>
      <c r="D27" s="11"/>
      <c r="E27" s="11"/>
      <c r="F27" s="11"/>
      <c r="G27" s="11"/>
      <c r="H27" s="11"/>
      <c r="I27" s="11"/>
      <c r="J27" s="11"/>
      <c r="K27" s="11"/>
      <c r="L27" s="11"/>
      <c r="M27" s="11"/>
      <c r="N27" s="871">
        <f>N25+N22</f>
        <v>15200</v>
      </c>
      <c r="O27" s="11"/>
      <c r="P27" s="180" t="s">
        <v>89</v>
      </c>
      <c r="R27" s="165" t="s">
        <v>208</v>
      </c>
      <c r="S27" s="4"/>
      <c r="T27" s="4"/>
      <c r="U27" s="4"/>
      <c r="V27" s="4"/>
      <c r="W27" s="4"/>
      <c r="X27" s="4"/>
      <c r="Y27" s="4"/>
      <c r="Z27" s="4"/>
      <c r="AA27" s="4"/>
      <c r="AB27" s="4"/>
      <c r="AC27" s="4"/>
      <c r="AD27" s="4"/>
      <c r="AE27" s="869">
        <v>11000</v>
      </c>
      <c r="AF27" s="4"/>
      <c r="AG27" s="177" t="s">
        <v>89</v>
      </c>
      <c r="AI27" s="165" t="s">
        <v>209</v>
      </c>
      <c r="AJ27" s="4"/>
      <c r="AK27" s="4"/>
      <c r="AL27" s="4"/>
      <c r="AM27" s="13"/>
      <c r="AN27" s="4"/>
      <c r="AO27" s="4"/>
      <c r="AP27" s="4"/>
      <c r="AQ27" s="4"/>
      <c r="AR27" s="4"/>
      <c r="AS27" s="4"/>
      <c r="AT27" s="4"/>
      <c r="AU27" s="4"/>
      <c r="AV27" s="869"/>
      <c r="AW27" s="4"/>
      <c r="AX27" s="177"/>
      <c r="AZ27" s="165" t="s">
        <v>208</v>
      </c>
      <c r="BA27" s="4"/>
      <c r="BB27" s="4"/>
      <c r="BC27" s="4"/>
      <c r="BD27" s="4"/>
      <c r="BE27" s="4"/>
      <c r="BF27" s="4"/>
      <c r="BG27" s="4"/>
      <c r="BH27" s="4"/>
      <c r="BI27" s="4"/>
      <c r="BJ27" s="4"/>
      <c r="BK27" s="4"/>
      <c r="BL27" s="4"/>
      <c r="BM27" s="869">
        <v>6000</v>
      </c>
      <c r="BN27" s="4"/>
      <c r="BO27" s="177" t="s">
        <v>89</v>
      </c>
      <c r="BQ27" s="165" t="s">
        <v>208</v>
      </c>
      <c r="BR27" s="4"/>
      <c r="BS27" s="4"/>
      <c r="BT27" s="4"/>
      <c r="BU27" s="4"/>
      <c r="BV27" s="4"/>
      <c r="BW27" s="4"/>
      <c r="BX27" s="4"/>
      <c r="BY27" s="4"/>
      <c r="BZ27" s="4"/>
      <c r="CA27" s="4"/>
      <c r="CB27" s="4"/>
      <c r="CC27" s="4"/>
      <c r="CD27" s="869">
        <v>6000</v>
      </c>
      <c r="CE27" s="4"/>
      <c r="CF27" s="158" t="s">
        <v>89</v>
      </c>
    </row>
    <row r="28" spans="1:84">
      <c r="A28" s="496" t="s">
        <v>214</v>
      </c>
      <c r="B28" s="497"/>
      <c r="C28" s="497"/>
      <c r="D28" s="497"/>
      <c r="E28" s="497"/>
      <c r="F28" s="497"/>
      <c r="G28" s="497"/>
      <c r="H28" s="497"/>
      <c r="I28" s="497"/>
      <c r="J28" s="497"/>
      <c r="K28" s="497"/>
      <c r="L28" s="497"/>
      <c r="M28" s="497"/>
      <c r="N28" s="872">
        <f>N27+N20</f>
        <v>267259</v>
      </c>
      <c r="O28" s="497"/>
      <c r="P28" s="498">
        <f>P20</f>
        <v>0.1075</v>
      </c>
      <c r="R28" s="165" t="s">
        <v>209</v>
      </c>
      <c r="S28" s="4"/>
      <c r="T28" s="4"/>
      <c r="U28" s="4"/>
      <c r="V28" s="13"/>
      <c r="W28" s="4"/>
      <c r="X28" s="4"/>
      <c r="Y28" s="4"/>
      <c r="Z28" s="4"/>
      <c r="AA28" s="4"/>
      <c r="AB28" s="4"/>
      <c r="AC28" s="4"/>
      <c r="AD28" s="4"/>
      <c r="AE28" s="869"/>
      <c r="AF28" s="4"/>
      <c r="AG28" s="177"/>
      <c r="AI28" s="165" t="s">
        <v>210</v>
      </c>
      <c r="AJ28" s="4"/>
      <c r="AK28" s="4"/>
      <c r="AL28" s="4"/>
      <c r="AM28" s="4"/>
      <c r="AN28" s="13"/>
      <c r="AO28" s="4"/>
      <c r="AP28" s="4"/>
      <c r="AQ28" s="4"/>
      <c r="AR28" s="4"/>
      <c r="AS28" s="4"/>
      <c r="AT28" s="4"/>
      <c r="AU28" s="4"/>
      <c r="AV28" s="869"/>
      <c r="AW28" s="4"/>
      <c r="AX28" s="177"/>
      <c r="AZ28" s="165" t="s">
        <v>209</v>
      </c>
      <c r="BA28" s="4"/>
      <c r="BB28" s="4"/>
      <c r="BC28" s="4"/>
      <c r="BD28" s="13"/>
      <c r="BE28" s="4"/>
      <c r="BF28" s="4"/>
      <c r="BG28" s="4"/>
      <c r="BH28" s="4"/>
      <c r="BI28" s="4"/>
      <c r="BJ28" s="4"/>
      <c r="BK28" s="4"/>
      <c r="BL28" s="4"/>
      <c r="BM28" s="869"/>
      <c r="BN28" s="4"/>
      <c r="BO28" s="177"/>
      <c r="BQ28" s="165" t="s">
        <v>209</v>
      </c>
      <c r="BR28" s="4"/>
      <c r="BS28" s="4"/>
      <c r="BT28" s="4"/>
      <c r="BU28" s="13"/>
      <c r="BV28" s="4"/>
      <c r="BW28" s="4"/>
      <c r="BX28" s="4"/>
      <c r="BY28" s="4"/>
      <c r="BZ28" s="4"/>
      <c r="CA28" s="4"/>
      <c r="CB28" s="4"/>
      <c r="CC28" s="4"/>
      <c r="CD28" s="869"/>
      <c r="CE28" s="4"/>
      <c r="CF28" s="158"/>
    </row>
    <row r="29" spans="1:84">
      <c r="A29" s="494" t="s">
        <v>215</v>
      </c>
      <c r="B29" s="495"/>
      <c r="C29" s="495"/>
      <c r="D29" s="495"/>
      <c r="E29" s="495"/>
      <c r="F29" s="495"/>
      <c r="G29" s="495"/>
      <c r="H29" s="495"/>
      <c r="I29" s="495"/>
      <c r="J29" s="495"/>
      <c r="K29" s="495"/>
      <c r="L29" s="495"/>
      <c r="M29" s="495"/>
      <c r="N29" s="499">
        <f>N28/'FE Income Statement Y1-Y5'!C5</f>
        <v>0.2030150768964282</v>
      </c>
      <c r="O29" s="495"/>
      <c r="P29" s="142"/>
      <c r="R29" s="165" t="s">
        <v>210</v>
      </c>
      <c r="S29" s="4"/>
      <c r="T29" s="4"/>
      <c r="U29" s="4"/>
      <c r="V29" s="4"/>
      <c r="W29" s="13"/>
      <c r="X29" s="4"/>
      <c r="Y29" s="4"/>
      <c r="Z29" s="4"/>
      <c r="AA29" s="4"/>
      <c r="AB29" s="4"/>
      <c r="AC29" s="4"/>
      <c r="AD29" s="4"/>
      <c r="AE29" s="869"/>
      <c r="AF29" s="4"/>
      <c r="AG29" s="177"/>
      <c r="AI29" s="165" t="s">
        <v>216</v>
      </c>
      <c r="AJ29" s="4"/>
      <c r="AK29" s="4"/>
      <c r="AL29" s="13"/>
      <c r="AM29" s="4"/>
      <c r="AN29" s="4"/>
      <c r="AO29" s="4"/>
      <c r="AP29" s="4"/>
      <c r="AQ29" s="4"/>
      <c r="AR29" s="4"/>
      <c r="AS29" s="4"/>
      <c r="AT29" s="4"/>
      <c r="AU29" s="4"/>
      <c r="AV29" s="869"/>
      <c r="AW29" s="4"/>
      <c r="AX29" s="177"/>
      <c r="AZ29" s="165" t="s">
        <v>210</v>
      </c>
      <c r="BA29" s="4"/>
      <c r="BB29" s="4"/>
      <c r="BC29" s="4"/>
      <c r="BD29" s="4"/>
      <c r="BE29" s="13"/>
      <c r="BF29" s="4"/>
      <c r="BG29" s="4"/>
      <c r="BH29" s="4"/>
      <c r="BI29" s="4"/>
      <c r="BJ29" s="4"/>
      <c r="BK29" s="4"/>
      <c r="BL29" s="4"/>
      <c r="BM29" s="869"/>
      <c r="BN29" s="4"/>
      <c r="BO29" s="177"/>
      <c r="BQ29" s="165" t="s">
        <v>210</v>
      </c>
      <c r="BR29" s="4"/>
      <c r="BS29" s="4"/>
      <c r="BT29" s="4"/>
      <c r="BU29" s="4"/>
      <c r="BV29" s="13"/>
      <c r="BW29" s="4"/>
      <c r="BX29" s="4"/>
      <c r="BY29" s="4"/>
      <c r="BZ29" s="4"/>
      <c r="CA29" s="4"/>
      <c r="CB29" s="4"/>
      <c r="CC29" s="4"/>
      <c r="CD29" s="869"/>
      <c r="CE29" s="4"/>
      <c r="CF29" s="158"/>
    </row>
    <row r="30" spans="1:84">
      <c r="A30" s="1"/>
      <c r="B30" s="1"/>
      <c r="C30" s="1"/>
      <c r="D30" s="1"/>
      <c r="E30" s="1"/>
      <c r="F30" s="1"/>
      <c r="G30" s="1"/>
      <c r="R30" s="165" t="s">
        <v>216</v>
      </c>
      <c r="S30" s="4"/>
      <c r="T30" s="4"/>
      <c r="U30" s="13"/>
      <c r="V30" s="4"/>
      <c r="W30" s="4"/>
      <c r="X30" s="4"/>
      <c r="Y30" s="4"/>
      <c r="Z30" s="4"/>
      <c r="AA30" s="4"/>
      <c r="AB30" s="4"/>
      <c r="AC30" s="4"/>
      <c r="AD30" s="4"/>
      <c r="AE30" s="869"/>
      <c r="AF30" s="4"/>
      <c r="AG30" s="177"/>
      <c r="AI30" s="165" t="s">
        <v>211</v>
      </c>
      <c r="AJ30" s="4"/>
      <c r="AK30" s="4"/>
      <c r="AL30" s="4"/>
      <c r="AM30" s="4"/>
      <c r="AN30" s="4"/>
      <c r="AO30" s="4"/>
      <c r="AP30" s="4"/>
      <c r="AQ30" s="4"/>
      <c r="AR30" s="4"/>
      <c r="AS30" s="4"/>
      <c r="AT30" s="4"/>
      <c r="AU30" s="4"/>
      <c r="AV30" s="869">
        <v>1200</v>
      </c>
      <c r="AW30" s="4"/>
      <c r="AX30" s="177" t="s">
        <v>89</v>
      </c>
      <c r="AZ30" s="165" t="s">
        <v>216</v>
      </c>
      <c r="BA30" s="4"/>
      <c r="BB30" s="4"/>
      <c r="BC30" s="13"/>
      <c r="BD30" s="4"/>
      <c r="BE30" s="4"/>
      <c r="BF30" s="4"/>
      <c r="BG30" s="4"/>
      <c r="BH30" s="4"/>
      <c r="BI30" s="4"/>
      <c r="BJ30" s="4"/>
      <c r="BK30" s="4"/>
      <c r="BL30" s="4"/>
      <c r="BM30" s="869"/>
      <c r="BN30" s="4"/>
      <c r="BO30" s="177"/>
      <c r="BQ30" s="165" t="s">
        <v>216</v>
      </c>
      <c r="BR30" s="4"/>
      <c r="BS30" s="4"/>
      <c r="BT30" s="13"/>
      <c r="BU30" s="4"/>
      <c r="BV30" s="4"/>
      <c r="BW30" s="4"/>
      <c r="BX30" s="4"/>
      <c r="BY30" s="4"/>
      <c r="BZ30" s="4"/>
      <c r="CA30" s="4"/>
      <c r="CB30" s="4"/>
      <c r="CC30" s="4"/>
      <c r="CD30" s="869"/>
      <c r="CE30" s="4"/>
      <c r="CF30" s="158"/>
    </row>
    <row r="31" spans="1:84">
      <c r="B31" s="19"/>
      <c r="C31" s="188"/>
      <c r="D31" s="188"/>
      <c r="E31" s="188"/>
      <c r="F31" s="188"/>
      <c r="G31" s="188"/>
      <c r="R31" s="165" t="s">
        <v>211</v>
      </c>
      <c r="S31" s="4"/>
      <c r="T31" s="4"/>
      <c r="U31" s="4"/>
      <c r="V31" s="4"/>
      <c r="W31" s="4"/>
      <c r="X31" s="4"/>
      <c r="Y31" s="4"/>
      <c r="Z31" s="4"/>
      <c r="AA31" s="4"/>
      <c r="AB31" s="4"/>
      <c r="AC31" s="4"/>
      <c r="AD31" s="4"/>
      <c r="AE31" s="869">
        <v>1200</v>
      </c>
      <c r="AF31" s="4"/>
      <c r="AG31" s="177" t="s">
        <v>89</v>
      </c>
      <c r="AI31" s="178" t="s">
        <v>212</v>
      </c>
      <c r="AJ31" s="14"/>
      <c r="AK31" s="12"/>
      <c r="AL31" s="14"/>
      <c r="AM31" s="12"/>
      <c r="AN31" s="14"/>
      <c r="AO31" s="12"/>
      <c r="AP31" s="14"/>
      <c r="AQ31" s="12"/>
      <c r="AR31" s="14"/>
      <c r="AS31" s="12"/>
      <c r="AT31" s="14"/>
      <c r="AU31" s="12"/>
      <c r="AV31" s="870"/>
      <c r="AW31" s="11"/>
      <c r="AX31" s="184"/>
      <c r="AZ31" s="165" t="s">
        <v>211</v>
      </c>
      <c r="BA31" s="4"/>
      <c r="BB31" s="4"/>
      <c r="BC31" s="4"/>
      <c r="BD31" s="4"/>
      <c r="BE31" s="4"/>
      <c r="BF31" s="4"/>
      <c r="BG31" s="4"/>
      <c r="BH31" s="4"/>
      <c r="BI31" s="4"/>
      <c r="BJ31" s="4"/>
      <c r="BK31" s="4"/>
      <c r="BL31" s="4"/>
      <c r="BM31" s="869">
        <v>1200</v>
      </c>
      <c r="BN31" s="4"/>
      <c r="BO31" s="177" t="s">
        <v>89</v>
      </c>
      <c r="BQ31" s="165" t="s">
        <v>211</v>
      </c>
      <c r="BR31" s="4"/>
      <c r="BS31" s="4"/>
      <c r="BT31" s="4"/>
      <c r="BU31" s="4"/>
      <c r="BV31" s="4"/>
      <c r="BW31" s="4"/>
      <c r="BX31" s="4"/>
      <c r="BY31" s="4"/>
      <c r="BZ31" s="4"/>
      <c r="CA31" s="4"/>
      <c r="CB31" s="4"/>
      <c r="CC31" s="4"/>
      <c r="CD31" s="869">
        <v>1200</v>
      </c>
      <c r="CE31" s="4"/>
      <c r="CF31" s="158" t="s">
        <v>89</v>
      </c>
    </row>
    <row r="32" spans="1:84">
      <c r="R32" s="178" t="s">
        <v>212</v>
      </c>
      <c r="S32" s="14"/>
      <c r="T32" s="12"/>
      <c r="U32" s="14"/>
      <c r="V32" s="12"/>
      <c r="W32" s="14"/>
      <c r="X32" s="12"/>
      <c r="Y32" s="14"/>
      <c r="Z32" s="12"/>
      <c r="AA32" s="14"/>
      <c r="AB32" s="12"/>
      <c r="AC32" s="14"/>
      <c r="AD32" s="12"/>
      <c r="AE32" s="870"/>
      <c r="AF32" s="12"/>
      <c r="AG32" s="179"/>
      <c r="AI32" s="175" t="s">
        <v>213</v>
      </c>
      <c r="AJ32" s="11"/>
      <c r="AK32" s="11"/>
      <c r="AL32" s="11"/>
      <c r="AM32" s="11"/>
      <c r="AN32" s="11"/>
      <c r="AO32" s="11"/>
      <c r="AP32" s="11"/>
      <c r="AQ32" s="11"/>
      <c r="AR32" s="11"/>
      <c r="AS32" s="11"/>
      <c r="AT32" s="11"/>
      <c r="AU32" s="11"/>
      <c r="AV32" s="871">
        <f>AV30+AV26</f>
        <v>7200</v>
      </c>
      <c r="AW32" s="11"/>
      <c r="AX32" s="180" t="s">
        <v>89</v>
      </c>
      <c r="AZ32" s="178" t="s">
        <v>212</v>
      </c>
      <c r="BA32" s="14"/>
      <c r="BB32" s="12"/>
      <c r="BC32" s="14"/>
      <c r="BD32" s="12"/>
      <c r="BE32" s="14"/>
      <c r="BF32" s="12"/>
      <c r="BG32" s="14"/>
      <c r="BH32" s="12"/>
      <c r="BI32" s="14"/>
      <c r="BJ32" s="12"/>
      <c r="BK32" s="14"/>
      <c r="BL32" s="12"/>
      <c r="BM32" s="870"/>
      <c r="BN32" s="11"/>
      <c r="BO32" s="184"/>
      <c r="BQ32" s="178" t="s">
        <v>212</v>
      </c>
      <c r="BR32" s="14"/>
      <c r="BS32" s="12"/>
      <c r="BT32" s="14"/>
      <c r="BU32" s="12"/>
      <c r="BV32" s="14"/>
      <c r="BW32" s="12"/>
      <c r="BX32" s="14"/>
      <c r="BY32" s="12"/>
      <c r="BZ32" s="14"/>
      <c r="CA32" s="12"/>
      <c r="CB32" s="14"/>
      <c r="CC32" s="12"/>
      <c r="CD32" s="870"/>
      <c r="CE32" s="11"/>
      <c r="CF32" s="187"/>
    </row>
    <row r="33" spans="18:84">
      <c r="R33" s="175" t="s">
        <v>213</v>
      </c>
      <c r="S33" s="11"/>
      <c r="T33" s="11"/>
      <c r="U33" s="11"/>
      <c r="V33" s="11"/>
      <c r="W33" s="11"/>
      <c r="X33" s="11"/>
      <c r="Y33" s="11"/>
      <c r="Z33" s="11"/>
      <c r="AA33" s="11"/>
      <c r="AB33" s="11"/>
      <c r="AC33" s="11"/>
      <c r="AD33" s="11"/>
      <c r="AE33" s="871">
        <f>AE31+AE27</f>
        <v>12200</v>
      </c>
      <c r="AF33" s="11"/>
      <c r="AG33" s="180" t="s">
        <v>89</v>
      </c>
      <c r="AI33" s="181" t="s">
        <v>214</v>
      </c>
      <c r="AJ33" s="182"/>
      <c r="AK33" s="182"/>
      <c r="AL33" s="182"/>
      <c r="AM33" s="182"/>
      <c r="AN33" s="182"/>
      <c r="AO33" s="182"/>
      <c r="AP33" s="182"/>
      <c r="AQ33" s="182"/>
      <c r="AR33" s="182"/>
      <c r="AS33" s="182"/>
      <c r="AT33" s="182"/>
      <c r="AU33" s="182"/>
      <c r="AV33" s="873">
        <f>AV32+AV24</f>
        <v>389083</v>
      </c>
      <c r="AW33" s="182"/>
      <c r="AX33" s="183">
        <f>AX24</f>
        <v>0.23250000000000001</v>
      </c>
      <c r="AZ33" s="173" t="s">
        <v>213</v>
      </c>
      <c r="BA33" s="11"/>
      <c r="BB33" s="11"/>
      <c r="BC33" s="11"/>
      <c r="BD33" s="11"/>
      <c r="BE33" s="11"/>
      <c r="BF33" s="11"/>
      <c r="BG33" s="11"/>
      <c r="BH33" s="11"/>
      <c r="BI33" s="11"/>
      <c r="BJ33" s="11"/>
      <c r="BK33" s="11"/>
      <c r="BL33" s="11"/>
      <c r="BM33" s="871">
        <f>BM27+BM31</f>
        <v>7200</v>
      </c>
      <c r="BN33" s="11"/>
      <c r="BO33" s="180" t="s">
        <v>89</v>
      </c>
      <c r="BQ33" s="173" t="s">
        <v>213</v>
      </c>
      <c r="BR33" s="11"/>
      <c r="BS33" s="11"/>
      <c r="BT33" s="11"/>
      <c r="BU33" s="11"/>
      <c r="BV33" s="11"/>
      <c r="BW33" s="11"/>
      <c r="BX33" s="11"/>
      <c r="BY33" s="11"/>
      <c r="BZ33" s="11"/>
      <c r="CA33" s="11"/>
      <c r="CB33" s="11"/>
      <c r="CC33" s="11"/>
      <c r="CD33" s="871">
        <f>CD31+CD27</f>
        <v>7200</v>
      </c>
      <c r="CE33" s="11"/>
      <c r="CF33" s="187"/>
    </row>
    <row r="34" spans="18:84">
      <c r="R34" s="181" t="s">
        <v>214</v>
      </c>
      <c r="S34" s="182"/>
      <c r="T34" s="182"/>
      <c r="U34" s="182"/>
      <c r="V34" s="182"/>
      <c r="W34" s="182"/>
      <c r="X34" s="182"/>
      <c r="Y34" s="182"/>
      <c r="Z34" s="182"/>
      <c r="AA34" s="182"/>
      <c r="AB34" s="182"/>
      <c r="AC34" s="182"/>
      <c r="AD34" s="182"/>
      <c r="AE34" s="873">
        <f>AE33+AE25</f>
        <v>347120</v>
      </c>
      <c r="AF34" s="182"/>
      <c r="AG34" s="183">
        <f>AG25</f>
        <v>0.1822</v>
      </c>
      <c r="AI34" s="494" t="s">
        <v>215</v>
      </c>
      <c r="AJ34" s="495"/>
      <c r="AK34" s="495"/>
      <c r="AL34" s="495"/>
      <c r="AM34" s="495"/>
      <c r="AN34" s="495"/>
      <c r="AO34" s="495"/>
      <c r="AP34" s="495"/>
      <c r="AQ34" s="495"/>
      <c r="AR34" s="495"/>
      <c r="AS34" s="495"/>
      <c r="AT34" s="495"/>
      <c r="AU34" s="495"/>
      <c r="AV34" s="499">
        <f>AV33/'FE Income Statement Y1-Y5'!E5</f>
        <v>0.11154395955587275</v>
      </c>
      <c r="AW34" s="495"/>
      <c r="AX34" s="142"/>
      <c r="AZ34" s="181" t="s">
        <v>214</v>
      </c>
      <c r="BA34" s="182"/>
      <c r="BB34" s="182"/>
      <c r="BC34" s="182"/>
      <c r="BD34" s="182"/>
      <c r="BE34" s="182"/>
      <c r="BF34" s="182"/>
      <c r="BG34" s="182"/>
      <c r="BH34" s="182"/>
      <c r="BI34" s="182"/>
      <c r="BJ34" s="182"/>
      <c r="BK34" s="182"/>
      <c r="BL34" s="182"/>
      <c r="BM34" s="873">
        <f>BM33+BM25</f>
        <v>432043</v>
      </c>
      <c r="BN34" s="182"/>
      <c r="BO34" s="183">
        <f>BO25</f>
        <v>0.27180000000000004</v>
      </c>
      <c r="BQ34" s="181" t="s">
        <v>214</v>
      </c>
      <c r="BR34" s="182"/>
      <c r="BS34" s="182"/>
      <c r="BT34" s="182"/>
      <c r="BU34" s="182"/>
      <c r="BV34" s="182"/>
      <c r="BW34" s="182"/>
      <c r="BX34" s="182"/>
      <c r="BY34" s="182"/>
      <c r="BZ34" s="182"/>
      <c r="CA34" s="182"/>
      <c r="CB34" s="182"/>
      <c r="CC34" s="182"/>
      <c r="CD34" s="873">
        <f>CD33+CD25</f>
        <v>472676</v>
      </c>
      <c r="CE34" s="182"/>
      <c r="CF34" s="183">
        <f>CF25+CF33</f>
        <v>0.29820000000000002</v>
      </c>
    </row>
    <row r="35" spans="18:84">
      <c r="R35" s="494" t="s">
        <v>215</v>
      </c>
      <c r="S35" s="495"/>
      <c r="T35" s="495"/>
      <c r="U35" s="495"/>
      <c r="V35" s="495"/>
      <c r="W35" s="495"/>
      <c r="X35" s="495"/>
      <c r="Y35" s="495"/>
      <c r="Z35" s="495"/>
      <c r="AA35" s="495"/>
      <c r="AB35" s="495"/>
      <c r="AC35" s="495"/>
      <c r="AD35" s="495"/>
      <c r="AE35" s="499">
        <f>AE34/'FE Income Statement Y1-Y5'!D5</f>
        <v>0.12819638877044023</v>
      </c>
      <c r="AF35" s="495"/>
      <c r="AG35" s="142"/>
      <c r="AZ35" s="494" t="s">
        <v>215</v>
      </c>
      <c r="BA35" s="495"/>
      <c r="BB35" s="495"/>
      <c r="BC35" s="495"/>
      <c r="BD35" s="495"/>
      <c r="BE35" s="495"/>
      <c r="BF35" s="495"/>
      <c r="BG35" s="495"/>
      <c r="BH35" s="495"/>
      <c r="BI35" s="495"/>
      <c r="BJ35" s="495"/>
      <c r="BK35" s="495"/>
      <c r="BL35" s="495"/>
      <c r="BM35" s="499">
        <f>BM34/'FE Income Statement Y1-Y5'!F5</f>
        <v>0.10348455533253685</v>
      </c>
      <c r="BN35" s="495"/>
      <c r="BO35" s="142"/>
      <c r="BQ35" s="494" t="s">
        <v>215</v>
      </c>
      <c r="BR35" s="495"/>
      <c r="BS35" s="495"/>
      <c r="BT35" s="495"/>
      <c r="BU35" s="495"/>
      <c r="BV35" s="495"/>
      <c r="BW35" s="495"/>
      <c r="BX35" s="495"/>
      <c r="BY35" s="495"/>
      <c r="BZ35" s="495"/>
      <c r="CA35" s="495"/>
      <c r="CB35" s="495"/>
      <c r="CC35" s="495"/>
      <c r="CD35" s="499">
        <f>CD34/'FE Income Statement Y1-Y5'!G5</f>
        <v>9.6238323338281917E-2</v>
      </c>
      <c r="CE35" s="495"/>
      <c r="CF35" s="142"/>
    </row>
  </sheetData>
  <hyperlinks>
    <hyperlink ref="A1" location="'Index'!A1" display="Back to Index" xr:uid="{FAF637C3-4E03-49A4-A756-3B1C1D7B11E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84D2-8407-4B20-8582-DEB456C50C6D}">
  <sheetPr>
    <tabColor rgb="FF9BC2E6"/>
  </sheetPr>
  <dimension ref="A1:K33"/>
  <sheetViews>
    <sheetView topLeftCell="A4" workbookViewId="0">
      <selection activeCell="F5" sqref="F5"/>
    </sheetView>
  </sheetViews>
  <sheetFormatPr defaultColWidth="8.875" defaultRowHeight="15.95"/>
  <cols>
    <col min="1" max="1" width="18.875" customWidth="1"/>
    <col min="2" max="6" width="34.125" bestFit="1" customWidth="1"/>
    <col min="9" max="9" width="20.375" bestFit="1" customWidth="1"/>
    <col min="10" max="10" width="25.5" bestFit="1" customWidth="1"/>
  </cols>
  <sheetData>
    <row r="1" spans="1:11">
      <c r="A1" s="44" t="s">
        <v>41</v>
      </c>
    </row>
    <row r="2" spans="1:11">
      <c r="A2" s="680" t="s">
        <v>217</v>
      </c>
    </row>
    <row r="3" spans="1:11">
      <c r="A3" s="690" t="s">
        <v>42</v>
      </c>
      <c r="B3" s="691" t="s">
        <v>80</v>
      </c>
      <c r="C3" s="691" t="s">
        <v>93</v>
      </c>
      <c r="D3" s="691" t="s">
        <v>94</v>
      </c>
      <c r="E3" s="691" t="s">
        <v>95</v>
      </c>
      <c r="F3" s="692" t="s">
        <v>96</v>
      </c>
      <c r="G3" s="65"/>
      <c r="H3" s="65"/>
      <c r="I3" s="693" t="s">
        <v>57</v>
      </c>
      <c r="J3" s="694" t="s">
        <v>218</v>
      </c>
      <c r="K3" s="695" t="s">
        <v>219</v>
      </c>
    </row>
    <row r="4" spans="1:11">
      <c r="A4" s="696" t="s">
        <v>220</v>
      </c>
      <c r="B4" s="697">
        <v>0.14000000000000001</v>
      </c>
      <c r="C4" s="697">
        <v>0.17</v>
      </c>
      <c r="D4" s="697">
        <v>0.22</v>
      </c>
      <c r="E4" s="697">
        <v>0.27</v>
      </c>
      <c r="F4" s="269">
        <v>0.33</v>
      </c>
      <c r="G4" s="65"/>
      <c r="H4" s="65"/>
      <c r="I4" s="698" t="s">
        <v>221</v>
      </c>
      <c r="J4" s="562">
        <v>28920000000</v>
      </c>
      <c r="K4" s="257">
        <f>J4/'MK Assumptions'!$B$20*'MK ACV Y1-Y5'!$B$17</f>
        <v>0.15396317663231857</v>
      </c>
    </row>
    <row r="5" spans="1:11">
      <c r="A5" s="699" t="s">
        <v>222</v>
      </c>
      <c r="B5" s="700">
        <f>C22</f>
        <v>0.15429599999999999</v>
      </c>
      <c r="C5" s="700">
        <f>D22</f>
        <v>0.18036096000000001</v>
      </c>
      <c r="D5" s="700">
        <f>E22</f>
        <v>0.20276700235401787</v>
      </c>
      <c r="E5" s="700">
        <f>F22</f>
        <v>0.25835918221001059</v>
      </c>
      <c r="F5" s="700">
        <f>G22</f>
        <v>0.28560043003432484</v>
      </c>
      <c r="G5" s="65"/>
      <c r="H5" s="65"/>
      <c r="I5" s="252" t="s">
        <v>223</v>
      </c>
      <c r="J5" s="562">
        <v>9740000000</v>
      </c>
      <c r="K5" s="257">
        <f>J5/'MK Assumptions'!$B$20*'MK ACV Y1-Y5'!$B$17</f>
        <v>5.185343500687354E-2</v>
      </c>
    </row>
    <row r="6" spans="1:11">
      <c r="A6" s="65"/>
      <c r="B6" s="65"/>
      <c r="C6" s="65"/>
      <c r="D6" s="65"/>
      <c r="E6" s="65"/>
      <c r="F6" s="65"/>
      <c r="G6" s="65"/>
      <c r="H6" s="65"/>
      <c r="I6" s="252" t="s">
        <v>224</v>
      </c>
      <c r="J6" s="562">
        <v>4160000000</v>
      </c>
      <c r="K6" s="257">
        <f>J6/'MK Assumptions'!$B$20*'MK ACV Y1-Y5'!$B$17</f>
        <v>2.2146846984455227E-2</v>
      </c>
    </row>
    <row r="7" spans="1:11">
      <c r="A7" s="65"/>
      <c r="B7" s="65"/>
      <c r="C7" s="65"/>
      <c r="D7" s="65"/>
      <c r="E7" s="65"/>
      <c r="F7" s="65"/>
      <c r="G7" s="65"/>
      <c r="H7" s="65"/>
      <c r="I7" s="252" t="s">
        <v>225</v>
      </c>
      <c r="J7" s="562">
        <v>1220000000</v>
      </c>
      <c r="K7" s="257">
        <f>J7/'MK Assumptions'!$B$20*'MK ACV Y1-Y5'!$B$17</f>
        <v>6.494988779095043E-3</v>
      </c>
    </row>
    <row r="8" spans="1:11">
      <c r="A8" s="65"/>
      <c r="B8" s="65"/>
      <c r="C8" s="65"/>
      <c r="D8" s="65"/>
      <c r="E8" s="65"/>
      <c r="F8" s="65"/>
      <c r="G8" s="65"/>
      <c r="H8" s="65"/>
      <c r="I8" s="264" t="s">
        <v>226</v>
      </c>
      <c r="J8" s="562">
        <f>'MK Assumptions'!B20-(SUM('MK ACV Y1-Y5'!J4:J7))</f>
        <v>41069000000</v>
      </c>
      <c r="K8" s="257">
        <f>J8/'MK Assumptions'!$B$20*'MK ACV Y1-Y5'!$B$17</f>
        <v>0.21864155259725762</v>
      </c>
    </row>
    <row r="9" spans="1:11">
      <c r="A9" s="693" t="s">
        <v>227</v>
      </c>
      <c r="B9" s="701" t="s">
        <v>42</v>
      </c>
      <c r="C9" s="701" t="s">
        <v>42</v>
      </c>
      <c r="D9" s="701" t="s">
        <v>42</v>
      </c>
      <c r="E9" s="701" t="s">
        <v>42</v>
      </c>
      <c r="F9" s="702" t="s">
        <v>42</v>
      </c>
      <c r="G9" s="65"/>
      <c r="H9" s="65"/>
      <c r="I9" s="264" t="s">
        <v>115</v>
      </c>
      <c r="J9" s="874">
        <f>SUM(J4:J8)</f>
        <v>85109000000</v>
      </c>
      <c r="K9" s="703">
        <f>SUM(K4:K8)</f>
        <v>0.4531</v>
      </c>
    </row>
    <row r="10" spans="1:11" ht="51">
      <c r="A10" s="696" t="s">
        <v>228</v>
      </c>
      <c r="B10" s="226" t="s">
        <v>229</v>
      </c>
      <c r="C10" s="226" t="s">
        <v>229</v>
      </c>
      <c r="D10" s="226" t="s">
        <v>229</v>
      </c>
      <c r="E10" s="226" t="s">
        <v>229</v>
      </c>
      <c r="F10" s="704" t="s">
        <v>229</v>
      </c>
      <c r="G10" s="65"/>
      <c r="H10" s="65"/>
      <c r="I10" s="705" t="s">
        <v>230</v>
      </c>
      <c r="J10" s="875" t="s">
        <v>42</v>
      </c>
      <c r="K10" s="706" t="s">
        <v>42</v>
      </c>
    </row>
    <row r="11" spans="1:11">
      <c r="A11" s="696" t="s">
        <v>230</v>
      </c>
      <c r="B11" s="65" t="s">
        <v>231</v>
      </c>
      <c r="C11" s="65" t="s">
        <v>231</v>
      </c>
      <c r="D11" s="65" t="s">
        <v>231</v>
      </c>
      <c r="E11" s="65" t="s">
        <v>231</v>
      </c>
      <c r="F11" s="253" t="s">
        <v>231</v>
      </c>
      <c r="G11" s="65"/>
      <c r="H11" s="65"/>
      <c r="I11" s="252" t="s">
        <v>231</v>
      </c>
      <c r="J11" s="562">
        <v>232890000000</v>
      </c>
      <c r="K11" s="269">
        <f>J11/'MK Assumptions'!B24*'MK ACV Y1-Y5'!B20</f>
        <v>0.12</v>
      </c>
    </row>
    <row r="12" spans="1:11">
      <c r="A12" s="696" t="s">
        <v>58</v>
      </c>
      <c r="B12" s="65" t="s">
        <v>89</v>
      </c>
      <c r="C12" s="65" t="s">
        <v>89</v>
      </c>
      <c r="D12" s="65" t="s">
        <v>232</v>
      </c>
      <c r="E12" s="65" t="s">
        <v>232</v>
      </c>
      <c r="F12" s="253" t="s">
        <v>232</v>
      </c>
      <c r="G12" s="65"/>
      <c r="H12" s="65"/>
      <c r="I12" s="698" t="s">
        <v>115</v>
      </c>
      <c r="J12" s="876">
        <f>SUM(J11)</f>
        <v>232890000000</v>
      </c>
      <c r="K12" s="707">
        <f>SUM(K11)</f>
        <v>0.12</v>
      </c>
    </row>
    <row r="13" spans="1:11">
      <c r="A13" s="696" t="s">
        <v>233</v>
      </c>
      <c r="B13" s="65" t="s">
        <v>89</v>
      </c>
      <c r="C13" s="65" t="s">
        <v>89</v>
      </c>
      <c r="D13" s="65" t="s">
        <v>89</v>
      </c>
      <c r="E13" s="65" t="s">
        <v>234</v>
      </c>
      <c r="F13" s="253" t="s">
        <v>234</v>
      </c>
      <c r="G13" s="65"/>
      <c r="H13" s="65"/>
      <c r="I13" s="708" t="s">
        <v>235</v>
      </c>
      <c r="J13" s="877" t="s">
        <v>42</v>
      </c>
      <c r="K13" s="695" t="s">
        <v>42</v>
      </c>
    </row>
    <row r="14" spans="1:11">
      <c r="A14" s="699" t="s">
        <v>52</v>
      </c>
      <c r="B14" s="709" t="s">
        <v>89</v>
      </c>
      <c r="C14" s="709" t="s">
        <v>89</v>
      </c>
      <c r="D14" s="709" t="s">
        <v>89</v>
      </c>
      <c r="E14" s="709" t="s">
        <v>223</v>
      </c>
      <c r="F14" s="710" t="s">
        <v>223</v>
      </c>
      <c r="G14" s="65"/>
      <c r="H14" s="65"/>
      <c r="I14" s="252" t="s">
        <v>236</v>
      </c>
      <c r="J14" s="562">
        <v>8400000000</v>
      </c>
      <c r="K14" s="257">
        <f>J14/'MK Assumptions'!$B$22*'MK ACV Y1-Y5'!$B$18</f>
        <v>6.9092150170648459E-2</v>
      </c>
    </row>
    <row r="15" spans="1:11">
      <c r="A15" s="65"/>
      <c r="B15" s="65"/>
      <c r="C15" s="65"/>
      <c r="D15" s="65"/>
      <c r="E15" s="65"/>
      <c r="F15" s="65"/>
      <c r="G15" s="65"/>
      <c r="H15" s="65"/>
      <c r="I15" s="252" t="s">
        <v>237</v>
      </c>
      <c r="J15" s="562">
        <v>3300000000</v>
      </c>
      <c r="K15" s="257">
        <f>J15/'MK Assumptions'!$B$22*'MK ACV Y1-Y5'!$B$18</f>
        <v>2.7143344709897609E-2</v>
      </c>
    </row>
    <row r="16" spans="1:11">
      <c r="A16" s="711" t="s">
        <v>238</v>
      </c>
      <c r="B16" s="712" t="s">
        <v>239</v>
      </c>
      <c r="C16" s="712" t="s">
        <v>240</v>
      </c>
      <c r="D16" s="712" t="s">
        <v>241</v>
      </c>
      <c r="E16" s="713" t="s">
        <v>242</v>
      </c>
      <c r="F16" s="713" t="s">
        <v>243</v>
      </c>
      <c r="G16" s="713" t="s">
        <v>244</v>
      </c>
      <c r="H16" s="65"/>
      <c r="I16" s="252" t="s">
        <v>245</v>
      </c>
      <c r="J16" s="562">
        <v>1800000000</v>
      </c>
      <c r="K16" s="257">
        <f>J16/'MK Assumptions'!$B$22*'MK ACV Y1-Y5'!$B$18</f>
        <v>1.4805460750853242E-2</v>
      </c>
    </row>
    <row r="17" spans="1:11">
      <c r="A17" s="714" t="s">
        <v>57</v>
      </c>
      <c r="B17" s="715">
        <f>'MK Assumptions'!B18</f>
        <v>0.4531</v>
      </c>
      <c r="C17" s="716" t="s">
        <v>89</v>
      </c>
      <c r="D17" s="716" t="s">
        <v>89</v>
      </c>
      <c r="E17" s="716" t="s">
        <v>89</v>
      </c>
      <c r="F17" s="717">
        <f>$K$5*50%</f>
        <v>2.592671750343677E-2</v>
      </c>
      <c r="G17" s="717">
        <f>$K$5*70%</f>
        <v>3.6297404504811476E-2</v>
      </c>
      <c r="H17" s="65"/>
      <c r="I17" s="252" t="s">
        <v>246</v>
      </c>
      <c r="J17" s="562">
        <v>5000000</v>
      </c>
      <c r="K17" s="257">
        <f>J17/'MK Assumptions'!$B$22*'MK ACV Y1-Y5'!$B$18</f>
        <v>4.1126279863481225E-5</v>
      </c>
    </row>
    <row r="18" spans="1:11">
      <c r="A18" s="718" t="s">
        <v>59</v>
      </c>
      <c r="B18" s="719">
        <f>'MK Assumptions'!B16</f>
        <v>0.24099999999999999</v>
      </c>
      <c r="C18" s="720" t="s">
        <v>89</v>
      </c>
      <c r="D18" s="720" t="s">
        <v>89</v>
      </c>
      <c r="E18" s="721" t="s">
        <v>89</v>
      </c>
      <c r="F18" s="722">
        <f>$K$15*50%</f>
        <v>1.3571672354948805E-2</v>
      </c>
      <c r="G18" s="722">
        <f>$K$15*70%</f>
        <v>1.9000341296928326E-2</v>
      </c>
      <c r="H18" s="65"/>
      <c r="I18" s="252" t="s">
        <v>226</v>
      </c>
      <c r="J18" s="562">
        <f>'MK Assumptions'!B22-SUM('MK ACV Y1-Y5'!J14:J17)</f>
        <v>15795000000</v>
      </c>
      <c r="K18" s="257">
        <f>J18/'MK Assumptions'!$B$22*'MK ACV Y1-Y5'!$B$18</f>
        <v>0.12991791808873721</v>
      </c>
    </row>
    <row r="19" spans="1:11">
      <c r="A19" s="714" t="s">
        <v>228</v>
      </c>
      <c r="B19" s="715">
        <f>'MK Assumptions'!B14</f>
        <v>0.1429</v>
      </c>
      <c r="C19" s="715">
        <f>B$19*80%*30%</f>
        <v>3.4296E-2</v>
      </c>
      <c r="D19" s="715">
        <f>C$19+($B$19-C$19)*80%*30%</f>
        <v>6.0360960000000005E-2</v>
      </c>
      <c r="E19" s="715">
        <f>D$19+($B$19-D$19)*80%*30%</f>
        <v>8.0170329600000007E-2</v>
      </c>
      <c r="F19" s="715">
        <f>E$19+($B$19-E$19)*80%*30%</f>
        <v>9.5225450496000008E-2</v>
      </c>
      <c r="G19" s="715">
        <f>F$19+($B$19-F$19)*80%*30%</f>
        <v>0.10666734237696</v>
      </c>
      <c r="H19" s="65"/>
      <c r="I19" s="544" t="s">
        <v>115</v>
      </c>
      <c r="J19" s="874">
        <f>SUM(J14:J18)</f>
        <v>29300000000</v>
      </c>
      <c r="K19" s="703">
        <f>SUM(K14:K18)</f>
        <v>0.24099999999999999</v>
      </c>
    </row>
    <row r="20" spans="1:11">
      <c r="A20" s="718" t="s">
        <v>230</v>
      </c>
      <c r="B20" s="723">
        <f>'MK Assumptions'!$B$15</f>
        <v>0.12</v>
      </c>
      <c r="C20" s="723">
        <f>'MK Assumptions'!$B$15</f>
        <v>0.12</v>
      </c>
      <c r="D20" s="723">
        <f>'MK Assumptions'!$B$15</f>
        <v>0.12</v>
      </c>
      <c r="E20" s="723">
        <f>'MK Assumptions'!$B$15</f>
        <v>0.12</v>
      </c>
      <c r="F20" s="723">
        <f>'MK Assumptions'!$B$15</f>
        <v>0.12</v>
      </c>
      <c r="G20" s="723">
        <f>'MK Assumptions'!$B$15</f>
        <v>0.12</v>
      </c>
      <c r="H20" s="65"/>
      <c r="I20" s="705" t="s">
        <v>58</v>
      </c>
      <c r="J20" s="875" t="s">
        <v>42</v>
      </c>
      <c r="K20" s="706" t="s">
        <v>42</v>
      </c>
    </row>
    <row r="21" spans="1:11">
      <c r="A21" s="718" t="s">
        <v>58</v>
      </c>
      <c r="B21" s="719">
        <f>'MK Assumptions'!B17</f>
        <v>4.2999999999999997E-2</v>
      </c>
      <c r="C21" s="720" t="s">
        <v>89</v>
      </c>
      <c r="D21" s="720" t="s">
        <v>89</v>
      </c>
      <c r="E21" s="722">
        <f>$K$23*50%</f>
        <v>2.5966727540178793E-3</v>
      </c>
      <c r="F21" s="722">
        <f>$K$23*70%</f>
        <v>3.6353418556250307E-3</v>
      </c>
      <c r="G21" s="722">
        <f>$K$23*70%</f>
        <v>3.6353418556250307E-3</v>
      </c>
      <c r="H21" s="722"/>
      <c r="I21" s="252" t="s">
        <v>247</v>
      </c>
      <c r="J21" s="562">
        <v>83800000000</v>
      </c>
      <c r="K21" s="257">
        <f>J21/'MK Assumptions'!$B$21*'MK ACV Y1-Y5'!$B$21</f>
        <v>1.6410345157367896E-2</v>
      </c>
    </row>
    <row r="22" spans="1:11">
      <c r="A22" s="724" t="s">
        <v>115</v>
      </c>
      <c r="B22" s="725">
        <f t="shared" ref="B22:G22" si="0">SUM(B17:B21)</f>
        <v>1</v>
      </c>
      <c r="C22" s="725">
        <f t="shared" si="0"/>
        <v>0.15429599999999999</v>
      </c>
      <c r="D22" s="725">
        <f t="shared" si="0"/>
        <v>0.18036096000000001</v>
      </c>
      <c r="E22" s="725">
        <f t="shared" si="0"/>
        <v>0.20276700235401787</v>
      </c>
      <c r="F22" s="725">
        <f t="shared" si="0"/>
        <v>0.25835918221001059</v>
      </c>
      <c r="G22" s="725">
        <f t="shared" si="0"/>
        <v>0.28560043003432484</v>
      </c>
      <c r="H22" s="65"/>
      <c r="I22" s="252" t="s">
        <v>248</v>
      </c>
      <c r="J22" s="562">
        <v>81100000000</v>
      </c>
      <c r="K22" s="257">
        <f>J22/'MK Assumptions'!$B$21*'MK ACV Y1-Y5'!$B$21</f>
        <v>1.5881610886187784E-2</v>
      </c>
    </row>
    <row r="23" spans="1:11">
      <c r="A23" s="65"/>
      <c r="B23" s="65"/>
      <c r="C23" s="65"/>
      <c r="D23" s="65"/>
      <c r="E23" s="65"/>
      <c r="F23" s="65"/>
      <c r="G23" s="65"/>
      <c r="H23" s="65"/>
      <c r="I23" s="252" t="s">
        <v>232</v>
      </c>
      <c r="J23" s="562">
        <v>26520000000</v>
      </c>
      <c r="K23" s="257">
        <f>J23/'MK Assumptions'!$B$21*'MK ACV Y1-Y5'!$B$21</f>
        <v>5.1933455080357587E-3</v>
      </c>
    </row>
    <row r="24" spans="1:11">
      <c r="A24" s="65"/>
      <c r="B24" s="65"/>
      <c r="C24" s="65"/>
      <c r="D24" s="65"/>
      <c r="E24" s="65"/>
      <c r="F24" s="65"/>
      <c r="G24" s="65"/>
      <c r="H24" s="65"/>
      <c r="I24" s="252" t="s">
        <v>249</v>
      </c>
      <c r="J24" s="562">
        <v>11800000000</v>
      </c>
      <c r="K24" s="257">
        <f>J24/'MK Assumptions'!$B$21*'MK ACV Y1-Y5'!$B$21</f>
        <v>2.3107645925649302E-3</v>
      </c>
    </row>
    <row r="25" spans="1:11">
      <c r="A25" s="65"/>
      <c r="B25" s="65"/>
      <c r="C25" s="65"/>
      <c r="D25" s="65"/>
      <c r="E25" s="65"/>
      <c r="F25" s="65"/>
      <c r="G25" s="65"/>
      <c r="H25" s="65"/>
      <c r="I25" s="252" t="s">
        <v>226</v>
      </c>
      <c r="J25" s="562">
        <f>'MK Assumptions'!B21-SUM('MK ACV Y1-Y5'!J21:J24)</f>
        <v>16361000000</v>
      </c>
      <c r="K25" s="257">
        <f>J25/'MK Assumptions'!$B$21*'MK ACV Y1-Y5'!$B$21</f>
        <v>3.2039338558436294E-3</v>
      </c>
    </row>
    <row r="26" spans="1:11">
      <c r="A26" s="65"/>
      <c r="B26" s="65"/>
      <c r="C26" s="65"/>
      <c r="D26" s="65"/>
      <c r="E26" s="65"/>
      <c r="F26" s="65"/>
      <c r="G26" s="65"/>
      <c r="H26" s="65"/>
      <c r="I26" s="698" t="s">
        <v>115</v>
      </c>
      <c r="J26" s="876">
        <f>SUM(J21:J25)</f>
        <v>219581000000</v>
      </c>
      <c r="K26" s="726">
        <f>SUM(K21:K25)</f>
        <v>4.3000000000000003E-2</v>
      </c>
    </row>
    <row r="27" spans="1:11">
      <c r="A27" s="65"/>
      <c r="B27" s="65"/>
      <c r="C27" s="65"/>
      <c r="D27" s="65"/>
      <c r="E27" s="65"/>
      <c r="F27" s="65"/>
      <c r="G27" s="65"/>
      <c r="H27" s="65"/>
      <c r="I27" s="693" t="s">
        <v>250</v>
      </c>
      <c r="J27" s="878" t="s">
        <v>42</v>
      </c>
      <c r="K27" s="727" t="s">
        <v>42</v>
      </c>
    </row>
    <row r="28" spans="1:11">
      <c r="A28" s="65"/>
      <c r="B28" s="65"/>
      <c r="C28" s="65"/>
      <c r="D28" s="65"/>
      <c r="E28" s="65"/>
      <c r="F28" s="65"/>
      <c r="G28" s="65"/>
      <c r="H28" s="65"/>
      <c r="I28" s="698" t="s">
        <v>251</v>
      </c>
      <c r="J28" s="562">
        <v>16500000</v>
      </c>
      <c r="K28" s="269">
        <f>J28/'MK Assumptions'!$B$23*'MK ACV Y1-Y5'!$B$19</f>
        <v>2.4947343353218006E-5</v>
      </c>
    </row>
    <row r="29" spans="1:11">
      <c r="A29" s="65"/>
      <c r="B29" s="65"/>
      <c r="C29" s="65"/>
      <c r="D29" s="65"/>
      <c r="E29" s="65"/>
      <c r="F29" s="65"/>
      <c r="G29" s="65"/>
      <c r="H29" s="65"/>
      <c r="I29" s="252" t="s">
        <v>252</v>
      </c>
      <c r="J29" s="562">
        <v>5000000</v>
      </c>
      <c r="K29" s="269">
        <f>J29/'MK Assumptions'!$B$23*'MK ACV Y1-Y5'!$B$19</f>
        <v>7.5598010161266682E-6</v>
      </c>
    </row>
    <row r="30" spans="1:11">
      <c r="A30" s="65"/>
      <c r="B30" s="65"/>
      <c r="C30" s="65"/>
      <c r="D30" s="65"/>
      <c r="E30" s="65"/>
      <c r="F30" s="65"/>
      <c r="G30" s="65"/>
      <c r="H30" s="65"/>
      <c r="I30" s="252" t="s">
        <v>253</v>
      </c>
      <c r="J30" s="562">
        <v>5000000</v>
      </c>
      <c r="K30" s="269">
        <f>J30/'MK Assumptions'!$B$23*'MK ACV Y1-Y5'!$B$19</f>
        <v>7.5598010161266682E-6</v>
      </c>
    </row>
    <row r="31" spans="1:11">
      <c r="A31" s="65"/>
      <c r="B31" s="65"/>
      <c r="C31" s="65"/>
      <c r="D31" s="65"/>
      <c r="E31" s="65"/>
      <c r="F31" s="65"/>
      <c r="G31" s="65"/>
      <c r="H31" s="65"/>
      <c r="I31" s="252" t="s">
        <v>254</v>
      </c>
      <c r="J31" s="562">
        <v>4900000</v>
      </c>
      <c r="K31" s="269">
        <f>J31/'MK Assumptions'!$B$23*'MK ACV Y1-Y5'!$B$19</f>
        <v>7.4086049958041351E-6</v>
      </c>
    </row>
    <row r="32" spans="1:11">
      <c r="A32" s="65"/>
      <c r="B32" s="65"/>
      <c r="C32" s="65"/>
      <c r="D32" s="65"/>
      <c r="E32" s="65"/>
      <c r="F32" s="65"/>
      <c r="G32" s="65"/>
      <c r="H32" s="65"/>
      <c r="I32" s="252" t="s">
        <v>226</v>
      </c>
      <c r="J32" s="879">
        <f>'MK Assumptions'!B23-SUM('MK ACV Y1-Y5'!J28:J31)</f>
        <v>94481669653</v>
      </c>
      <c r="K32" s="269">
        <f>J32/'MK Assumptions'!$B$23*'MK ACV Y1-Y5'!$B$19</f>
        <v>0.14285252444961874</v>
      </c>
    </row>
    <row r="33" spans="1:11">
      <c r="A33" s="65"/>
      <c r="B33" s="65"/>
      <c r="C33" s="65"/>
      <c r="D33" s="65"/>
      <c r="E33" s="65"/>
      <c r="F33" s="65"/>
      <c r="G33" s="65"/>
      <c r="H33" s="65"/>
      <c r="I33" s="544" t="s">
        <v>115</v>
      </c>
      <c r="J33" s="874">
        <f>SUM(J28:J32)</f>
        <v>94513069653</v>
      </c>
      <c r="K33" s="703">
        <f>SUM(K28:K32)</f>
        <v>0.14290000000000003</v>
      </c>
    </row>
  </sheetData>
  <hyperlinks>
    <hyperlink ref="A1" location="'Index'!A1" display="Back to Index" xr:uid="{9147402D-05AD-4772-A0A0-39563426B24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074-EE23-4EB4-BD9C-242A466474A1}">
  <sheetPr>
    <tabColor rgb="FF9BC2E6"/>
  </sheetPr>
  <dimension ref="A1:X188"/>
  <sheetViews>
    <sheetView topLeftCell="A173" workbookViewId="0">
      <selection activeCell="H127" sqref="H127"/>
    </sheetView>
  </sheetViews>
  <sheetFormatPr defaultColWidth="8.875" defaultRowHeight="15.95"/>
  <cols>
    <col min="1" max="1" width="18.625" customWidth="1"/>
    <col min="2" max="2" width="14.875" customWidth="1"/>
    <col min="3" max="3" width="14.625" customWidth="1"/>
    <col min="4" max="4" width="20" customWidth="1"/>
    <col min="5" max="5" width="13.625" customWidth="1"/>
    <col min="6" max="6" width="12.5" customWidth="1"/>
    <col min="7" max="7" width="24.125" customWidth="1"/>
    <col min="8" max="8" width="15.125" customWidth="1"/>
    <col min="9" max="9" width="9.125" customWidth="1"/>
    <col min="10" max="11" width="11.5" customWidth="1"/>
    <col min="12" max="12" width="9.625" customWidth="1"/>
    <col min="13" max="13" width="16.625" customWidth="1"/>
    <col min="14" max="16" width="9"/>
    <col min="17" max="17" width="10.5" bestFit="1" customWidth="1"/>
    <col min="18" max="18" width="9"/>
    <col min="19" max="19" width="10.5" bestFit="1" customWidth="1"/>
    <col min="20" max="23" width="9"/>
    <col min="24" max="24" width="10.5" bestFit="1" customWidth="1"/>
  </cols>
  <sheetData>
    <row r="1" spans="1:16">
      <c r="A1" s="44" t="s">
        <v>41</v>
      </c>
    </row>
    <row r="2" spans="1:16">
      <c r="A2" s="680" t="s">
        <v>255</v>
      </c>
    </row>
    <row r="3" spans="1:16">
      <c r="A3" s="196" t="s">
        <v>256</v>
      </c>
    </row>
    <row r="4" spans="1:16" ht="32.1" customHeight="1"/>
    <row r="5" spans="1:16">
      <c r="A5" s="197" t="s">
        <v>257</v>
      </c>
      <c r="B5" s="193"/>
      <c r="G5" s="115"/>
      <c r="K5" s="193"/>
    </row>
    <row r="6" spans="1:16" ht="80.099999999999994">
      <c r="A6" s="286" t="s">
        <v>139</v>
      </c>
      <c r="B6" s="271" t="s">
        <v>103</v>
      </c>
      <c r="C6" s="271" t="s">
        <v>140</v>
      </c>
      <c r="D6" s="271" t="s">
        <v>141</v>
      </c>
      <c r="E6" s="271" t="s">
        <v>140</v>
      </c>
      <c r="F6" s="271" t="s">
        <v>105</v>
      </c>
      <c r="G6" s="271" t="s">
        <v>140</v>
      </c>
      <c r="H6" s="271" t="s">
        <v>106</v>
      </c>
      <c r="I6" s="271" t="s">
        <v>140</v>
      </c>
      <c r="J6" s="271" t="s">
        <v>107</v>
      </c>
      <c r="K6" s="271" t="s">
        <v>140</v>
      </c>
      <c r="L6" s="286" t="s">
        <v>142</v>
      </c>
      <c r="M6" s="686" t="s">
        <v>140</v>
      </c>
    </row>
    <row r="7" spans="1:16">
      <c r="A7" s="24" t="s">
        <v>143</v>
      </c>
      <c r="B7" s="24"/>
      <c r="C7" s="24"/>
      <c r="D7" s="24">
        <v>2</v>
      </c>
      <c r="E7" s="243">
        <v>6.6699999999999995E-2</v>
      </c>
      <c r="F7" s="24">
        <v>2</v>
      </c>
      <c r="G7" s="687">
        <v>0.05</v>
      </c>
      <c r="H7" s="24">
        <v>16</v>
      </c>
      <c r="I7" s="687">
        <v>0.25</v>
      </c>
      <c r="J7" s="24">
        <v>6</v>
      </c>
      <c r="K7" s="243">
        <v>0.46150000000000002</v>
      </c>
      <c r="L7" s="24">
        <v>38</v>
      </c>
      <c r="M7" s="243">
        <v>0.25169999999999998</v>
      </c>
    </row>
    <row r="8" spans="1:16">
      <c r="A8" s="24" t="s">
        <v>144</v>
      </c>
      <c r="B8" s="24"/>
      <c r="C8" s="24"/>
      <c r="D8" s="24">
        <v>8</v>
      </c>
      <c r="E8" s="243">
        <v>0.26669999999999999</v>
      </c>
      <c r="F8" s="24">
        <v>19</v>
      </c>
      <c r="G8" s="243">
        <v>0.47499999999999998</v>
      </c>
      <c r="H8" s="24">
        <v>25</v>
      </c>
      <c r="I8" s="243">
        <v>0.3906</v>
      </c>
      <c r="J8" s="24">
        <v>1</v>
      </c>
      <c r="K8" s="243">
        <v>7.6899999999999996E-2</v>
      </c>
      <c r="L8" s="24">
        <v>65</v>
      </c>
      <c r="M8" s="243">
        <v>0.43049999999999999</v>
      </c>
    </row>
    <row r="9" spans="1:16">
      <c r="A9" s="24" t="s">
        <v>145</v>
      </c>
      <c r="B9" s="24">
        <v>4</v>
      </c>
      <c r="C9" s="687">
        <v>1</v>
      </c>
      <c r="D9" s="24">
        <v>20</v>
      </c>
      <c r="E9" s="243">
        <v>0.66669999999999996</v>
      </c>
      <c r="F9" s="24">
        <v>19</v>
      </c>
      <c r="G9" s="243">
        <v>0.47499999999999998</v>
      </c>
      <c r="H9" s="24">
        <v>23</v>
      </c>
      <c r="I9" s="243">
        <v>0.3594</v>
      </c>
      <c r="J9" s="24">
        <v>6</v>
      </c>
      <c r="K9" s="243">
        <v>0.46150000000000002</v>
      </c>
      <c r="L9" s="24">
        <v>48</v>
      </c>
      <c r="M9" s="243">
        <v>0.31790000000000002</v>
      </c>
    </row>
    <row r="10" spans="1:16">
      <c r="A10" s="271" t="s">
        <v>108</v>
      </c>
      <c r="B10" s="271">
        <v>4</v>
      </c>
      <c r="C10" s="688">
        <v>1</v>
      </c>
      <c r="D10" s="271">
        <v>30</v>
      </c>
      <c r="E10" s="688">
        <v>1</v>
      </c>
      <c r="F10" s="271">
        <v>40</v>
      </c>
      <c r="G10" s="688">
        <v>1</v>
      </c>
      <c r="H10" s="271">
        <v>64</v>
      </c>
      <c r="I10" s="688">
        <v>1</v>
      </c>
      <c r="J10" s="271">
        <v>13</v>
      </c>
      <c r="K10" s="688">
        <v>1</v>
      </c>
      <c r="L10" s="245">
        <v>151</v>
      </c>
      <c r="M10" s="689">
        <v>1</v>
      </c>
    </row>
    <row r="11" spans="1:16">
      <c r="B11" s="193"/>
      <c r="C11" s="21"/>
      <c r="G11" s="193"/>
      <c r="H11" s="21"/>
      <c r="K11" s="193"/>
      <c r="L11" s="21"/>
    </row>
    <row r="12" spans="1:16">
      <c r="B12" s="193"/>
      <c r="C12" s="130"/>
      <c r="G12" s="193"/>
      <c r="H12" s="130"/>
      <c r="K12" s="193"/>
      <c r="L12" s="130"/>
    </row>
    <row r="13" spans="1:16">
      <c r="A13" s="246" t="s">
        <v>258</v>
      </c>
      <c r="B13" s="199"/>
      <c r="C13" s="170"/>
      <c r="D13" s="247" t="s">
        <v>259</v>
      </c>
      <c r="E13" s="142"/>
      <c r="G13" s="248" t="s">
        <v>260</v>
      </c>
      <c r="H13" s="249"/>
      <c r="K13" s="193"/>
      <c r="L13" s="170"/>
    </row>
    <row r="14" spans="1:16">
      <c r="A14" s="204" t="s">
        <v>261</v>
      </c>
      <c r="B14" s="205" t="s">
        <v>80</v>
      </c>
      <c r="D14" s="250" t="s">
        <v>262</v>
      </c>
      <c r="E14" s="251" t="s">
        <v>80</v>
      </c>
      <c r="G14" s="252" t="s">
        <v>262</v>
      </c>
      <c r="H14" s="253" t="s">
        <v>80</v>
      </c>
      <c r="J14" s="198"/>
      <c r="K14" s="198"/>
      <c r="L14" s="198"/>
      <c r="M14" s="198"/>
      <c r="O14" s="193"/>
    </row>
    <row r="15" spans="1:16">
      <c r="A15" s="202" t="s">
        <v>263</v>
      </c>
      <c r="B15" s="200">
        <v>17000000</v>
      </c>
      <c r="D15" s="250" t="s">
        <v>263</v>
      </c>
      <c r="E15" s="254">
        <v>13600000</v>
      </c>
      <c r="G15" s="252" t="s">
        <v>263</v>
      </c>
      <c r="H15" s="255">
        <v>13600000</v>
      </c>
      <c r="J15" s="195"/>
      <c r="K15" s="195"/>
      <c r="L15" s="195"/>
      <c r="M15" s="195"/>
      <c r="P15" s="193"/>
    </row>
    <row r="16" spans="1:16">
      <c r="A16" s="202" t="s">
        <v>124</v>
      </c>
      <c r="B16" s="201">
        <v>0.19600000000000001</v>
      </c>
      <c r="D16" s="250" t="s">
        <v>124</v>
      </c>
      <c r="E16" s="256">
        <v>0.1966</v>
      </c>
      <c r="F16" s="193"/>
      <c r="G16" s="252" t="s">
        <v>124</v>
      </c>
      <c r="H16" s="257">
        <v>0.20250000000000001</v>
      </c>
      <c r="J16" s="195"/>
      <c r="K16" s="195"/>
      <c r="L16" s="195"/>
      <c r="M16" s="195"/>
      <c r="O16" s="193"/>
      <c r="P16" s="2"/>
    </row>
    <row r="17" spans="1:16">
      <c r="A17" s="202" t="s">
        <v>67</v>
      </c>
      <c r="B17" s="201">
        <v>5.62E-2</v>
      </c>
      <c r="C17" s="193"/>
      <c r="D17" s="250" t="s">
        <v>67</v>
      </c>
      <c r="E17" s="256">
        <v>8.6199999999999999E-2</v>
      </c>
      <c r="G17" s="252" t="s">
        <v>67</v>
      </c>
      <c r="H17" s="257">
        <v>8.6199999999999999E-2</v>
      </c>
      <c r="J17" s="195"/>
      <c r="K17" s="195"/>
      <c r="L17" s="195"/>
      <c r="M17" s="195"/>
      <c r="O17" s="193"/>
      <c r="P17" s="20"/>
    </row>
    <row r="18" spans="1:16">
      <c r="A18" s="202" t="s">
        <v>68</v>
      </c>
      <c r="B18" s="258">
        <v>0.14000000000000001</v>
      </c>
      <c r="C18" s="2"/>
      <c r="D18" s="259" t="s">
        <v>68</v>
      </c>
      <c r="E18" s="260">
        <v>0.14000000000000001</v>
      </c>
      <c r="F18" s="193"/>
      <c r="G18" s="250" t="s">
        <v>68</v>
      </c>
      <c r="H18" s="261">
        <v>0.14000000000000001</v>
      </c>
      <c r="J18" s="262"/>
      <c r="K18" s="262"/>
      <c r="L18" s="262"/>
      <c r="M18" s="262"/>
      <c r="O18" s="193"/>
      <c r="P18" s="20"/>
    </row>
    <row r="19" spans="1:16">
      <c r="A19" s="202" t="s">
        <v>264</v>
      </c>
      <c r="B19" s="200">
        <f>B15*B16*B17*B18</f>
        <v>26216.176000000003</v>
      </c>
      <c r="C19" s="20"/>
      <c r="D19" s="250" t="s">
        <v>264</v>
      </c>
      <c r="E19" s="254">
        <f>E15*E16*E17*E18</f>
        <v>32266.935680000002</v>
      </c>
      <c r="F19" s="193"/>
      <c r="G19" s="252" t="s">
        <v>264</v>
      </c>
      <c r="H19" s="939">
        <f>H15*H16*H17*H18</f>
        <v>33235.272000000004</v>
      </c>
      <c r="K19" s="193"/>
      <c r="L19" s="20"/>
      <c r="O19" s="193"/>
      <c r="P19" s="20"/>
    </row>
    <row r="20" spans="1:16">
      <c r="A20" s="202" t="s">
        <v>265</v>
      </c>
      <c r="B20" s="880">
        <v>17.5</v>
      </c>
      <c r="C20" s="20"/>
      <c r="D20" s="250" t="s">
        <v>265</v>
      </c>
      <c r="E20" s="881">
        <v>17.5</v>
      </c>
      <c r="F20" s="193"/>
      <c r="G20" s="252" t="s">
        <v>265</v>
      </c>
      <c r="H20" s="882">
        <v>17.5</v>
      </c>
      <c r="K20" s="193"/>
      <c r="L20" s="21"/>
      <c r="O20" s="193"/>
      <c r="P20" s="21"/>
    </row>
    <row r="21" spans="1:16">
      <c r="A21" s="203" t="s">
        <v>266</v>
      </c>
      <c r="B21" s="936">
        <f>B19*B20</f>
        <v>458783.08000000007</v>
      </c>
      <c r="C21" s="20"/>
      <c r="D21" s="263" t="s">
        <v>266</v>
      </c>
      <c r="E21" s="938">
        <f>E19*E20</f>
        <v>564671.37440000009</v>
      </c>
      <c r="F21" s="193"/>
      <c r="G21" s="264" t="s">
        <v>266</v>
      </c>
      <c r="H21" s="629">
        <f>H19*H20</f>
        <v>581617.26000000013</v>
      </c>
      <c r="K21" s="193"/>
      <c r="L21" s="130"/>
      <c r="O21" s="193"/>
      <c r="P21" s="130"/>
    </row>
    <row r="22" spans="1:16">
      <c r="C22" s="21"/>
      <c r="F22" s="193"/>
      <c r="G22" s="21"/>
      <c r="K22" s="193"/>
      <c r="L22" s="170"/>
      <c r="O22" s="193"/>
      <c r="P22" s="170"/>
    </row>
    <row r="23" spans="1:16">
      <c r="B23" s="193"/>
      <c r="C23" s="130"/>
      <c r="F23" s="193"/>
      <c r="G23" s="130"/>
    </row>
    <row r="24" spans="1:16" ht="15.75" customHeight="1">
      <c r="B24" s="193"/>
      <c r="C24" s="170"/>
      <c r="F24" s="193"/>
      <c r="G24" s="170"/>
    </row>
    <row r="25" spans="1:16">
      <c r="A25" s="197" t="s">
        <v>267</v>
      </c>
    </row>
    <row r="26" spans="1:16" ht="144">
      <c r="A26" s="686" t="s">
        <v>268</v>
      </c>
      <c r="B26" s="686" t="s">
        <v>103</v>
      </c>
      <c r="C26" s="686" t="s">
        <v>140</v>
      </c>
      <c r="D26" s="686" t="s">
        <v>104</v>
      </c>
      <c r="E26" s="686" t="s">
        <v>140</v>
      </c>
      <c r="F26" s="686" t="s">
        <v>105</v>
      </c>
      <c r="G26" s="686" t="s">
        <v>140</v>
      </c>
      <c r="H26" s="686" t="s">
        <v>269</v>
      </c>
      <c r="I26" s="686" t="s">
        <v>140</v>
      </c>
      <c r="J26" s="686" t="s">
        <v>107</v>
      </c>
      <c r="K26" s="686" t="s">
        <v>140</v>
      </c>
      <c r="L26" s="686" t="s">
        <v>115</v>
      </c>
      <c r="M26" s="686" t="s">
        <v>140</v>
      </c>
    </row>
    <row r="27" spans="1:16">
      <c r="A27" s="24" t="s">
        <v>143</v>
      </c>
      <c r="B27" s="24"/>
      <c r="C27" s="24"/>
      <c r="D27" s="24">
        <v>3</v>
      </c>
      <c r="E27" s="687">
        <v>0.1</v>
      </c>
      <c r="F27" s="24">
        <v>5</v>
      </c>
      <c r="G27" s="243">
        <v>0.125</v>
      </c>
      <c r="H27" s="24">
        <v>24</v>
      </c>
      <c r="I27" s="243">
        <v>0.375</v>
      </c>
      <c r="J27" s="24">
        <v>6</v>
      </c>
      <c r="K27" s="243">
        <v>0.46150000000000002</v>
      </c>
      <c r="L27" s="24">
        <v>38</v>
      </c>
      <c r="M27" s="243">
        <v>0.25169999999999998</v>
      </c>
    </row>
    <row r="28" spans="1:16">
      <c r="A28" s="24" t="s">
        <v>144</v>
      </c>
      <c r="B28" s="24"/>
      <c r="C28" s="24"/>
      <c r="D28" s="24">
        <v>11</v>
      </c>
      <c r="E28" s="243">
        <v>0.36670000000000003</v>
      </c>
      <c r="F28" s="24">
        <v>25</v>
      </c>
      <c r="G28" s="243">
        <v>0.625</v>
      </c>
      <c r="H28" s="24">
        <v>27</v>
      </c>
      <c r="I28" s="243">
        <v>0.4219</v>
      </c>
      <c r="J28" s="24">
        <v>2</v>
      </c>
      <c r="K28" s="243">
        <v>0.15379999999999999</v>
      </c>
      <c r="L28" s="24">
        <v>65</v>
      </c>
      <c r="M28" s="243">
        <v>0.4304</v>
      </c>
    </row>
    <row r="29" spans="1:16">
      <c r="A29" s="24" t="s">
        <v>145</v>
      </c>
      <c r="B29" s="24">
        <v>4</v>
      </c>
      <c r="C29" s="687">
        <v>1</v>
      </c>
      <c r="D29" s="24">
        <v>16</v>
      </c>
      <c r="E29" s="243">
        <v>0.5333</v>
      </c>
      <c r="F29" s="24">
        <v>10</v>
      </c>
      <c r="G29" s="687">
        <v>0.25</v>
      </c>
      <c r="H29" s="24">
        <v>13</v>
      </c>
      <c r="I29" s="243">
        <v>0.2031</v>
      </c>
      <c r="J29" s="24">
        <v>5</v>
      </c>
      <c r="K29" s="243">
        <v>0.3846</v>
      </c>
      <c r="L29" s="24">
        <v>48</v>
      </c>
      <c r="M29" s="243">
        <v>0.31790000000000002</v>
      </c>
    </row>
    <row r="30" spans="1:16">
      <c r="A30" s="245" t="s">
        <v>108</v>
      </c>
      <c r="B30" s="245">
        <v>4</v>
      </c>
      <c r="C30" s="689">
        <v>1</v>
      </c>
      <c r="D30" s="245">
        <v>30</v>
      </c>
      <c r="E30" s="689">
        <v>1</v>
      </c>
      <c r="F30" s="245">
        <v>40</v>
      </c>
      <c r="G30" s="689">
        <v>1</v>
      </c>
      <c r="H30" s="245">
        <v>64</v>
      </c>
      <c r="I30" s="689">
        <v>1</v>
      </c>
      <c r="J30" s="245">
        <v>13</v>
      </c>
      <c r="K30" s="689">
        <v>1</v>
      </c>
      <c r="L30" s="245">
        <v>151</v>
      </c>
      <c r="M30" s="689">
        <v>1</v>
      </c>
    </row>
    <row r="31" spans="1:16">
      <c r="B31" s="193"/>
      <c r="C31" s="20"/>
      <c r="E31" s="193"/>
      <c r="F31" s="20"/>
    </row>
    <row r="32" spans="1:16">
      <c r="B32" s="193"/>
      <c r="C32" s="20"/>
      <c r="E32" s="193"/>
      <c r="F32" s="20"/>
    </row>
    <row r="33" spans="1:10">
      <c r="A33" s="246" t="s">
        <v>258</v>
      </c>
      <c r="B33" s="265"/>
      <c r="C33" s="21"/>
      <c r="D33" s="247" t="s">
        <v>259</v>
      </c>
      <c r="E33" s="266"/>
      <c r="F33" s="21"/>
      <c r="G33" s="248" t="s">
        <v>260</v>
      </c>
      <c r="H33" s="267"/>
    </row>
    <row r="34" spans="1:10">
      <c r="A34" s="204" t="s">
        <v>261</v>
      </c>
      <c r="B34" s="205" t="s">
        <v>80</v>
      </c>
      <c r="C34" s="130"/>
      <c r="D34" s="250" t="s">
        <v>262</v>
      </c>
      <c r="E34" s="251" t="s">
        <v>80</v>
      </c>
      <c r="F34" s="130"/>
      <c r="G34" s="252" t="s">
        <v>262</v>
      </c>
      <c r="H34" s="253" t="s">
        <v>80</v>
      </c>
    </row>
    <row r="35" spans="1:10">
      <c r="A35" s="202" t="s">
        <v>263</v>
      </c>
      <c r="B35" s="200">
        <v>17000000</v>
      </c>
      <c r="C35" s="170"/>
      <c r="D35" s="252" t="s">
        <v>263</v>
      </c>
      <c r="E35" s="268">
        <v>15000000</v>
      </c>
      <c r="F35" s="170"/>
      <c r="G35" s="252" t="s">
        <v>263</v>
      </c>
      <c r="H35" s="268">
        <v>13200000</v>
      </c>
    </row>
    <row r="36" spans="1:10">
      <c r="A36" s="202" t="s">
        <v>124</v>
      </c>
      <c r="B36" s="201">
        <v>0.19600000000000001</v>
      </c>
      <c r="D36" s="252" t="s">
        <v>124</v>
      </c>
      <c r="E36" s="257">
        <v>0.18920000000000001</v>
      </c>
      <c r="F36" s="20"/>
      <c r="G36" s="252" t="s">
        <v>124</v>
      </c>
      <c r="H36" s="257">
        <v>0.2046</v>
      </c>
    </row>
    <row r="37" spans="1:10">
      <c r="A37" s="202" t="s">
        <v>67</v>
      </c>
      <c r="B37" s="201">
        <v>5.62E-2</v>
      </c>
      <c r="D37" s="252" t="s">
        <v>67</v>
      </c>
      <c r="E37" s="257">
        <v>8.6199999999999999E-2</v>
      </c>
      <c r="G37" s="252" t="s">
        <v>67</v>
      </c>
      <c r="H37" s="257">
        <v>0.112</v>
      </c>
    </row>
    <row r="38" spans="1:10">
      <c r="A38" s="202" t="s">
        <v>68</v>
      </c>
      <c r="B38" s="258">
        <v>0.14000000000000001</v>
      </c>
      <c r="D38" s="252" t="s">
        <v>68</v>
      </c>
      <c r="E38" s="269">
        <v>0.14000000000000001</v>
      </c>
      <c r="G38" s="252" t="s">
        <v>68</v>
      </c>
      <c r="H38" s="257">
        <v>0.14000000000000001</v>
      </c>
    </row>
    <row r="39" spans="1:10">
      <c r="A39" s="202" t="s">
        <v>264</v>
      </c>
      <c r="B39" s="200">
        <f>B35*B36*B37*B38</f>
        <v>26216.176000000003</v>
      </c>
      <c r="D39" s="252" t="s">
        <v>264</v>
      </c>
      <c r="E39" s="268">
        <f>E35*E36*E37*E38</f>
        <v>34248.984000000004</v>
      </c>
      <c r="G39" s="252" t="s">
        <v>264</v>
      </c>
      <c r="H39" s="268">
        <v>42344</v>
      </c>
    </row>
    <row r="40" spans="1:10">
      <c r="A40" s="202" t="s">
        <v>265</v>
      </c>
      <c r="B40" s="880">
        <v>17.5</v>
      </c>
      <c r="D40" s="252" t="s">
        <v>265</v>
      </c>
      <c r="E40" s="882">
        <v>17.5</v>
      </c>
      <c r="G40" s="252" t="s">
        <v>265</v>
      </c>
      <c r="H40" s="882">
        <v>17.5</v>
      </c>
      <c r="I40" s="193"/>
    </row>
    <row r="41" spans="1:10">
      <c r="A41" s="203" t="s">
        <v>266</v>
      </c>
      <c r="B41" s="936">
        <f>B39*B40</f>
        <v>458783.08000000007</v>
      </c>
      <c r="C41" s="193"/>
      <c r="D41" s="264" t="s">
        <v>266</v>
      </c>
      <c r="E41" s="629">
        <f>E39*E40</f>
        <v>599357.22000000009</v>
      </c>
      <c r="F41" s="193"/>
      <c r="G41" s="264" t="s">
        <v>266</v>
      </c>
      <c r="H41" s="629">
        <v>741017</v>
      </c>
      <c r="J41" s="193"/>
    </row>
    <row r="42" spans="1:10">
      <c r="B42" s="193"/>
      <c r="C42" s="2"/>
      <c r="E42" s="193"/>
      <c r="F42" s="2"/>
      <c r="I42" s="193"/>
      <c r="J42" s="2"/>
    </row>
    <row r="43" spans="1:10">
      <c r="B43" s="193"/>
      <c r="C43" s="20"/>
      <c r="E43" s="193"/>
      <c r="F43" s="20"/>
      <c r="I43" s="193"/>
      <c r="J43" s="20"/>
    </row>
    <row r="44" spans="1:10">
      <c r="A44" s="728" t="s">
        <v>270</v>
      </c>
      <c r="B44" s="115"/>
      <c r="C44" s="65"/>
      <c r="D44" s="65"/>
      <c r="E44" s="115"/>
      <c r="F44" s="65"/>
      <c r="I44" s="193"/>
      <c r="J44" s="20"/>
    </row>
    <row r="45" spans="1:10">
      <c r="A45" s="65"/>
      <c r="B45" s="65"/>
      <c r="C45" s="65"/>
      <c r="D45" s="65"/>
      <c r="E45" s="65"/>
      <c r="F45" s="65"/>
    </row>
    <row r="46" spans="1:10">
      <c r="A46" s="729" t="s">
        <v>257</v>
      </c>
      <c r="B46" s="24"/>
      <c r="C46" s="24"/>
      <c r="D46" s="24"/>
      <c r="E46" s="24"/>
      <c r="F46" s="24"/>
    </row>
    <row r="47" spans="1:10">
      <c r="A47" s="24"/>
      <c r="B47" s="730" t="s">
        <v>42</v>
      </c>
      <c r="C47" s="731" t="s">
        <v>271</v>
      </c>
      <c r="D47" s="731" t="s">
        <v>272</v>
      </c>
      <c r="E47" s="731" t="s">
        <v>273</v>
      </c>
      <c r="F47" s="732" t="s">
        <v>274</v>
      </c>
    </row>
    <row r="48" spans="1:10">
      <c r="A48" s="24"/>
      <c r="B48" s="733" t="s">
        <v>275</v>
      </c>
      <c r="C48" s="24">
        <v>29</v>
      </c>
      <c r="D48" s="24">
        <v>0.38</v>
      </c>
      <c r="E48" s="243">
        <v>2.5000000000000001E-2</v>
      </c>
      <c r="F48" s="722">
        <v>9.4000000000000004E-3</v>
      </c>
    </row>
    <row r="49" spans="1:10">
      <c r="A49" s="24"/>
      <c r="B49" s="733" t="s">
        <v>276</v>
      </c>
      <c r="C49" s="24">
        <v>26</v>
      </c>
      <c r="D49" s="24">
        <v>0.34</v>
      </c>
      <c r="E49" s="243">
        <v>1.4999999999999999E-2</v>
      </c>
      <c r="F49" s="722">
        <v>5.1000000000000004E-3</v>
      </c>
    </row>
    <row r="50" spans="1:10">
      <c r="A50" s="24"/>
      <c r="B50" s="359" t="s">
        <v>42</v>
      </c>
      <c r="C50" s="734" t="s">
        <v>42</v>
      </c>
      <c r="D50" s="734" t="s">
        <v>42</v>
      </c>
      <c r="E50" s="734" t="s">
        <v>42</v>
      </c>
      <c r="F50" s="735">
        <v>1.4500000000000001E-2</v>
      </c>
    </row>
    <row r="51" spans="1:10">
      <c r="A51" s="65"/>
      <c r="B51" s="65"/>
      <c r="C51" s="65"/>
      <c r="D51" s="65"/>
      <c r="E51" s="65"/>
      <c r="F51" s="65"/>
    </row>
    <row r="52" spans="1:10">
      <c r="A52" s="65"/>
      <c r="B52" s="65"/>
      <c r="C52" s="65"/>
      <c r="D52" s="65"/>
      <c r="E52" s="65"/>
      <c r="F52" s="65"/>
    </row>
    <row r="53" spans="1:10">
      <c r="A53" s="729" t="s">
        <v>267</v>
      </c>
      <c r="B53" s="24"/>
      <c r="C53" s="24"/>
      <c r="D53" s="24"/>
      <c r="E53" s="24"/>
      <c r="F53" s="24"/>
    </row>
    <row r="54" spans="1:10">
      <c r="A54" s="24"/>
      <c r="B54" s="730" t="s">
        <v>42</v>
      </c>
      <c r="C54" s="731" t="s">
        <v>271</v>
      </c>
      <c r="D54" s="731" t="s">
        <v>272</v>
      </c>
      <c r="E54" s="731" t="s">
        <v>273</v>
      </c>
      <c r="F54" s="732" t="s">
        <v>277</v>
      </c>
    </row>
    <row r="55" spans="1:10">
      <c r="A55" s="24"/>
      <c r="B55" s="733" t="s">
        <v>275</v>
      </c>
      <c r="C55" s="24">
        <v>18</v>
      </c>
      <c r="D55" s="24">
        <v>0.23</v>
      </c>
      <c r="E55" s="243">
        <v>2.5000000000000001E-2</v>
      </c>
      <c r="F55" s="722">
        <v>5.7999999999999996E-3</v>
      </c>
    </row>
    <row r="56" spans="1:10">
      <c r="A56" s="24"/>
      <c r="B56" s="733" t="s">
        <v>276</v>
      </c>
      <c r="C56" s="24">
        <v>29</v>
      </c>
      <c r="D56" s="24">
        <v>0.38</v>
      </c>
      <c r="E56" s="243">
        <v>1.4999999999999999E-2</v>
      </c>
      <c r="F56" s="722">
        <v>5.5999999999999999E-3</v>
      </c>
    </row>
    <row r="57" spans="1:10">
      <c r="A57" s="24"/>
      <c r="B57" s="359" t="s">
        <v>42</v>
      </c>
      <c r="C57" s="734" t="s">
        <v>42</v>
      </c>
      <c r="D57" s="734" t="s">
        <v>42</v>
      </c>
      <c r="E57" s="734" t="s">
        <v>42</v>
      </c>
      <c r="F57" s="735">
        <v>1.15E-2</v>
      </c>
    </row>
    <row r="58" spans="1:10">
      <c r="A58" s="65"/>
      <c r="B58" s="65"/>
      <c r="C58" s="65"/>
      <c r="D58" s="65"/>
      <c r="E58" s="65"/>
      <c r="F58" s="65"/>
    </row>
    <row r="59" spans="1:10">
      <c r="A59" s="680" t="s">
        <v>274</v>
      </c>
      <c r="B59" s="736">
        <f>F50+F57</f>
        <v>2.6000000000000002E-2</v>
      </c>
      <c r="C59" s="65"/>
      <c r="D59" s="65"/>
      <c r="E59" s="65"/>
      <c r="F59" s="65"/>
    </row>
    <row r="62" spans="1:10">
      <c r="A62" s="196" t="s">
        <v>278</v>
      </c>
      <c r="B62" s="193"/>
      <c r="C62" s="20"/>
      <c r="E62" s="193"/>
      <c r="F62" s="20"/>
      <c r="I62" s="193"/>
      <c r="J62" s="20"/>
    </row>
    <row r="63" spans="1:10">
      <c r="B63" s="193"/>
      <c r="C63" s="21"/>
      <c r="E63" s="193"/>
      <c r="F63" s="21"/>
      <c r="I63" s="193"/>
      <c r="J63" s="21"/>
    </row>
    <row r="64" spans="1:10">
      <c r="A64" s="197" t="s">
        <v>146</v>
      </c>
      <c r="B64" s="193"/>
      <c r="C64" s="130"/>
      <c r="E64" s="193"/>
      <c r="F64" s="130"/>
      <c r="I64" s="193"/>
      <c r="J64" s="130"/>
    </row>
    <row r="65" spans="1:24">
      <c r="I65" s="193"/>
      <c r="J65" s="170"/>
    </row>
    <row r="66" spans="1:24">
      <c r="A66" s="1" t="s">
        <v>147</v>
      </c>
    </row>
    <row r="67" spans="1:24">
      <c r="A67" s="271"/>
      <c r="B67" s="271" t="s">
        <v>103</v>
      </c>
      <c r="C67" s="271"/>
      <c r="D67" s="271" t="s">
        <v>104</v>
      </c>
      <c r="E67" s="271"/>
      <c r="F67" s="271" t="s">
        <v>105</v>
      </c>
      <c r="G67" s="271"/>
      <c r="H67" s="271" t="s">
        <v>106</v>
      </c>
      <c r="I67" s="271"/>
      <c r="J67" s="271" t="s">
        <v>107</v>
      </c>
      <c r="K67" s="271"/>
      <c r="L67" s="271" t="s">
        <v>148</v>
      </c>
      <c r="M67" s="271" t="s">
        <v>149</v>
      </c>
      <c r="P67" s="145" t="s">
        <v>118</v>
      </c>
      <c r="Q67" s="146" t="s">
        <v>119</v>
      </c>
      <c r="R67" s="146" t="s">
        <v>120</v>
      </c>
      <c r="S67" s="146" t="s">
        <v>121</v>
      </c>
      <c r="T67" s="146" t="s">
        <v>122</v>
      </c>
      <c r="U67" s="146" t="s">
        <v>123</v>
      </c>
      <c r="V67" s="146" t="s">
        <v>124</v>
      </c>
      <c r="W67" s="146" t="s">
        <v>125</v>
      </c>
      <c r="X67" s="147" t="s">
        <v>126</v>
      </c>
    </row>
    <row r="68" spans="1:24">
      <c r="A68" s="272" t="s">
        <v>102</v>
      </c>
      <c r="B68" s="272" t="s">
        <v>150</v>
      </c>
      <c r="C68" s="272" t="s">
        <v>151</v>
      </c>
      <c r="D68" s="272" t="s">
        <v>150</v>
      </c>
      <c r="E68" s="272" t="s">
        <v>151</v>
      </c>
      <c r="F68" s="272" t="s">
        <v>150</v>
      </c>
      <c r="G68" s="272" t="s">
        <v>151</v>
      </c>
      <c r="H68" s="272" t="s">
        <v>150</v>
      </c>
      <c r="I68" s="272" t="s">
        <v>151</v>
      </c>
      <c r="J68" s="272" t="s">
        <v>150</v>
      </c>
      <c r="K68" s="272" t="s">
        <v>151</v>
      </c>
      <c r="L68" s="272"/>
      <c r="M68" s="272"/>
      <c r="P68" s="207">
        <v>17.5</v>
      </c>
      <c r="Q68" s="208">
        <v>0.34549999999999997</v>
      </c>
      <c r="R68" s="208">
        <v>5.45E-2</v>
      </c>
      <c r="S68" s="208">
        <v>0.1036</v>
      </c>
      <c r="T68" s="208">
        <v>4.36E-2</v>
      </c>
      <c r="U68" s="208">
        <v>0.14729999999999999</v>
      </c>
      <c r="V68" s="273">
        <v>0.2336</v>
      </c>
      <c r="W68" s="274">
        <v>3177455</v>
      </c>
      <c r="X68" s="275">
        <v>55605455</v>
      </c>
    </row>
    <row r="69" spans="1:24">
      <c r="A69" s="24" t="s">
        <v>111</v>
      </c>
      <c r="B69" s="24">
        <v>6</v>
      </c>
      <c r="C69" s="243">
        <v>0.75</v>
      </c>
      <c r="D69" s="24">
        <v>12</v>
      </c>
      <c r="E69" s="243">
        <v>0.75</v>
      </c>
      <c r="F69" s="24">
        <v>13</v>
      </c>
      <c r="G69" s="243">
        <v>0.76470000000000005</v>
      </c>
      <c r="H69" s="24">
        <v>38</v>
      </c>
      <c r="I69" s="243">
        <v>0.64410000000000001</v>
      </c>
      <c r="J69" s="24">
        <v>6</v>
      </c>
      <c r="K69" s="243">
        <v>0.6</v>
      </c>
      <c r="L69" s="24">
        <v>75</v>
      </c>
      <c r="M69" s="243">
        <v>0.68179999999999996</v>
      </c>
      <c r="P69" s="207">
        <v>22.5</v>
      </c>
      <c r="Q69" s="208">
        <v>0.1545</v>
      </c>
      <c r="R69" s="208">
        <v>1.8200000000000001E-2</v>
      </c>
      <c r="S69" s="208">
        <v>4.6399999999999997E-2</v>
      </c>
      <c r="T69" s="208">
        <v>1.4500000000000001E-2</v>
      </c>
      <c r="U69" s="208">
        <v>6.0900000000000003E-2</v>
      </c>
      <c r="V69" s="208">
        <v>8.6400000000000005E-2</v>
      </c>
      <c r="W69" s="274">
        <v>1174545</v>
      </c>
      <c r="X69" s="275">
        <v>26427273</v>
      </c>
    </row>
    <row r="70" spans="1:24">
      <c r="A70" s="24" t="s">
        <v>112</v>
      </c>
      <c r="B70" s="24">
        <v>2</v>
      </c>
      <c r="C70" s="243">
        <v>0.25</v>
      </c>
      <c r="D70" s="24">
        <v>3</v>
      </c>
      <c r="E70" s="243">
        <v>0.1875</v>
      </c>
      <c r="F70" s="24">
        <v>1</v>
      </c>
      <c r="G70" s="243">
        <v>5.8799999999999998E-2</v>
      </c>
      <c r="H70" s="24">
        <v>17</v>
      </c>
      <c r="I70" s="243">
        <v>0.28810000000000002</v>
      </c>
      <c r="J70" s="24">
        <v>2</v>
      </c>
      <c r="K70" s="243">
        <v>0.2</v>
      </c>
      <c r="L70" s="24">
        <v>25</v>
      </c>
      <c r="M70" s="243">
        <v>0.2273</v>
      </c>
      <c r="P70" s="207">
        <v>27.5</v>
      </c>
      <c r="Q70" s="208">
        <v>2.7300000000000001E-2</v>
      </c>
      <c r="R70" s="208">
        <v>1.8200000000000001E-2</v>
      </c>
      <c r="S70" s="208">
        <v>8.2000000000000007E-3</v>
      </c>
      <c r="T70" s="208">
        <v>1.4500000000000001E-2</v>
      </c>
      <c r="U70" s="208">
        <v>2.2700000000000001E-2</v>
      </c>
      <c r="V70" s="208">
        <v>2.5499999999999998E-2</v>
      </c>
      <c r="W70" s="274">
        <v>346182</v>
      </c>
      <c r="X70" s="275">
        <v>9520000</v>
      </c>
    </row>
    <row r="71" spans="1:24">
      <c r="A71" s="24" t="s">
        <v>113</v>
      </c>
      <c r="B71" s="24"/>
      <c r="C71" s="243">
        <v>0</v>
      </c>
      <c r="D71" s="24">
        <v>1</v>
      </c>
      <c r="E71" s="243">
        <v>6.25E-2</v>
      </c>
      <c r="F71" s="24">
        <v>2</v>
      </c>
      <c r="G71" s="243">
        <v>0.1176</v>
      </c>
      <c r="H71" s="24">
        <v>3</v>
      </c>
      <c r="I71" s="243">
        <v>5.0799999999999998E-2</v>
      </c>
      <c r="J71" s="24">
        <v>2</v>
      </c>
      <c r="K71" s="243">
        <v>0.2</v>
      </c>
      <c r="L71" s="24">
        <v>8</v>
      </c>
      <c r="M71" s="243">
        <v>7.2700000000000001E-2</v>
      </c>
      <c r="P71" s="211">
        <v>32.5</v>
      </c>
      <c r="Q71" s="212">
        <v>9.1000000000000004E-3</v>
      </c>
      <c r="R71" s="212">
        <v>0</v>
      </c>
      <c r="S71" s="212">
        <v>2.7000000000000001E-3</v>
      </c>
      <c r="T71" s="212">
        <v>0</v>
      </c>
      <c r="U71" s="212">
        <v>2.7000000000000001E-3</v>
      </c>
      <c r="V71" s="212">
        <v>2.7000000000000001E-3</v>
      </c>
      <c r="W71" s="276">
        <v>37091</v>
      </c>
      <c r="X71" s="277">
        <v>1205455</v>
      </c>
    </row>
    <row r="72" spans="1:24">
      <c r="A72" s="24" t="s">
        <v>114</v>
      </c>
      <c r="B72" s="24"/>
      <c r="C72" s="243">
        <v>0</v>
      </c>
      <c r="D72" s="24"/>
      <c r="E72" s="243">
        <v>0</v>
      </c>
      <c r="F72" s="24">
        <v>1</v>
      </c>
      <c r="G72" s="243">
        <v>5.8799999999999998E-2</v>
      </c>
      <c r="H72" s="24">
        <v>1</v>
      </c>
      <c r="I72" s="243">
        <v>1.6899999999999998E-2</v>
      </c>
      <c r="J72" s="24"/>
      <c r="K72" s="243">
        <v>0</v>
      </c>
      <c r="L72" s="24">
        <v>2</v>
      </c>
      <c r="M72" s="243">
        <v>1.8200000000000001E-2</v>
      </c>
    </row>
    <row r="73" spans="1:24">
      <c r="A73" s="245" t="s">
        <v>108</v>
      </c>
      <c r="B73" s="245">
        <v>8</v>
      </c>
      <c r="C73" s="244">
        <v>1</v>
      </c>
      <c r="D73" s="245">
        <v>16</v>
      </c>
      <c r="E73" s="244">
        <v>1</v>
      </c>
      <c r="F73" s="245">
        <v>17</v>
      </c>
      <c r="G73" s="244">
        <v>1</v>
      </c>
      <c r="H73" s="245">
        <v>59</v>
      </c>
      <c r="I73" s="244">
        <v>1</v>
      </c>
      <c r="J73" s="245">
        <v>10</v>
      </c>
      <c r="K73" s="244">
        <v>1</v>
      </c>
      <c r="L73" s="245">
        <v>110</v>
      </c>
      <c r="M73" s="244">
        <v>1</v>
      </c>
    </row>
    <row r="74" spans="1:24">
      <c r="B74" s="193"/>
      <c r="C74" s="20"/>
      <c r="F74" s="193"/>
      <c r="G74" s="20"/>
    </row>
    <row r="75" spans="1:24">
      <c r="A75" s="1" t="s">
        <v>152</v>
      </c>
      <c r="B75" s="193"/>
      <c r="C75" s="20"/>
      <c r="F75" s="193"/>
      <c r="G75" s="20"/>
    </row>
    <row r="76" spans="1:24">
      <c r="A76" s="271"/>
      <c r="B76" s="271" t="s">
        <v>103</v>
      </c>
      <c r="C76" s="271"/>
      <c r="D76" s="271" t="s">
        <v>104</v>
      </c>
      <c r="E76" s="271"/>
      <c r="F76" s="271" t="s">
        <v>105</v>
      </c>
      <c r="G76" s="271"/>
      <c r="H76" s="271" t="s">
        <v>106</v>
      </c>
      <c r="I76" s="271"/>
      <c r="J76" s="271" t="s">
        <v>107</v>
      </c>
      <c r="K76" s="271"/>
      <c r="L76" s="271" t="s">
        <v>148</v>
      </c>
      <c r="M76" s="271" t="s">
        <v>149</v>
      </c>
      <c r="P76" s="145" t="s">
        <v>118</v>
      </c>
      <c r="Q76" s="146" t="s">
        <v>119</v>
      </c>
      <c r="R76" s="146" t="s">
        <v>120</v>
      </c>
      <c r="S76" s="146" t="s">
        <v>121</v>
      </c>
      <c r="T76" s="146" t="s">
        <v>122</v>
      </c>
      <c r="U76" s="146" t="s">
        <v>123</v>
      </c>
      <c r="V76" s="146" t="s">
        <v>124</v>
      </c>
      <c r="W76" s="146" t="s">
        <v>125</v>
      </c>
      <c r="X76" s="147" t="s">
        <v>126</v>
      </c>
    </row>
    <row r="77" spans="1:24">
      <c r="A77" s="272" t="s">
        <v>102</v>
      </c>
      <c r="B77" s="272" t="s">
        <v>150</v>
      </c>
      <c r="C77" s="272" t="s">
        <v>151</v>
      </c>
      <c r="D77" s="272" t="s">
        <v>150</v>
      </c>
      <c r="E77" s="272" t="s">
        <v>151</v>
      </c>
      <c r="F77" s="272" t="s">
        <v>150</v>
      </c>
      <c r="G77" s="272" t="s">
        <v>151</v>
      </c>
      <c r="H77" s="272" t="s">
        <v>150</v>
      </c>
      <c r="I77" s="272" t="s">
        <v>151</v>
      </c>
      <c r="J77" s="272" t="s">
        <v>150</v>
      </c>
      <c r="K77" s="272" t="s">
        <v>151</v>
      </c>
      <c r="L77" s="272"/>
      <c r="M77" s="272"/>
      <c r="P77" s="207">
        <v>17.5</v>
      </c>
      <c r="Q77" s="208">
        <v>0.3649</v>
      </c>
      <c r="R77" s="208">
        <v>8.1100000000000005E-2</v>
      </c>
      <c r="S77" s="208">
        <v>0.1095</v>
      </c>
      <c r="T77" s="208">
        <v>6.4899999999999999E-2</v>
      </c>
      <c r="U77" s="208">
        <v>0.17430000000000001</v>
      </c>
      <c r="V77" s="273">
        <v>0.2676</v>
      </c>
      <c r="W77" s="274">
        <v>2729189</v>
      </c>
      <c r="X77" s="275">
        <v>47760811</v>
      </c>
    </row>
    <row r="78" spans="1:24">
      <c r="A78" s="24" t="s">
        <v>111</v>
      </c>
      <c r="B78" s="24">
        <v>5</v>
      </c>
      <c r="C78" s="243">
        <v>0.71430000000000005</v>
      </c>
      <c r="D78" s="24">
        <v>6</v>
      </c>
      <c r="E78" s="243">
        <v>0.66669999999999996</v>
      </c>
      <c r="F78" s="24">
        <v>5</v>
      </c>
      <c r="G78" s="243">
        <v>0.71430000000000005</v>
      </c>
      <c r="H78" s="24">
        <v>27</v>
      </c>
      <c r="I78" s="243">
        <v>0.64290000000000003</v>
      </c>
      <c r="J78" s="24">
        <v>6</v>
      </c>
      <c r="K78" s="243">
        <v>0.66669999999999996</v>
      </c>
      <c r="L78" s="24">
        <v>49</v>
      </c>
      <c r="M78" s="243">
        <v>0.66220000000000001</v>
      </c>
      <c r="P78" s="207">
        <v>22.5</v>
      </c>
      <c r="Q78" s="208">
        <v>0.1757</v>
      </c>
      <c r="R78" s="208">
        <v>2.7E-2</v>
      </c>
      <c r="S78" s="208">
        <v>5.2699999999999997E-2</v>
      </c>
      <c r="T78" s="208">
        <v>2.1600000000000001E-2</v>
      </c>
      <c r="U78" s="208">
        <v>7.4300000000000005E-2</v>
      </c>
      <c r="V78" s="208">
        <v>9.3200000000000005E-2</v>
      </c>
      <c r="W78" s="274">
        <v>951081</v>
      </c>
      <c r="X78" s="275">
        <v>21399324</v>
      </c>
    </row>
    <row r="79" spans="1:24">
      <c r="A79" s="24" t="s">
        <v>112</v>
      </c>
      <c r="B79" s="24">
        <v>2</v>
      </c>
      <c r="C79" s="243">
        <v>0.28570000000000001</v>
      </c>
      <c r="D79" s="24">
        <v>2</v>
      </c>
      <c r="E79" s="243">
        <v>0.22220000000000001</v>
      </c>
      <c r="F79" s="24"/>
      <c r="G79" s="243">
        <v>0</v>
      </c>
      <c r="H79" s="24">
        <v>13</v>
      </c>
      <c r="I79" s="243">
        <v>0.3095</v>
      </c>
      <c r="J79" s="24">
        <v>2</v>
      </c>
      <c r="K79" s="243">
        <v>0.22220000000000001</v>
      </c>
      <c r="L79" s="24">
        <v>19</v>
      </c>
      <c r="M79" s="243">
        <v>0.25679999999999997</v>
      </c>
      <c r="P79" s="207">
        <v>27.5</v>
      </c>
      <c r="Q79" s="208">
        <v>2.7E-2</v>
      </c>
      <c r="R79" s="208">
        <v>1.35E-2</v>
      </c>
      <c r="S79" s="208">
        <v>8.0999999999999996E-3</v>
      </c>
      <c r="T79" s="208">
        <v>1.0800000000000001E-2</v>
      </c>
      <c r="U79" s="208">
        <v>1.89E-2</v>
      </c>
      <c r="V79" s="208">
        <v>1.89E-2</v>
      </c>
      <c r="W79" s="274">
        <v>192973</v>
      </c>
      <c r="X79" s="275">
        <v>5306757</v>
      </c>
    </row>
    <row r="80" spans="1:24">
      <c r="A80" s="24" t="s">
        <v>113</v>
      </c>
      <c r="B80" s="24"/>
      <c r="C80" s="243">
        <v>0</v>
      </c>
      <c r="D80" s="24">
        <v>1</v>
      </c>
      <c r="E80" s="243">
        <v>0.1111</v>
      </c>
      <c r="F80" s="24">
        <v>1</v>
      </c>
      <c r="G80" s="243">
        <v>0.1429</v>
      </c>
      <c r="H80" s="24">
        <v>2</v>
      </c>
      <c r="I80" s="243">
        <v>4.7600000000000003E-2</v>
      </c>
      <c r="J80" s="24">
        <v>1</v>
      </c>
      <c r="K80" s="243">
        <v>0.1111</v>
      </c>
      <c r="L80" s="24">
        <v>5</v>
      </c>
      <c r="M80" s="243">
        <v>6.7599999999999993E-2</v>
      </c>
      <c r="P80" s="211">
        <v>32.5</v>
      </c>
      <c r="Q80" s="212">
        <v>0</v>
      </c>
      <c r="R80" s="212">
        <v>0</v>
      </c>
      <c r="S80" s="212">
        <v>0</v>
      </c>
      <c r="T80" s="212">
        <v>0</v>
      </c>
      <c r="U80" s="212">
        <v>0</v>
      </c>
      <c r="V80" s="212">
        <v>0</v>
      </c>
      <c r="W80" s="320" t="s">
        <v>279</v>
      </c>
      <c r="X80" s="277">
        <v>0</v>
      </c>
    </row>
    <row r="81" spans="1:13">
      <c r="A81" s="24" t="s">
        <v>114</v>
      </c>
      <c r="B81" s="24"/>
      <c r="C81" s="243">
        <v>0</v>
      </c>
      <c r="D81" s="24"/>
      <c r="E81" s="243">
        <v>0</v>
      </c>
      <c r="F81" s="24">
        <v>1</v>
      </c>
      <c r="G81" s="243">
        <v>0.1429</v>
      </c>
      <c r="H81" s="24"/>
      <c r="I81" s="243">
        <v>0</v>
      </c>
      <c r="J81" s="24"/>
      <c r="K81" s="243">
        <v>0</v>
      </c>
      <c r="L81" s="24">
        <v>1</v>
      </c>
      <c r="M81" s="243">
        <v>1.35E-2</v>
      </c>
    </row>
    <row r="82" spans="1:13">
      <c r="A82" s="245" t="s">
        <v>108</v>
      </c>
      <c r="B82" s="245">
        <v>7</v>
      </c>
      <c r="C82" s="244">
        <v>1</v>
      </c>
      <c r="D82" s="245">
        <v>9</v>
      </c>
      <c r="E82" s="244">
        <v>1</v>
      </c>
      <c r="F82" s="245">
        <v>7</v>
      </c>
      <c r="G82" s="244">
        <v>1</v>
      </c>
      <c r="H82" s="245">
        <v>42</v>
      </c>
      <c r="I82" s="244">
        <v>1</v>
      </c>
      <c r="J82" s="245">
        <v>9</v>
      </c>
      <c r="K82" s="244">
        <v>1</v>
      </c>
      <c r="L82" s="245">
        <v>74</v>
      </c>
      <c r="M82" s="244">
        <v>1</v>
      </c>
    </row>
    <row r="83" spans="1:13">
      <c r="C83" s="193"/>
      <c r="E83" s="193"/>
      <c r="F83" s="193"/>
      <c r="G83" s="193"/>
      <c r="H83" s="193"/>
    </row>
    <row r="84" spans="1:13">
      <c r="B84" s="193"/>
      <c r="C84" s="2"/>
      <c r="E84" s="193"/>
      <c r="G84" s="193"/>
      <c r="H84" s="194"/>
    </row>
    <row r="85" spans="1:13">
      <c r="A85" s="246" t="s">
        <v>258</v>
      </c>
      <c r="B85" s="265"/>
      <c r="C85" s="20"/>
      <c r="D85" s="247" t="s">
        <v>280</v>
      </c>
      <c r="E85" s="278"/>
      <c r="F85" s="20"/>
      <c r="G85" s="279" t="s">
        <v>281</v>
      </c>
      <c r="H85" s="280"/>
    </row>
    <row r="86" spans="1:13">
      <c r="A86" s="204" t="s">
        <v>261</v>
      </c>
      <c r="B86" s="205" t="s">
        <v>80</v>
      </c>
      <c r="C86" s="20"/>
      <c r="D86" s="250" t="s">
        <v>262</v>
      </c>
      <c r="E86" s="251" t="s">
        <v>80</v>
      </c>
      <c r="F86" s="20"/>
      <c r="G86" s="281" t="s">
        <v>262</v>
      </c>
      <c r="H86" s="282" t="s">
        <v>80</v>
      </c>
    </row>
    <row r="87" spans="1:13">
      <c r="A87" s="259" t="s">
        <v>263</v>
      </c>
      <c r="B87" s="283">
        <v>17000000</v>
      </c>
      <c r="C87" s="20"/>
      <c r="D87" s="252" t="s">
        <v>263</v>
      </c>
      <c r="E87" s="268">
        <v>13600000</v>
      </c>
      <c r="G87" s="252" t="s">
        <v>263</v>
      </c>
      <c r="H87" s="268">
        <v>10200000</v>
      </c>
    </row>
    <row r="88" spans="1:13">
      <c r="A88" s="259" t="s">
        <v>124</v>
      </c>
      <c r="B88" s="284">
        <v>0.19600000000000001</v>
      </c>
      <c r="C88" s="21"/>
      <c r="D88" s="252" t="s">
        <v>124</v>
      </c>
      <c r="E88" s="257">
        <v>0.2336</v>
      </c>
      <c r="F88" s="130"/>
      <c r="G88" s="252" t="s">
        <v>124</v>
      </c>
      <c r="H88" s="257">
        <v>0.2676</v>
      </c>
    </row>
    <row r="89" spans="1:13">
      <c r="A89" s="259" t="s">
        <v>67</v>
      </c>
      <c r="B89" s="284">
        <v>5.62E-2</v>
      </c>
      <c r="C89" s="130"/>
      <c r="D89" s="252" t="s">
        <v>67</v>
      </c>
      <c r="E89" s="257">
        <v>8.6199999999999999E-2</v>
      </c>
      <c r="F89" s="130"/>
      <c r="G89" s="252" t="s">
        <v>67</v>
      </c>
      <c r="H89" s="257">
        <v>0.1162</v>
      </c>
    </row>
    <row r="90" spans="1:13">
      <c r="A90" s="259" t="s">
        <v>68</v>
      </c>
      <c r="B90" s="260">
        <v>0.14000000000000001</v>
      </c>
      <c r="C90" s="170"/>
      <c r="D90" s="252" t="s">
        <v>68</v>
      </c>
      <c r="E90" s="269">
        <v>0.14000000000000001</v>
      </c>
      <c r="G90" s="252" t="s">
        <v>68</v>
      </c>
      <c r="H90" s="257">
        <v>0.14000000000000001</v>
      </c>
    </row>
    <row r="91" spans="1:13">
      <c r="A91" s="259" t="s">
        <v>264</v>
      </c>
      <c r="B91" s="283">
        <f>B87*B88*B89*B90</f>
        <v>26216.176000000003</v>
      </c>
      <c r="D91" s="252" t="s">
        <v>264</v>
      </c>
      <c r="E91" s="268">
        <v>38340</v>
      </c>
      <c r="G91" s="252" t="s">
        <v>264</v>
      </c>
      <c r="H91" s="268">
        <v>44404</v>
      </c>
    </row>
    <row r="92" spans="1:13">
      <c r="A92" s="259" t="s">
        <v>265</v>
      </c>
      <c r="B92" s="883">
        <v>17.5</v>
      </c>
      <c r="D92" s="252" t="s">
        <v>265</v>
      </c>
      <c r="E92" s="882">
        <v>17.5</v>
      </c>
      <c r="G92" s="252" t="s">
        <v>265</v>
      </c>
      <c r="H92" s="882">
        <v>17.5</v>
      </c>
    </row>
    <row r="93" spans="1:13">
      <c r="A93" s="285" t="s">
        <v>266</v>
      </c>
      <c r="B93" s="937">
        <f>B91*B92</f>
        <v>458783.08000000007</v>
      </c>
      <c r="D93" s="264" t="s">
        <v>266</v>
      </c>
      <c r="E93" s="629">
        <v>670942</v>
      </c>
      <c r="G93" s="264" t="s">
        <v>266</v>
      </c>
      <c r="H93" s="629">
        <v>777067</v>
      </c>
    </row>
    <row r="95" spans="1:13">
      <c r="C95" s="193"/>
      <c r="E95" s="193"/>
      <c r="F95" s="193"/>
      <c r="H95" s="193"/>
      <c r="I95" s="193"/>
    </row>
    <row r="96" spans="1:13">
      <c r="B96" s="193"/>
      <c r="C96" s="2"/>
      <c r="E96" s="193"/>
      <c r="F96" s="2"/>
      <c r="H96" s="193"/>
      <c r="I96" s="2"/>
    </row>
    <row r="97" spans="1:24">
      <c r="A97" s="197" t="s">
        <v>153</v>
      </c>
      <c r="B97" s="193"/>
      <c r="C97" s="20"/>
      <c r="E97" s="193"/>
      <c r="F97" s="20"/>
      <c r="H97" s="193"/>
      <c r="I97" s="20"/>
    </row>
    <row r="98" spans="1:24">
      <c r="B98" s="193"/>
      <c r="C98" s="20"/>
      <c r="E98" s="193"/>
      <c r="F98" s="20"/>
      <c r="H98" s="193"/>
      <c r="I98" s="20"/>
    </row>
    <row r="99" spans="1:24">
      <c r="A99" s="1" t="s">
        <v>154</v>
      </c>
      <c r="B99" s="193"/>
      <c r="C99" s="20"/>
      <c r="E99" s="193"/>
      <c r="F99" s="20"/>
      <c r="H99" s="193"/>
      <c r="I99" s="20"/>
    </row>
    <row r="100" spans="1:24">
      <c r="A100" s="271"/>
      <c r="B100" s="271" t="s">
        <v>103</v>
      </c>
      <c r="C100" s="271"/>
      <c r="D100" s="271" t="s">
        <v>104</v>
      </c>
      <c r="E100" s="271"/>
      <c r="F100" s="271" t="s">
        <v>105</v>
      </c>
      <c r="G100" s="271"/>
      <c r="H100" s="271" t="s">
        <v>106</v>
      </c>
      <c r="I100" s="271"/>
      <c r="J100" s="271" t="s">
        <v>107</v>
      </c>
      <c r="K100" s="271"/>
      <c r="L100" s="271" t="s">
        <v>155</v>
      </c>
      <c r="M100" s="271" t="s">
        <v>156</v>
      </c>
      <c r="P100" s="145" t="s">
        <v>118</v>
      </c>
      <c r="Q100" s="146" t="s">
        <v>119</v>
      </c>
      <c r="R100" s="146" t="s">
        <v>120</v>
      </c>
      <c r="S100" s="146" t="s">
        <v>121</v>
      </c>
      <c r="T100" s="146" t="s">
        <v>122</v>
      </c>
      <c r="U100" s="146" t="s">
        <v>123</v>
      </c>
      <c r="V100" s="146" t="s">
        <v>124</v>
      </c>
      <c r="W100" s="146" t="s">
        <v>125</v>
      </c>
      <c r="X100" s="147" t="s">
        <v>126</v>
      </c>
    </row>
    <row r="101" spans="1:24">
      <c r="A101" s="272" t="s">
        <v>102</v>
      </c>
      <c r="B101" s="272"/>
      <c r="C101" s="272"/>
      <c r="D101" s="272"/>
      <c r="E101" s="272"/>
      <c r="F101" s="272"/>
      <c r="G101" s="272"/>
      <c r="H101" s="272"/>
      <c r="I101" s="272"/>
      <c r="J101" s="272"/>
      <c r="K101" s="272"/>
      <c r="L101" s="272"/>
      <c r="M101" s="272"/>
      <c r="P101" s="207">
        <v>17.5</v>
      </c>
      <c r="Q101" s="208">
        <v>0.33629999999999999</v>
      </c>
      <c r="R101" s="208">
        <v>7.9600000000000004E-2</v>
      </c>
      <c r="S101" s="208">
        <v>0.1009</v>
      </c>
      <c r="T101" s="208">
        <v>6.3700000000000007E-2</v>
      </c>
      <c r="U101" s="208">
        <v>0.1646</v>
      </c>
      <c r="V101" s="273">
        <v>0.26640000000000003</v>
      </c>
      <c r="W101" s="274">
        <v>4075487</v>
      </c>
      <c r="X101" s="275">
        <v>71321018</v>
      </c>
    </row>
    <row r="102" spans="1:24">
      <c r="A102" s="24" t="s">
        <v>111</v>
      </c>
      <c r="B102" s="24">
        <v>4</v>
      </c>
      <c r="C102" s="243">
        <v>0.66669999999999996</v>
      </c>
      <c r="D102" s="24">
        <v>10</v>
      </c>
      <c r="E102" s="243">
        <v>0.71430000000000005</v>
      </c>
      <c r="F102" s="24">
        <v>13</v>
      </c>
      <c r="G102" s="243">
        <v>0.8125</v>
      </c>
      <c r="H102" s="24">
        <v>38</v>
      </c>
      <c r="I102" s="243">
        <v>0.60319999999999996</v>
      </c>
      <c r="J102" s="24">
        <v>9</v>
      </c>
      <c r="K102" s="243">
        <v>0.64290000000000003</v>
      </c>
      <c r="L102" s="24">
        <v>74</v>
      </c>
      <c r="M102" s="243">
        <v>0.65490000000000004</v>
      </c>
      <c r="P102" s="207">
        <v>22.5</v>
      </c>
      <c r="Q102" s="208">
        <v>0.1681</v>
      </c>
      <c r="R102" s="208">
        <v>8.8000000000000005E-3</v>
      </c>
      <c r="S102" s="208">
        <v>5.04E-2</v>
      </c>
      <c r="T102" s="208">
        <v>7.1000000000000004E-3</v>
      </c>
      <c r="U102" s="208">
        <v>5.7500000000000002E-2</v>
      </c>
      <c r="V102" s="208">
        <v>0.1018</v>
      </c>
      <c r="W102" s="274">
        <v>1557080</v>
      </c>
      <c r="X102" s="275">
        <v>35034292</v>
      </c>
    </row>
    <row r="103" spans="1:24">
      <c r="A103" s="24" t="s">
        <v>112</v>
      </c>
      <c r="B103" s="24">
        <v>2</v>
      </c>
      <c r="C103" s="243">
        <v>0.33329999999999999</v>
      </c>
      <c r="D103" s="24">
        <v>4</v>
      </c>
      <c r="E103" s="243">
        <v>0.28570000000000001</v>
      </c>
      <c r="F103" s="24">
        <v>1</v>
      </c>
      <c r="G103" s="243">
        <v>6.25E-2</v>
      </c>
      <c r="H103" s="24">
        <v>19</v>
      </c>
      <c r="I103" s="243">
        <v>0.30159999999999998</v>
      </c>
      <c r="J103" s="24">
        <v>1</v>
      </c>
      <c r="K103" s="243">
        <v>7.1400000000000005E-2</v>
      </c>
      <c r="L103" s="24">
        <v>27</v>
      </c>
      <c r="M103" s="243">
        <v>0.2389</v>
      </c>
      <c r="P103" s="207">
        <v>27.5</v>
      </c>
      <c r="Q103" s="208">
        <v>4.4200000000000003E-2</v>
      </c>
      <c r="R103" s="208">
        <v>3.5400000000000001E-2</v>
      </c>
      <c r="S103" s="208">
        <v>1.3299999999999999E-2</v>
      </c>
      <c r="T103" s="208">
        <v>2.8299999999999999E-2</v>
      </c>
      <c r="U103" s="208">
        <v>4.1599999999999998E-2</v>
      </c>
      <c r="V103" s="208">
        <v>4.4200000000000003E-2</v>
      </c>
      <c r="W103" s="274">
        <v>676991</v>
      </c>
      <c r="X103" s="275">
        <v>18617257</v>
      </c>
    </row>
    <row r="104" spans="1:24">
      <c r="A104" s="24" t="s">
        <v>113</v>
      </c>
      <c r="B104" s="24"/>
      <c r="C104" s="243">
        <v>0</v>
      </c>
      <c r="D104" s="24"/>
      <c r="E104" s="243">
        <v>0</v>
      </c>
      <c r="F104" s="24">
        <v>2</v>
      </c>
      <c r="G104" s="243">
        <v>0.125</v>
      </c>
      <c r="H104" s="24">
        <v>5</v>
      </c>
      <c r="I104" s="243">
        <v>7.9399999999999998E-2</v>
      </c>
      <c r="J104" s="24">
        <v>4</v>
      </c>
      <c r="K104" s="243">
        <v>0.28570000000000001</v>
      </c>
      <c r="L104" s="24">
        <v>11</v>
      </c>
      <c r="M104" s="243">
        <v>9.7299999999999998E-2</v>
      </c>
      <c r="P104" s="211">
        <v>32.5</v>
      </c>
      <c r="Q104" s="212">
        <v>8.8000000000000005E-3</v>
      </c>
      <c r="R104" s="212">
        <v>0</v>
      </c>
      <c r="S104" s="212">
        <v>2.7000000000000001E-3</v>
      </c>
      <c r="T104" s="212">
        <v>0</v>
      </c>
      <c r="U104" s="212">
        <v>2.7000000000000001E-3</v>
      </c>
      <c r="V104" s="212">
        <v>2.7000000000000001E-3</v>
      </c>
      <c r="W104" s="276">
        <v>40619</v>
      </c>
      <c r="X104" s="277">
        <v>1320133</v>
      </c>
    </row>
    <row r="105" spans="1:24">
      <c r="A105" s="24" t="s">
        <v>114</v>
      </c>
      <c r="B105" s="24"/>
      <c r="C105" s="243">
        <v>0</v>
      </c>
      <c r="D105" s="24"/>
      <c r="E105" s="243">
        <v>0</v>
      </c>
      <c r="F105" s="24"/>
      <c r="G105" s="243">
        <v>0</v>
      </c>
      <c r="H105" s="24">
        <v>1</v>
      </c>
      <c r="I105" s="243">
        <v>1.5900000000000001E-2</v>
      </c>
      <c r="J105" s="24"/>
      <c r="K105" s="243">
        <v>0</v>
      </c>
      <c r="L105" s="24">
        <v>1</v>
      </c>
      <c r="M105" s="243">
        <v>8.8000000000000005E-3</v>
      </c>
    </row>
    <row r="106" spans="1:24">
      <c r="A106" s="245" t="s">
        <v>108</v>
      </c>
      <c r="B106" s="245">
        <v>6</v>
      </c>
      <c r="C106" s="244">
        <v>1</v>
      </c>
      <c r="D106" s="245">
        <v>14</v>
      </c>
      <c r="E106" s="244">
        <v>1</v>
      </c>
      <c r="F106" s="245">
        <v>16</v>
      </c>
      <c r="G106" s="244">
        <v>1</v>
      </c>
      <c r="H106" s="245">
        <v>63</v>
      </c>
      <c r="I106" s="244">
        <v>1</v>
      </c>
      <c r="J106" s="245">
        <v>14</v>
      </c>
      <c r="K106" s="244">
        <v>1</v>
      </c>
      <c r="L106" s="245">
        <v>113</v>
      </c>
      <c r="M106" s="244">
        <v>1</v>
      </c>
    </row>
    <row r="109" spans="1:24">
      <c r="A109" s="246" t="s">
        <v>258</v>
      </c>
      <c r="B109" s="265"/>
      <c r="D109" s="279" t="s">
        <v>282</v>
      </c>
      <c r="E109" s="280"/>
    </row>
    <row r="110" spans="1:24">
      <c r="A110" s="204" t="s">
        <v>261</v>
      </c>
      <c r="B110" s="205" t="s">
        <v>80</v>
      </c>
      <c r="D110" s="250" t="s">
        <v>262</v>
      </c>
      <c r="E110" s="253" t="s">
        <v>80</v>
      </c>
    </row>
    <row r="111" spans="1:24">
      <c r="A111" s="259" t="s">
        <v>263</v>
      </c>
      <c r="B111" s="283">
        <v>17000000</v>
      </c>
      <c r="D111" s="252" t="s">
        <v>263</v>
      </c>
      <c r="E111" s="268">
        <v>15300000</v>
      </c>
    </row>
    <row r="112" spans="1:24">
      <c r="A112" s="259" t="s">
        <v>124</v>
      </c>
      <c r="B112" s="284">
        <v>0.19600000000000001</v>
      </c>
      <c r="D112" s="252" t="s">
        <v>124</v>
      </c>
      <c r="E112" s="257">
        <v>0.26640000000000003</v>
      </c>
    </row>
    <row r="113" spans="1:24">
      <c r="A113" s="259" t="s">
        <v>67</v>
      </c>
      <c r="B113" s="284">
        <v>5.62E-2</v>
      </c>
      <c r="D113" s="252" t="s">
        <v>67</v>
      </c>
      <c r="E113" s="257">
        <v>8.6199999999999999E-2</v>
      </c>
    </row>
    <row r="114" spans="1:24">
      <c r="A114" s="259" t="s">
        <v>68</v>
      </c>
      <c r="B114" s="260">
        <v>0.14000000000000001</v>
      </c>
      <c r="D114" s="252" t="s">
        <v>68</v>
      </c>
      <c r="E114" s="269">
        <v>0.14000000000000001</v>
      </c>
    </row>
    <row r="115" spans="1:24">
      <c r="A115" s="259" t="s">
        <v>264</v>
      </c>
      <c r="B115" s="283">
        <f>B111*B112*B113*B114</f>
        <v>26216.176000000003</v>
      </c>
      <c r="D115" s="252" t="s">
        <v>264</v>
      </c>
      <c r="E115" s="268">
        <v>49188</v>
      </c>
    </row>
    <row r="116" spans="1:24">
      <c r="A116" s="259" t="s">
        <v>265</v>
      </c>
      <c r="B116" s="883">
        <v>17.5</v>
      </c>
      <c r="D116" s="252" t="s">
        <v>265</v>
      </c>
      <c r="E116" s="882">
        <v>17.5</v>
      </c>
    </row>
    <row r="117" spans="1:24">
      <c r="A117" s="285" t="s">
        <v>266</v>
      </c>
      <c r="B117" s="937">
        <f>B115*B116</f>
        <v>458783.08000000007</v>
      </c>
      <c r="D117" s="264" t="s">
        <v>266</v>
      </c>
      <c r="E117" s="629">
        <v>860794</v>
      </c>
    </row>
    <row r="119" spans="1:24" ht="15.75" customHeight="1"/>
    <row r="120" spans="1:24">
      <c r="A120" s="197" t="s">
        <v>283</v>
      </c>
    </row>
    <row r="122" spans="1:24">
      <c r="A122" s="1" t="s">
        <v>284</v>
      </c>
    </row>
    <row r="123" spans="1:24">
      <c r="A123" s="271"/>
      <c r="B123" s="271" t="s">
        <v>285</v>
      </c>
      <c r="C123" s="271"/>
      <c r="D123" s="271" t="s">
        <v>104</v>
      </c>
      <c r="E123" s="271"/>
      <c r="F123" s="271" t="s">
        <v>105</v>
      </c>
      <c r="G123" s="271"/>
      <c r="H123" s="271" t="s">
        <v>106</v>
      </c>
      <c r="I123" s="271"/>
      <c r="J123" s="271" t="s">
        <v>107</v>
      </c>
      <c r="K123" s="271"/>
      <c r="L123" s="271" t="s">
        <v>155</v>
      </c>
      <c r="M123" s="286"/>
      <c r="P123" s="144" t="s">
        <v>118</v>
      </c>
      <c r="Q123" s="321" t="s">
        <v>119</v>
      </c>
      <c r="R123" s="146" t="s">
        <v>120</v>
      </c>
      <c r="S123" s="146" t="s">
        <v>121</v>
      </c>
      <c r="T123" s="146" t="s">
        <v>122</v>
      </c>
      <c r="U123" s="146" t="s">
        <v>123</v>
      </c>
      <c r="V123" s="146" t="s">
        <v>124</v>
      </c>
      <c r="W123" s="146" t="s">
        <v>125</v>
      </c>
      <c r="X123" s="147" t="s">
        <v>126</v>
      </c>
    </row>
    <row r="124" spans="1:24">
      <c r="A124" s="272" t="s">
        <v>286</v>
      </c>
      <c r="B124" s="272"/>
      <c r="C124" s="272"/>
      <c r="D124" s="272"/>
      <c r="E124" s="272"/>
      <c r="F124" s="272"/>
      <c r="G124" s="272"/>
      <c r="H124" s="272"/>
      <c r="I124" s="272"/>
      <c r="J124" s="272"/>
      <c r="K124" s="272"/>
      <c r="L124" s="271"/>
      <c r="M124" s="271"/>
      <c r="P124" s="207">
        <v>17.5</v>
      </c>
      <c r="Q124" s="208">
        <v>0.26979999999999998</v>
      </c>
      <c r="R124" s="208">
        <v>3.9699999999999999E-2</v>
      </c>
      <c r="S124" s="208">
        <v>8.1000000000000003E-2</v>
      </c>
      <c r="T124" s="208">
        <v>3.1699999999999999E-2</v>
      </c>
      <c r="U124" s="208">
        <v>0.11269999999999999</v>
      </c>
      <c r="V124" s="291">
        <v>0.19370000000000001</v>
      </c>
      <c r="W124" s="274">
        <v>3292063</v>
      </c>
      <c r="X124" s="275">
        <v>57611111</v>
      </c>
    </row>
    <row r="125" spans="1:24">
      <c r="A125" s="24" t="s">
        <v>287</v>
      </c>
      <c r="B125" s="24">
        <v>1</v>
      </c>
      <c r="C125" s="243">
        <v>0.25</v>
      </c>
      <c r="D125" s="24">
        <v>5</v>
      </c>
      <c r="E125" s="243">
        <v>0.16669999999999999</v>
      </c>
      <c r="F125" s="24">
        <v>4</v>
      </c>
      <c r="G125" s="243">
        <v>0.1</v>
      </c>
      <c r="H125" s="24">
        <v>10</v>
      </c>
      <c r="I125" s="243">
        <v>0.15629999999999999</v>
      </c>
      <c r="J125" s="24">
        <v>2</v>
      </c>
      <c r="K125" s="243">
        <v>0.15379999999999999</v>
      </c>
      <c r="L125" s="24">
        <v>22</v>
      </c>
      <c r="M125" s="243">
        <v>0.1457</v>
      </c>
      <c r="P125" s="207">
        <v>22.5</v>
      </c>
      <c r="Q125" s="208">
        <v>7.9399999999999998E-2</v>
      </c>
      <c r="R125" s="208">
        <v>1.5900000000000001E-2</v>
      </c>
      <c r="S125" s="208">
        <v>2.3800000000000002E-2</v>
      </c>
      <c r="T125" s="208">
        <v>1.2699999999999999E-2</v>
      </c>
      <c r="U125" s="208">
        <v>3.6499999999999998E-2</v>
      </c>
      <c r="V125" s="208">
        <v>8.1000000000000003E-2</v>
      </c>
      <c r="W125" s="274">
        <v>1376190</v>
      </c>
      <c r="X125" s="275">
        <v>30964286</v>
      </c>
    </row>
    <row r="126" spans="1:24">
      <c r="A126" s="24" t="s">
        <v>288</v>
      </c>
      <c r="B126" s="24">
        <v>1</v>
      </c>
      <c r="C126" s="243">
        <v>0.25</v>
      </c>
      <c r="D126" s="24">
        <v>5</v>
      </c>
      <c r="E126" s="243">
        <v>0.16669999999999999</v>
      </c>
      <c r="F126" s="24">
        <v>7</v>
      </c>
      <c r="G126" s="243">
        <v>0.17499999999999999</v>
      </c>
      <c r="H126" s="24">
        <v>10</v>
      </c>
      <c r="I126" s="243">
        <v>0.15629999999999999</v>
      </c>
      <c r="J126" s="24">
        <v>4</v>
      </c>
      <c r="K126" s="243">
        <v>0.30769999999999997</v>
      </c>
      <c r="L126" s="24">
        <v>27</v>
      </c>
      <c r="M126" s="243">
        <v>0.17879999999999999</v>
      </c>
      <c r="P126" s="207">
        <v>27.5</v>
      </c>
      <c r="Q126" s="208">
        <v>4.7600000000000003E-2</v>
      </c>
      <c r="R126" s="208">
        <v>3.1699999999999999E-2</v>
      </c>
      <c r="S126" s="208">
        <v>1.43E-2</v>
      </c>
      <c r="T126" s="208">
        <v>2.5399999999999999E-2</v>
      </c>
      <c r="U126" s="208">
        <v>3.9699999999999999E-2</v>
      </c>
      <c r="V126" s="208">
        <v>4.4400000000000002E-2</v>
      </c>
      <c r="W126" s="274">
        <v>755556</v>
      </c>
      <c r="X126" s="275">
        <v>20777778</v>
      </c>
    </row>
    <row r="127" spans="1:24">
      <c r="A127" s="24" t="s">
        <v>289</v>
      </c>
      <c r="B127" s="24"/>
      <c r="C127" s="243">
        <v>0</v>
      </c>
      <c r="D127" s="24"/>
      <c r="E127" s="243">
        <v>0</v>
      </c>
      <c r="F127" s="24">
        <v>1</v>
      </c>
      <c r="G127" s="243">
        <v>2.5000000000000001E-2</v>
      </c>
      <c r="H127" s="24"/>
      <c r="I127" s="243">
        <v>0</v>
      </c>
      <c r="J127" s="24"/>
      <c r="K127" s="243">
        <v>0</v>
      </c>
      <c r="L127" s="24">
        <v>1</v>
      </c>
      <c r="M127" s="243">
        <v>6.6E-3</v>
      </c>
      <c r="P127" s="211">
        <v>32.5</v>
      </c>
      <c r="Q127" s="212">
        <v>1.5900000000000001E-2</v>
      </c>
      <c r="R127" s="212">
        <v>0</v>
      </c>
      <c r="S127" s="212">
        <v>4.7999999999999996E-3</v>
      </c>
      <c r="T127" s="212">
        <v>0</v>
      </c>
      <c r="U127" s="212">
        <v>4.7999999999999996E-3</v>
      </c>
      <c r="V127" s="212">
        <v>4.7999999999999996E-3</v>
      </c>
      <c r="W127" s="276">
        <v>80952</v>
      </c>
      <c r="X127" s="277">
        <v>2630952</v>
      </c>
    </row>
    <row r="128" spans="1:24">
      <c r="A128" s="24" t="s">
        <v>290</v>
      </c>
      <c r="B128" s="24">
        <v>2</v>
      </c>
      <c r="C128" s="243">
        <v>0.5</v>
      </c>
      <c r="D128" s="24">
        <v>20</v>
      </c>
      <c r="E128" s="243">
        <v>0.66669999999999996</v>
      </c>
      <c r="F128" s="24">
        <v>26</v>
      </c>
      <c r="G128" s="243">
        <v>0.65</v>
      </c>
      <c r="H128" s="24">
        <v>42</v>
      </c>
      <c r="I128" s="243">
        <v>0.65629999999999999</v>
      </c>
      <c r="J128" s="24">
        <v>7</v>
      </c>
      <c r="K128" s="243">
        <v>0.53849999999999998</v>
      </c>
      <c r="L128" s="24">
        <v>97</v>
      </c>
      <c r="M128" s="243">
        <v>0.64239999999999997</v>
      </c>
    </row>
    <row r="129" spans="1:13">
      <c r="A129" s="24" t="s">
        <v>291</v>
      </c>
      <c r="B129" s="24"/>
      <c r="C129" s="243">
        <v>0</v>
      </c>
      <c r="D129" s="24"/>
      <c r="E129" s="243">
        <v>0</v>
      </c>
      <c r="F129" s="24"/>
      <c r="G129" s="243">
        <v>0</v>
      </c>
      <c r="H129" s="24">
        <v>1</v>
      </c>
      <c r="I129" s="243">
        <v>1.5599999999999999E-2</v>
      </c>
      <c r="J129" s="24"/>
      <c r="K129" s="243">
        <v>0</v>
      </c>
      <c r="L129" s="24">
        <v>1</v>
      </c>
      <c r="M129" s="243">
        <v>6.6E-3</v>
      </c>
    </row>
    <row r="130" spans="1:13">
      <c r="A130" s="24" t="s">
        <v>226</v>
      </c>
      <c r="B130" s="24"/>
      <c r="C130" s="243">
        <v>0</v>
      </c>
      <c r="D130" s="24"/>
      <c r="E130" s="243">
        <v>0</v>
      </c>
      <c r="F130" s="24">
        <v>2</v>
      </c>
      <c r="G130" s="243">
        <v>0.05</v>
      </c>
      <c r="H130" s="24">
        <v>1</v>
      </c>
      <c r="I130" s="243">
        <v>1.5599999999999999E-2</v>
      </c>
      <c r="J130" s="24"/>
      <c r="K130" s="243">
        <v>0</v>
      </c>
      <c r="L130" s="24">
        <v>3</v>
      </c>
      <c r="M130" s="243">
        <v>1.9900000000000001E-2</v>
      </c>
    </row>
    <row r="131" spans="1:13">
      <c r="A131" s="245" t="s">
        <v>108</v>
      </c>
      <c r="B131" s="245">
        <v>4</v>
      </c>
      <c r="C131" s="244">
        <v>1</v>
      </c>
      <c r="D131" s="245">
        <v>30</v>
      </c>
      <c r="E131" s="244">
        <v>1</v>
      </c>
      <c r="F131" s="245">
        <v>40</v>
      </c>
      <c r="G131" s="244">
        <v>1</v>
      </c>
      <c r="H131" s="245">
        <v>64</v>
      </c>
      <c r="I131" s="244">
        <v>1</v>
      </c>
      <c r="J131" s="245">
        <v>13</v>
      </c>
      <c r="K131" s="244">
        <v>1</v>
      </c>
      <c r="L131" s="245">
        <v>151</v>
      </c>
      <c r="M131" s="244">
        <v>1</v>
      </c>
    </row>
    <row r="134" spans="1:13">
      <c r="A134" s="246" t="s">
        <v>258</v>
      </c>
      <c r="B134" s="265"/>
      <c r="D134" s="247" t="s">
        <v>292</v>
      </c>
      <c r="E134" s="278"/>
    </row>
    <row r="135" spans="1:13">
      <c r="A135" s="204" t="s">
        <v>261</v>
      </c>
      <c r="B135" s="205" t="s">
        <v>80</v>
      </c>
      <c r="D135" s="250" t="s">
        <v>262</v>
      </c>
      <c r="E135" s="253" t="s">
        <v>80</v>
      </c>
    </row>
    <row r="136" spans="1:13">
      <c r="A136" s="259" t="s">
        <v>263</v>
      </c>
      <c r="B136" s="283">
        <v>17000000</v>
      </c>
      <c r="D136" s="252" t="s">
        <v>263</v>
      </c>
      <c r="E136" s="268">
        <v>13600000</v>
      </c>
    </row>
    <row r="137" spans="1:13">
      <c r="A137" s="259" t="s">
        <v>124</v>
      </c>
      <c r="B137" s="284">
        <v>0.19600000000000001</v>
      </c>
      <c r="D137" s="252" t="s">
        <v>124</v>
      </c>
      <c r="E137" s="257">
        <v>0.19370000000000001</v>
      </c>
    </row>
    <row r="138" spans="1:13">
      <c r="A138" s="259" t="s">
        <v>67</v>
      </c>
      <c r="B138" s="284">
        <v>5.62E-2</v>
      </c>
      <c r="D138" s="252" t="s">
        <v>67</v>
      </c>
      <c r="E138" s="257">
        <v>8.6199999999999999E-2</v>
      </c>
    </row>
    <row r="139" spans="1:13">
      <c r="A139" s="259" t="s">
        <v>68</v>
      </c>
      <c r="B139" s="260">
        <v>0.14000000000000001</v>
      </c>
      <c r="D139" s="252" t="s">
        <v>68</v>
      </c>
      <c r="E139" s="257">
        <v>0.14000000000000001</v>
      </c>
    </row>
    <row r="140" spans="1:13">
      <c r="A140" s="259" t="s">
        <v>264</v>
      </c>
      <c r="B140" s="283">
        <f>B136*B137*B138*B139</f>
        <v>26216.176000000003</v>
      </c>
      <c r="D140" s="252" t="s">
        <v>264</v>
      </c>
      <c r="E140" s="268">
        <v>31783</v>
      </c>
    </row>
    <row r="141" spans="1:13">
      <c r="A141" s="259" t="s">
        <v>265</v>
      </c>
      <c r="B141" s="883">
        <v>17.5</v>
      </c>
      <c r="D141" s="252" t="s">
        <v>265</v>
      </c>
      <c r="E141" s="882">
        <v>17.5</v>
      </c>
    </row>
    <row r="142" spans="1:13">
      <c r="A142" s="285" t="s">
        <v>266</v>
      </c>
      <c r="B142" s="937">
        <f>B140*B141</f>
        <v>458783.08000000007</v>
      </c>
      <c r="D142" s="264" t="s">
        <v>266</v>
      </c>
      <c r="E142" s="629">
        <v>556201</v>
      </c>
    </row>
    <row r="145" spans="1:24">
      <c r="A145" s="197" t="s">
        <v>293</v>
      </c>
    </row>
    <row r="147" spans="1:24">
      <c r="A147" s="1" t="s">
        <v>294</v>
      </c>
    </row>
    <row r="148" spans="1:24">
      <c r="A148" s="271"/>
      <c r="B148" s="271" t="s">
        <v>103</v>
      </c>
      <c r="C148" s="271"/>
      <c r="D148" s="271" t="s">
        <v>104</v>
      </c>
      <c r="E148" s="271"/>
      <c r="F148" s="271" t="s">
        <v>105</v>
      </c>
      <c r="G148" s="271"/>
      <c r="H148" s="271" t="s">
        <v>106</v>
      </c>
      <c r="I148" s="271"/>
      <c r="J148" s="271" t="s">
        <v>107</v>
      </c>
      <c r="K148" s="271"/>
      <c r="L148" s="271" t="s">
        <v>148</v>
      </c>
      <c r="M148" s="271" t="s">
        <v>149</v>
      </c>
      <c r="P148" s="287" t="s">
        <v>118</v>
      </c>
      <c r="Q148" s="288" t="s">
        <v>119</v>
      </c>
      <c r="R148" s="288" t="s">
        <v>120</v>
      </c>
      <c r="S148" s="288" t="s">
        <v>121</v>
      </c>
      <c r="T148" s="288" t="s">
        <v>122</v>
      </c>
      <c r="U148" s="288" t="s">
        <v>123</v>
      </c>
      <c r="V148" s="288" t="s">
        <v>124</v>
      </c>
      <c r="W148" s="288" t="s">
        <v>125</v>
      </c>
      <c r="X148" s="289" t="s">
        <v>126</v>
      </c>
    </row>
    <row r="149" spans="1:24">
      <c r="A149" s="272" t="s">
        <v>102</v>
      </c>
      <c r="B149" s="272" t="s">
        <v>150</v>
      </c>
      <c r="C149" s="272" t="s">
        <v>151</v>
      </c>
      <c r="D149" s="272" t="s">
        <v>150</v>
      </c>
      <c r="E149" s="272" t="s">
        <v>151</v>
      </c>
      <c r="F149" s="272" t="s">
        <v>150</v>
      </c>
      <c r="G149" s="272" t="s">
        <v>151</v>
      </c>
      <c r="H149" s="272" t="s">
        <v>150</v>
      </c>
      <c r="I149" s="272" t="s">
        <v>151</v>
      </c>
      <c r="J149" s="272" t="s">
        <v>150</v>
      </c>
      <c r="K149" s="272" t="s">
        <v>151</v>
      </c>
      <c r="L149" s="272"/>
      <c r="M149" s="272"/>
      <c r="P149" s="290">
        <v>17.5</v>
      </c>
      <c r="Q149" s="208">
        <v>0.2913</v>
      </c>
      <c r="R149" s="208">
        <v>8.7400000000000005E-2</v>
      </c>
      <c r="S149" s="208">
        <v>8.7400000000000005E-2</v>
      </c>
      <c r="T149" s="208">
        <v>6.9900000000000004E-2</v>
      </c>
      <c r="U149" s="208">
        <v>0.1573</v>
      </c>
      <c r="V149" s="291">
        <v>0.26700000000000002</v>
      </c>
      <c r="W149" s="274">
        <v>4538835</v>
      </c>
      <c r="X149" s="292">
        <v>79429612</v>
      </c>
    </row>
    <row r="150" spans="1:24">
      <c r="A150" s="24" t="s">
        <v>111</v>
      </c>
      <c r="B150" s="24">
        <v>6</v>
      </c>
      <c r="C150" s="243">
        <v>0.85709999999999997</v>
      </c>
      <c r="D150" s="24">
        <v>13</v>
      </c>
      <c r="E150" s="243">
        <v>0.72219999999999995</v>
      </c>
      <c r="F150" s="24">
        <v>12</v>
      </c>
      <c r="G150" s="243">
        <v>0.92310000000000003</v>
      </c>
      <c r="H150" s="24">
        <v>30</v>
      </c>
      <c r="I150" s="243">
        <v>0.61219999999999997</v>
      </c>
      <c r="J150" s="24">
        <v>9</v>
      </c>
      <c r="K150" s="243">
        <v>0.5625</v>
      </c>
      <c r="L150" s="24">
        <v>70</v>
      </c>
      <c r="M150" s="243">
        <v>0.67959999999999998</v>
      </c>
      <c r="P150" s="290">
        <v>22.5</v>
      </c>
      <c r="Q150" s="208">
        <v>0.12620000000000001</v>
      </c>
      <c r="R150" s="208">
        <v>2.9100000000000001E-2</v>
      </c>
      <c r="S150" s="208">
        <v>3.7900000000000003E-2</v>
      </c>
      <c r="T150" s="208">
        <v>2.3300000000000001E-2</v>
      </c>
      <c r="U150" s="208">
        <v>6.1199999999999997E-2</v>
      </c>
      <c r="V150" s="208">
        <v>0.10970000000000001</v>
      </c>
      <c r="W150" s="274">
        <v>1865049</v>
      </c>
      <c r="X150" s="292">
        <v>41963592</v>
      </c>
    </row>
    <row r="151" spans="1:24">
      <c r="A151" s="24" t="s">
        <v>112</v>
      </c>
      <c r="B151" s="24">
        <v>1</v>
      </c>
      <c r="C151" s="243">
        <v>0.1429</v>
      </c>
      <c r="D151" s="24">
        <v>4</v>
      </c>
      <c r="E151" s="243">
        <v>0.22220000000000001</v>
      </c>
      <c r="F151" s="24"/>
      <c r="G151" s="243">
        <v>0</v>
      </c>
      <c r="H151" s="24">
        <v>13</v>
      </c>
      <c r="I151" s="243">
        <v>0.26529999999999998</v>
      </c>
      <c r="J151" s="24">
        <v>3</v>
      </c>
      <c r="K151" s="243">
        <v>0.1875</v>
      </c>
      <c r="L151" s="24">
        <v>21</v>
      </c>
      <c r="M151" s="243">
        <v>0.2039</v>
      </c>
      <c r="P151" s="290">
        <v>27.5</v>
      </c>
      <c r="Q151" s="208">
        <v>4.8500000000000001E-2</v>
      </c>
      <c r="R151" s="208">
        <v>3.8800000000000001E-2</v>
      </c>
      <c r="S151" s="208">
        <v>1.46E-2</v>
      </c>
      <c r="T151" s="208">
        <v>3.1099999999999999E-2</v>
      </c>
      <c r="U151" s="208">
        <v>4.5600000000000002E-2</v>
      </c>
      <c r="V151" s="208">
        <v>4.8500000000000001E-2</v>
      </c>
      <c r="W151" s="274">
        <v>825243</v>
      </c>
      <c r="X151" s="292">
        <v>22694175</v>
      </c>
    </row>
    <row r="152" spans="1:24">
      <c r="A152" s="24" t="s">
        <v>113</v>
      </c>
      <c r="B152" s="24"/>
      <c r="C152" s="243">
        <v>0</v>
      </c>
      <c r="D152" s="24">
        <v>1</v>
      </c>
      <c r="E152" s="243">
        <v>5.5599999999999997E-2</v>
      </c>
      <c r="F152" s="24">
        <v>1</v>
      </c>
      <c r="G152" s="243">
        <v>7.6899999999999996E-2</v>
      </c>
      <c r="H152" s="24">
        <v>5</v>
      </c>
      <c r="I152" s="243">
        <v>0.10199999999999999</v>
      </c>
      <c r="J152" s="24">
        <v>4</v>
      </c>
      <c r="K152" s="243">
        <v>0.25</v>
      </c>
      <c r="L152" s="24">
        <v>11</v>
      </c>
      <c r="M152" s="243">
        <v>0.10680000000000001</v>
      </c>
      <c r="P152" s="293">
        <v>32.5</v>
      </c>
      <c r="Q152" s="294">
        <v>9.7000000000000003E-3</v>
      </c>
      <c r="R152" s="294">
        <v>0</v>
      </c>
      <c r="S152" s="294">
        <v>2.8999999999999998E-3</v>
      </c>
      <c r="T152" s="294">
        <v>0</v>
      </c>
      <c r="U152" s="294">
        <v>2.8999999999999998E-3</v>
      </c>
      <c r="V152" s="294">
        <v>2.8999999999999998E-3</v>
      </c>
      <c r="W152" s="295">
        <v>49515</v>
      </c>
      <c r="X152" s="296">
        <v>1609223</v>
      </c>
    </row>
    <row r="153" spans="1:24">
      <c r="A153" s="24" t="s">
        <v>114</v>
      </c>
      <c r="B153" s="24"/>
      <c r="C153" s="243">
        <v>0</v>
      </c>
      <c r="D153" s="24"/>
      <c r="E153" s="243">
        <v>0</v>
      </c>
      <c r="F153" s="24"/>
      <c r="G153" s="243">
        <v>0</v>
      </c>
      <c r="H153" s="24">
        <v>1</v>
      </c>
      <c r="I153" s="243">
        <v>2.0400000000000001E-2</v>
      </c>
      <c r="J153" s="24"/>
      <c r="K153" s="243">
        <v>0</v>
      </c>
      <c r="L153" s="24">
        <v>1</v>
      </c>
      <c r="M153" s="243">
        <v>9.7000000000000003E-3</v>
      </c>
    </row>
    <row r="154" spans="1:24">
      <c r="A154" s="245" t="s">
        <v>108</v>
      </c>
      <c r="B154" s="245">
        <v>7</v>
      </c>
      <c r="C154" s="244">
        <v>1</v>
      </c>
      <c r="D154" s="245">
        <v>18</v>
      </c>
      <c r="E154" s="244">
        <v>1</v>
      </c>
      <c r="F154" s="245">
        <v>13</v>
      </c>
      <c r="G154" s="244">
        <v>1</v>
      </c>
      <c r="H154" s="245">
        <v>49</v>
      </c>
      <c r="I154" s="244">
        <v>1</v>
      </c>
      <c r="J154" s="245">
        <v>16</v>
      </c>
      <c r="K154" s="244">
        <v>1</v>
      </c>
      <c r="L154" s="245">
        <v>103</v>
      </c>
      <c r="M154" s="244">
        <v>1</v>
      </c>
    </row>
    <row r="157" spans="1:24">
      <c r="A157" s="246" t="s">
        <v>258</v>
      </c>
      <c r="B157" s="265"/>
      <c r="D157" s="247" t="s">
        <v>295</v>
      </c>
      <c r="E157" s="278"/>
    </row>
    <row r="158" spans="1:24">
      <c r="A158" s="204" t="s">
        <v>261</v>
      </c>
      <c r="B158" s="205" t="s">
        <v>80</v>
      </c>
      <c r="D158" s="250" t="s">
        <v>262</v>
      </c>
      <c r="E158" s="253" t="s">
        <v>80</v>
      </c>
    </row>
    <row r="159" spans="1:24">
      <c r="A159" s="259" t="s">
        <v>263</v>
      </c>
      <c r="B159" s="283">
        <v>17000000</v>
      </c>
      <c r="D159" s="252" t="s">
        <v>263</v>
      </c>
      <c r="E159" s="268">
        <v>13600000</v>
      </c>
    </row>
    <row r="160" spans="1:24">
      <c r="A160" s="259" t="s">
        <v>124</v>
      </c>
      <c r="B160" s="284">
        <v>0.19600000000000001</v>
      </c>
      <c r="D160" s="252" t="s">
        <v>124</v>
      </c>
      <c r="E160" s="257">
        <v>0.26700000000000002</v>
      </c>
    </row>
    <row r="161" spans="1:24">
      <c r="A161" s="259" t="s">
        <v>67</v>
      </c>
      <c r="B161" s="284">
        <v>5.62E-2</v>
      </c>
      <c r="D161" s="252" t="s">
        <v>67</v>
      </c>
      <c r="E161" s="257">
        <v>6.6199999999999995E-2</v>
      </c>
    </row>
    <row r="162" spans="1:24">
      <c r="A162" s="259" t="s">
        <v>68</v>
      </c>
      <c r="B162" s="260">
        <v>0.14000000000000001</v>
      </c>
      <c r="D162" s="252" t="s">
        <v>68</v>
      </c>
      <c r="E162" s="257">
        <v>0.14000000000000001</v>
      </c>
    </row>
    <row r="163" spans="1:24">
      <c r="A163" s="259" t="s">
        <v>264</v>
      </c>
      <c r="B163" s="283">
        <f>B159*B160*B161*B162</f>
        <v>26216.176000000003</v>
      </c>
      <c r="D163" s="252" t="s">
        <v>264</v>
      </c>
      <c r="E163" s="268">
        <v>33654</v>
      </c>
    </row>
    <row r="164" spans="1:24">
      <c r="A164" s="259" t="s">
        <v>265</v>
      </c>
      <c r="B164" s="883">
        <v>17.5</v>
      </c>
      <c r="D164" s="252" t="s">
        <v>265</v>
      </c>
      <c r="E164" s="882">
        <v>17.5</v>
      </c>
    </row>
    <row r="165" spans="1:24">
      <c r="A165" s="285" t="s">
        <v>266</v>
      </c>
      <c r="B165" s="937">
        <f>B163*B164</f>
        <v>458783.08000000007</v>
      </c>
      <c r="D165" s="264" t="s">
        <v>266</v>
      </c>
      <c r="E165" s="629">
        <v>588944</v>
      </c>
    </row>
    <row r="168" spans="1:24">
      <c r="A168" s="197" t="s">
        <v>296</v>
      </c>
    </row>
    <row r="170" spans="1:24">
      <c r="A170" s="1" t="s">
        <v>297</v>
      </c>
    </row>
    <row r="171" spans="1:24">
      <c r="A171" s="271"/>
      <c r="B171" s="271" t="s">
        <v>103</v>
      </c>
      <c r="C171" s="271"/>
      <c r="D171" s="271" t="s">
        <v>104</v>
      </c>
      <c r="E171" s="271"/>
      <c r="F171" s="271" t="s">
        <v>105</v>
      </c>
      <c r="G171" s="271"/>
      <c r="H171" s="271" t="s">
        <v>269</v>
      </c>
      <c r="I171" s="271"/>
      <c r="J171" s="271" t="s">
        <v>107</v>
      </c>
      <c r="K171" s="271"/>
      <c r="L171" s="271" t="s">
        <v>148</v>
      </c>
      <c r="M171" s="271" t="s">
        <v>298</v>
      </c>
      <c r="P171" s="287" t="s">
        <v>118</v>
      </c>
      <c r="Q171" s="288" t="s">
        <v>119</v>
      </c>
      <c r="R171" s="288" t="s">
        <v>120</v>
      </c>
      <c r="S171" s="288" t="s">
        <v>121</v>
      </c>
      <c r="T171" s="288" t="s">
        <v>122</v>
      </c>
      <c r="U171" s="288" t="s">
        <v>123</v>
      </c>
      <c r="V171" s="288" t="s">
        <v>124</v>
      </c>
      <c r="W171" s="288" t="s">
        <v>125</v>
      </c>
      <c r="X171" s="289" t="s">
        <v>126</v>
      </c>
    </row>
    <row r="172" spans="1:24">
      <c r="A172" s="272" t="s">
        <v>102</v>
      </c>
      <c r="B172" s="272" t="s">
        <v>150</v>
      </c>
      <c r="C172" s="272" t="s">
        <v>299</v>
      </c>
      <c r="D172" s="272" t="s">
        <v>150</v>
      </c>
      <c r="E172" s="272" t="s">
        <v>299</v>
      </c>
      <c r="F172" s="272" t="s">
        <v>150</v>
      </c>
      <c r="G172" s="272" t="s">
        <v>299</v>
      </c>
      <c r="H172" s="272" t="s">
        <v>150</v>
      </c>
      <c r="I172" s="272" t="s">
        <v>299</v>
      </c>
      <c r="J172" s="272" t="s">
        <v>150</v>
      </c>
      <c r="K172" s="272" t="s">
        <v>299</v>
      </c>
      <c r="L172" s="272"/>
      <c r="M172" s="272"/>
      <c r="P172" s="290">
        <v>17.5</v>
      </c>
      <c r="Q172" s="208">
        <v>0.32179999999999997</v>
      </c>
      <c r="R172" s="208">
        <v>9.1999999999999998E-2</v>
      </c>
      <c r="S172" s="208">
        <v>9.6600000000000005E-2</v>
      </c>
      <c r="T172" s="208">
        <v>7.3599999999999999E-2</v>
      </c>
      <c r="U172" s="208">
        <v>0.1701</v>
      </c>
      <c r="V172" s="273">
        <v>0.25059999999999999</v>
      </c>
      <c r="W172" s="274">
        <v>3833793</v>
      </c>
      <c r="X172" s="292">
        <v>67091379</v>
      </c>
    </row>
    <row r="173" spans="1:24">
      <c r="A173" s="24" t="s">
        <v>111</v>
      </c>
      <c r="B173" s="24">
        <v>7</v>
      </c>
      <c r="C173" s="243">
        <v>0.875</v>
      </c>
      <c r="D173" s="24">
        <v>10</v>
      </c>
      <c r="E173" s="243">
        <v>0.76919999999999999</v>
      </c>
      <c r="F173" s="24">
        <v>14</v>
      </c>
      <c r="G173" s="243">
        <v>0.93330000000000002</v>
      </c>
      <c r="H173" s="24">
        <v>28</v>
      </c>
      <c r="I173" s="243">
        <v>0.73680000000000001</v>
      </c>
      <c r="J173" s="24">
        <v>8</v>
      </c>
      <c r="K173" s="243">
        <v>0.61539999999999995</v>
      </c>
      <c r="L173" s="24">
        <v>67</v>
      </c>
      <c r="M173" s="243">
        <v>0.77010000000000001</v>
      </c>
      <c r="P173" s="290">
        <v>22.5</v>
      </c>
      <c r="Q173" s="208">
        <v>6.9000000000000006E-2</v>
      </c>
      <c r="R173" s="208">
        <v>2.3E-2</v>
      </c>
      <c r="S173" s="208">
        <v>2.07E-2</v>
      </c>
      <c r="T173" s="208">
        <v>1.84E-2</v>
      </c>
      <c r="U173" s="208">
        <v>3.9100000000000003E-2</v>
      </c>
      <c r="V173" s="208">
        <v>8.0500000000000002E-2</v>
      </c>
      <c r="W173" s="274">
        <v>1231034</v>
      </c>
      <c r="X173" s="292">
        <v>27698276</v>
      </c>
    </row>
    <row r="174" spans="1:24">
      <c r="A174" s="24" t="s">
        <v>112</v>
      </c>
      <c r="B174" s="24">
        <v>1</v>
      </c>
      <c r="C174" s="243">
        <v>0.125</v>
      </c>
      <c r="D174" s="24">
        <v>2</v>
      </c>
      <c r="E174" s="243">
        <v>0.15379999999999999</v>
      </c>
      <c r="F174" s="24"/>
      <c r="G174" s="243">
        <v>0</v>
      </c>
      <c r="H174" s="24">
        <v>6</v>
      </c>
      <c r="I174" s="243">
        <v>0.15790000000000001</v>
      </c>
      <c r="J174" s="24">
        <v>2</v>
      </c>
      <c r="K174" s="243">
        <v>0.15379999999999999</v>
      </c>
      <c r="L174" s="24">
        <v>11</v>
      </c>
      <c r="M174" s="243">
        <v>0.12640000000000001</v>
      </c>
      <c r="P174" s="290">
        <v>27.5</v>
      </c>
      <c r="Q174" s="208">
        <v>3.4500000000000003E-2</v>
      </c>
      <c r="R174" s="208">
        <v>3.4500000000000003E-2</v>
      </c>
      <c r="S174" s="208">
        <v>1.03E-2</v>
      </c>
      <c r="T174" s="208">
        <v>2.76E-2</v>
      </c>
      <c r="U174" s="208">
        <v>3.7900000000000003E-2</v>
      </c>
      <c r="V174" s="208">
        <v>4.1399999999999999E-2</v>
      </c>
      <c r="W174" s="274">
        <v>633103</v>
      </c>
      <c r="X174" s="292">
        <v>17410345</v>
      </c>
    </row>
    <row r="175" spans="1:24">
      <c r="A175" s="24" t="s">
        <v>113</v>
      </c>
      <c r="B175" s="24"/>
      <c r="C175" s="243">
        <v>0</v>
      </c>
      <c r="D175" s="24">
        <v>1</v>
      </c>
      <c r="E175" s="243">
        <v>7.6899999999999996E-2</v>
      </c>
      <c r="F175" s="24">
        <v>1</v>
      </c>
      <c r="G175" s="243">
        <v>6.6699999999999995E-2</v>
      </c>
      <c r="H175" s="24">
        <v>3</v>
      </c>
      <c r="I175" s="243">
        <v>7.8899999999999998E-2</v>
      </c>
      <c r="J175" s="24">
        <v>3</v>
      </c>
      <c r="K175" s="243">
        <v>0.23080000000000001</v>
      </c>
      <c r="L175" s="24">
        <v>8</v>
      </c>
      <c r="M175" s="243">
        <v>9.1999999999999998E-2</v>
      </c>
      <c r="P175" s="293">
        <v>32.5</v>
      </c>
      <c r="Q175" s="294">
        <v>1.15E-2</v>
      </c>
      <c r="R175" s="294">
        <v>0</v>
      </c>
      <c r="S175" s="294">
        <v>3.3999999999999998E-3</v>
      </c>
      <c r="T175" s="294">
        <v>0</v>
      </c>
      <c r="U175" s="294">
        <v>3.3999999999999998E-3</v>
      </c>
      <c r="V175" s="294">
        <v>3.3999999999999998E-3</v>
      </c>
      <c r="W175" s="295">
        <v>52759</v>
      </c>
      <c r="X175" s="296">
        <v>1714655</v>
      </c>
    </row>
    <row r="176" spans="1:24">
      <c r="A176" s="24" t="s">
        <v>114</v>
      </c>
      <c r="B176" s="24"/>
      <c r="C176" s="243">
        <v>0</v>
      </c>
      <c r="D176" s="24"/>
      <c r="E176" s="243">
        <v>0</v>
      </c>
      <c r="F176" s="24"/>
      <c r="G176" s="243">
        <v>0</v>
      </c>
      <c r="H176" s="24">
        <v>1</v>
      </c>
      <c r="I176" s="243">
        <v>2.63E-2</v>
      </c>
      <c r="J176" s="24"/>
      <c r="K176" s="243">
        <v>0</v>
      </c>
      <c r="L176" s="24">
        <v>1</v>
      </c>
      <c r="M176" s="243">
        <v>1.15E-2</v>
      </c>
    </row>
    <row r="177" spans="1:13">
      <c r="A177" s="245" t="s">
        <v>108</v>
      </c>
      <c r="B177" s="245">
        <v>8</v>
      </c>
      <c r="C177" s="244">
        <v>1</v>
      </c>
      <c r="D177" s="245">
        <v>13</v>
      </c>
      <c r="E177" s="244">
        <v>1</v>
      </c>
      <c r="F177" s="245">
        <v>15</v>
      </c>
      <c r="G177" s="244">
        <v>1</v>
      </c>
      <c r="H177" s="245">
        <v>38</v>
      </c>
      <c r="I177" s="244">
        <v>1</v>
      </c>
      <c r="J177" s="245">
        <v>13</v>
      </c>
      <c r="K177" s="244">
        <v>1</v>
      </c>
      <c r="L177" s="245">
        <v>87</v>
      </c>
      <c r="M177" s="244">
        <v>1</v>
      </c>
    </row>
    <row r="180" spans="1:13">
      <c r="A180" s="246" t="s">
        <v>258</v>
      </c>
      <c r="B180" s="265"/>
      <c r="D180" s="279" t="s">
        <v>300</v>
      </c>
      <c r="E180" s="280"/>
    </row>
    <row r="181" spans="1:13">
      <c r="A181" s="204" t="s">
        <v>261</v>
      </c>
      <c r="B181" s="205" t="s">
        <v>80</v>
      </c>
      <c r="D181" s="250" t="s">
        <v>262</v>
      </c>
      <c r="E181" s="253" t="s">
        <v>80</v>
      </c>
    </row>
    <row r="182" spans="1:13">
      <c r="A182" s="259" t="s">
        <v>263</v>
      </c>
      <c r="B182" s="283">
        <v>17000000</v>
      </c>
      <c r="D182" s="252" t="s">
        <v>263</v>
      </c>
      <c r="E182" s="268">
        <v>15300000</v>
      </c>
    </row>
    <row r="183" spans="1:13">
      <c r="A183" s="259" t="s">
        <v>124</v>
      </c>
      <c r="B183" s="284">
        <v>0.19600000000000001</v>
      </c>
      <c r="D183" s="252" t="s">
        <v>124</v>
      </c>
      <c r="E183" s="257">
        <v>0.25059999999999999</v>
      </c>
    </row>
    <row r="184" spans="1:13">
      <c r="A184" s="259" t="s">
        <v>67</v>
      </c>
      <c r="B184" s="284">
        <v>5.62E-2</v>
      </c>
      <c r="D184" s="252" t="s">
        <v>67</v>
      </c>
      <c r="E184" s="257">
        <v>8.6199999999999999E-2</v>
      </c>
    </row>
    <row r="185" spans="1:13">
      <c r="A185" s="259" t="s">
        <v>68</v>
      </c>
      <c r="B185" s="260">
        <v>0.14000000000000001</v>
      </c>
      <c r="D185" s="252" t="s">
        <v>68</v>
      </c>
      <c r="E185" s="257">
        <v>0.14000000000000001</v>
      </c>
    </row>
    <row r="186" spans="1:13">
      <c r="A186" s="259" t="s">
        <v>264</v>
      </c>
      <c r="B186" s="283">
        <f>B182*B183*B184*B185</f>
        <v>26216.176000000003</v>
      </c>
      <c r="D186" s="252" t="s">
        <v>264</v>
      </c>
      <c r="E186" s="268">
        <v>46271</v>
      </c>
    </row>
    <row r="187" spans="1:13">
      <c r="A187" s="259" t="s">
        <v>265</v>
      </c>
      <c r="B187" s="883">
        <v>17.5</v>
      </c>
      <c r="D187" s="252" t="s">
        <v>265</v>
      </c>
      <c r="E187" s="882">
        <v>17.5</v>
      </c>
    </row>
    <row r="188" spans="1:13">
      <c r="A188" s="285" t="s">
        <v>266</v>
      </c>
      <c r="B188" s="937">
        <f>B186*B187</f>
        <v>458783.08000000007</v>
      </c>
      <c r="D188" s="264" t="s">
        <v>266</v>
      </c>
      <c r="E188" s="629">
        <v>809740</v>
      </c>
    </row>
  </sheetData>
  <hyperlinks>
    <hyperlink ref="A1" location="'Index'!A1" display="Back to Index" xr:uid="{D6251E02-460B-4440-8768-7DB0C362FA9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1895A-DF23-4390-BDA8-365E1E5F5D41}">
  <sheetPr>
    <tabColor rgb="FFFFF2CC"/>
  </sheetPr>
  <dimension ref="A1:I155"/>
  <sheetViews>
    <sheetView topLeftCell="A134" workbookViewId="0">
      <selection activeCell="B144" sqref="B144"/>
    </sheetView>
  </sheetViews>
  <sheetFormatPr defaultColWidth="8.875" defaultRowHeight="15.95"/>
  <cols>
    <col min="1" max="1" width="35.875" customWidth="1"/>
    <col min="2" max="2" width="20.375" customWidth="1"/>
    <col min="3" max="3" width="18.875" bestFit="1" customWidth="1"/>
    <col min="5" max="5" width="9.375" bestFit="1" customWidth="1"/>
    <col min="7" max="7" width="31.125" bestFit="1" customWidth="1"/>
    <col min="9" max="9" width="9.375" bestFit="1" customWidth="1"/>
  </cols>
  <sheetData>
    <row r="1" spans="1:7">
      <c r="A1" s="44" t="s">
        <v>41</v>
      </c>
    </row>
    <row r="2" spans="1:7">
      <c r="A2" s="375" t="s">
        <v>5</v>
      </c>
    </row>
    <row r="3" spans="1:7">
      <c r="A3" s="1" t="s">
        <v>301</v>
      </c>
    </row>
    <row r="4" spans="1:7">
      <c r="A4" t="s">
        <v>302</v>
      </c>
      <c r="B4" s="376">
        <v>22500</v>
      </c>
    </row>
    <row r="5" spans="1:7">
      <c r="A5" t="s">
        <v>303</v>
      </c>
      <c r="B5" s="376">
        <v>18000</v>
      </c>
    </row>
    <row r="6" spans="1:7">
      <c r="A6" t="s">
        <v>304</v>
      </c>
      <c r="B6" s="376">
        <v>14000</v>
      </c>
    </row>
    <row r="7" spans="1:7">
      <c r="A7" t="s">
        <v>305</v>
      </c>
      <c r="B7" s="376">
        <v>34220</v>
      </c>
    </row>
    <row r="8" spans="1:7">
      <c r="A8" t="s">
        <v>306</v>
      </c>
      <c r="B8" s="376">
        <v>6850</v>
      </c>
    </row>
    <row r="9" spans="1:7">
      <c r="A9" t="s">
        <v>307</v>
      </c>
      <c r="B9" s="376">
        <v>250</v>
      </c>
    </row>
    <row r="10" spans="1:7">
      <c r="A10" t="s">
        <v>308</v>
      </c>
      <c r="B10" s="377">
        <v>83.333333330000002</v>
      </c>
    </row>
    <row r="11" spans="1:7">
      <c r="A11" t="s">
        <v>309</v>
      </c>
      <c r="B11" s="377">
        <v>133.3333333333</v>
      </c>
    </row>
    <row r="12" spans="1:7">
      <c r="A12" t="s">
        <v>310</v>
      </c>
      <c r="B12" s="376">
        <v>6500</v>
      </c>
    </row>
    <row r="13" spans="1:7">
      <c r="A13" t="s">
        <v>311</v>
      </c>
      <c r="B13" s="376">
        <v>2500</v>
      </c>
    </row>
    <row r="14" spans="1:7">
      <c r="A14" t="s">
        <v>312</v>
      </c>
      <c r="B14" s="376">
        <v>1130</v>
      </c>
    </row>
    <row r="15" spans="1:7">
      <c r="A15" t="s">
        <v>313</v>
      </c>
      <c r="B15" s="131">
        <v>10</v>
      </c>
      <c r="G15" t="e" cm="1">
        <f t="array" ref="G15">(E15*(1+'OM Assumptions'!B$30))+((F15-C15)*'OM Assumptions'!B137(D15*'OM Assumptions'!B$25*'OM Assumptions'!B$27*'OM Assumptions'!B$28))</f>
        <v>#REF!</v>
      </c>
    </row>
    <row r="16" spans="1:7">
      <c r="A16" t="s">
        <v>314</v>
      </c>
      <c r="B16" s="378">
        <v>30000</v>
      </c>
    </row>
    <row r="18" spans="1:9">
      <c r="A18" s="1" t="s">
        <v>315</v>
      </c>
      <c r="B18" s="131"/>
    </row>
    <row r="19" spans="1:9">
      <c r="A19" t="s">
        <v>316</v>
      </c>
      <c r="B19" s="376">
        <v>210000</v>
      </c>
    </row>
    <row r="20" spans="1:9">
      <c r="A20" t="s">
        <v>317</v>
      </c>
      <c r="B20" s="391">
        <v>0.05</v>
      </c>
    </row>
    <row r="21" spans="1:9">
      <c r="B21" s="131"/>
    </row>
    <row r="22" spans="1:9">
      <c r="A22" s="1" t="s">
        <v>318</v>
      </c>
      <c r="B22" s="131"/>
      <c r="C22" s="839" t="s">
        <v>64</v>
      </c>
    </row>
    <row r="23" spans="1:9">
      <c r="A23" t="s">
        <v>319</v>
      </c>
      <c r="B23" s="376">
        <v>10000</v>
      </c>
    </row>
    <row r="24" spans="1:9">
      <c r="A24" t="s">
        <v>320</v>
      </c>
      <c r="B24" s="131">
        <v>60</v>
      </c>
    </row>
    <row r="25" spans="1:9">
      <c r="A25" t="s">
        <v>321</v>
      </c>
      <c r="B25" s="131">
        <v>8</v>
      </c>
    </row>
    <row r="26" spans="1:9">
      <c r="A26" t="s">
        <v>322</v>
      </c>
      <c r="B26" s="131">
        <v>4</v>
      </c>
    </row>
    <row r="27" spans="1:9">
      <c r="A27" t="s">
        <v>323</v>
      </c>
      <c r="B27" s="131">
        <v>5</v>
      </c>
    </row>
    <row r="28" spans="1:9">
      <c r="A28" t="s">
        <v>324</v>
      </c>
      <c r="B28" s="131">
        <v>52</v>
      </c>
    </row>
    <row r="29" spans="1:9">
      <c r="A29" t="s">
        <v>325</v>
      </c>
      <c r="B29" s="131">
        <v>365</v>
      </c>
    </row>
    <row r="30" spans="1:9">
      <c r="A30" t="s">
        <v>326</v>
      </c>
      <c r="B30" s="391">
        <v>0.03</v>
      </c>
    </row>
    <row r="31" spans="1:9">
      <c r="A31" t="s">
        <v>327</v>
      </c>
      <c r="B31" s="392">
        <f>12.75*C31</f>
        <v>12.75</v>
      </c>
      <c r="C31" s="20">
        <f>IF(OR(Simulation_Number=2,Simulation_Number=3),'QM Parameters for Simulation'!F18,1)</f>
        <v>1</v>
      </c>
      <c r="I31" s="19"/>
    </row>
    <row r="32" spans="1:9">
      <c r="A32" t="s">
        <v>328</v>
      </c>
      <c r="B32" s="392">
        <v>13.25</v>
      </c>
    </row>
    <row r="33" spans="1:7">
      <c r="B33" s="131"/>
    </row>
    <row r="34" spans="1:7">
      <c r="A34" s="1" t="s">
        <v>329</v>
      </c>
      <c r="B34" s="131"/>
    </row>
    <row r="35" spans="1:7">
      <c r="A35" t="s">
        <v>330</v>
      </c>
      <c r="B35" s="131">
        <v>4</v>
      </c>
    </row>
    <row r="36" spans="1:7">
      <c r="A36" t="s">
        <v>331</v>
      </c>
      <c r="B36" s="393">
        <f>3/7</f>
        <v>0.42857142857142855</v>
      </c>
    </row>
    <row r="37" spans="1:7">
      <c r="A37" t="s">
        <v>332</v>
      </c>
      <c r="B37" s="391">
        <v>2</v>
      </c>
    </row>
    <row r="38" spans="1:7">
      <c r="A38" t="s">
        <v>333</v>
      </c>
      <c r="B38" s="391">
        <v>0.5</v>
      </c>
    </row>
    <row r="39" spans="1:7">
      <c r="A39" t="s">
        <v>334</v>
      </c>
      <c r="B39" s="391">
        <v>1.2</v>
      </c>
      <c r="G39" s="19"/>
    </row>
    <row r="40" spans="1:7">
      <c r="A40" t="s">
        <v>335</v>
      </c>
      <c r="B40" s="391">
        <v>0.8</v>
      </c>
    </row>
    <row r="41" spans="1:7">
      <c r="A41" t="s">
        <v>336</v>
      </c>
      <c r="B41" s="131">
        <v>4</v>
      </c>
    </row>
    <row r="42" spans="1:7">
      <c r="A42" t="s">
        <v>337</v>
      </c>
      <c r="B42" s="392">
        <f>0.07</f>
        <v>7.0000000000000007E-2</v>
      </c>
      <c r="C42" s="20"/>
    </row>
    <row r="43" spans="1:7">
      <c r="A43" t="s">
        <v>338</v>
      </c>
      <c r="B43" s="131">
        <v>4.25</v>
      </c>
      <c r="C43" s="20"/>
    </row>
    <row r="44" spans="1:7">
      <c r="A44" t="s">
        <v>339</v>
      </c>
      <c r="B44" s="392">
        <v>15</v>
      </c>
      <c r="F44" s="19"/>
    </row>
    <row r="45" spans="1:7">
      <c r="A45" t="s">
        <v>340</v>
      </c>
      <c r="B45" s="391">
        <v>0.3</v>
      </c>
    </row>
    <row r="46" spans="1:7">
      <c r="A46" t="s">
        <v>341</v>
      </c>
      <c r="B46" s="394">
        <v>2</v>
      </c>
    </row>
    <row r="47" spans="1:7">
      <c r="A47" t="s">
        <v>342</v>
      </c>
      <c r="B47" s="392">
        <v>0.23</v>
      </c>
      <c r="C47" s="20"/>
      <c r="E47" s="19"/>
    </row>
    <row r="48" spans="1:7">
      <c r="A48" t="s">
        <v>343</v>
      </c>
      <c r="B48" s="395">
        <f>5%</f>
        <v>0.05</v>
      </c>
    </row>
    <row r="49" spans="1:2">
      <c r="A49" t="s">
        <v>344</v>
      </c>
      <c r="B49" s="395">
        <v>1.4999999999999999E-2</v>
      </c>
    </row>
    <row r="50" spans="1:2">
      <c r="A50" t="s">
        <v>345</v>
      </c>
      <c r="B50" s="396">
        <f>3</f>
        <v>3</v>
      </c>
    </row>
    <row r="51" spans="1:2">
      <c r="A51" t="s">
        <v>346</v>
      </c>
      <c r="B51" s="396">
        <v>1</v>
      </c>
    </row>
    <row r="52" spans="1:2">
      <c r="A52" t="s">
        <v>347</v>
      </c>
      <c r="B52" s="397">
        <v>0.25</v>
      </c>
    </row>
    <row r="53" spans="1:2">
      <c r="A53" t="s">
        <v>348</v>
      </c>
      <c r="B53" s="398">
        <v>1000</v>
      </c>
    </row>
    <row r="54" spans="1:2">
      <c r="B54" s="399"/>
    </row>
    <row r="55" spans="1:2">
      <c r="B55" s="131"/>
    </row>
    <row r="56" spans="1:2">
      <c r="A56" s="1" t="s">
        <v>349</v>
      </c>
      <c r="B56" s="131"/>
    </row>
    <row r="57" spans="1:2">
      <c r="A57" t="s">
        <v>350</v>
      </c>
      <c r="B57" s="391">
        <v>0.1</v>
      </c>
    </row>
    <row r="58" spans="1:2">
      <c r="A58" t="s">
        <v>351</v>
      </c>
      <c r="B58" s="391">
        <v>0.1</v>
      </c>
    </row>
    <row r="59" spans="1:2">
      <c r="A59" t="s">
        <v>352</v>
      </c>
      <c r="B59" s="400">
        <f>4500/35000</f>
        <v>0.12857142857142856</v>
      </c>
    </row>
    <row r="60" spans="1:2">
      <c r="B60" s="131"/>
    </row>
    <row r="62" spans="1:2">
      <c r="B62" s="131"/>
    </row>
    <row r="63" spans="1:2">
      <c r="A63" s="1" t="s">
        <v>353</v>
      </c>
      <c r="B63" s="131"/>
    </row>
    <row r="64" spans="1:2">
      <c r="A64" t="s">
        <v>354</v>
      </c>
      <c r="B64" s="401">
        <v>0.2</v>
      </c>
    </row>
    <row r="65" spans="1:2">
      <c r="A65" t="s">
        <v>355</v>
      </c>
      <c r="B65" s="378">
        <v>20</v>
      </c>
    </row>
    <row r="66" spans="1:2">
      <c r="A66" t="s">
        <v>356</v>
      </c>
      <c r="B66" s="398">
        <v>35000</v>
      </c>
    </row>
    <row r="67" spans="1:2">
      <c r="B67" s="131"/>
    </row>
    <row r="68" spans="1:2">
      <c r="A68" s="1" t="s">
        <v>357</v>
      </c>
      <c r="B68" s="131"/>
    </row>
    <row r="69" spans="1:2">
      <c r="A69" t="s">
        <v>358</v>
      </c>
      <c r="B69" s="378">
        <v>20000</v>
      </c>
    </row>
    <row r="70" spans="1:2">
      <c r="A70" t="s">
        <v>359</v>
      </c>
      <c r="B70" s="378">
        <v>600</v>
      </c>
    </row>
    <row r="71" spans="1:2">
      <c r="A71" t="s">
        <v>360</v>
      </c>
      <c r="B71" s="391">
        <v>0.05</v>
      </c>
    </row>
    <row r="72" spans="1:2">
      <c r="A72" t="s">
        <v>361</v>
      </c>
      <c r="B72" s="378">
        <v>1000</v>
      </c>
    </row>
    <row r="73" spans="1:2">
      <c r="A73" t="s">
        <v>362</v>
      </c>
      <c r="B73" s="378">
        <v>750</v>
      </c>
    </row>
    <row r="74" spans="1:2">
      <c r="A74" t="s">
        <v>363</v>
      </c>
      <c r="B74" s="378">
        <v>1000</v>
      </c>
    </row>
    <row r="75" spans="1:2">
      <c r="A75" t="s">
        <v>364</v>
      </c>
      <c r="B75" s="378">
        <v>400</v>
      </c>
    </row>
    <row r="76" spans="1:2">
      <c r="A76" t="s">
        <v>365</v>
      </c>
      <c r="B76" s="378">
        <v>5000</v>
      </c>
    </row>
    <row r="77" spans="1:2">
      <c r="A77" t="s">
        <v>366</v>
      </c>
      <c r="B77" s="378">
        <v>1000</v>
      </c>
    </row>
    <row r="78" spans="1:2">
      <c r="A78" t="s">
        <v>367</v>
      </c>
      <c r="B78" s="391">
        <v>0.1</v>
      </c>
    </row>
    <row r="79" spans="1:2">
      <c r="A79" t="s">
        <v>368</v>
      </c>
      <c r="B79" s="392">
        <v>500</v>
      </c>
    </row>
    <row r="80" spans="1:2">
      <c r="A80" t="s">
        <v>369</v>
      </c>
      <c r="B80" s="391">
        <v>0.1</v>
      </c>
    </row>
    <row r="81" spans="1:2">
      <c r="A81" t="s">
        <v>370</v>
      </c>
      <c r="B81" s="378">
        <v>1500</v>
      </c>
    </row>
    <row r="82" spans="1:2">
      <c r="A82" t="s">
        <v>371</v>
      </c>
      <c r="B82" s="378">
        <v>1500</v>
      </c>
    </row>
    <row r="83" spans="1:2">
      <c r="A83" t="s">
        <v>372</v>
      </c>
      <c r="B83" s="378">
        <v>5500</v>
      </c>
    </row>
    <row r="84" spans="1:2">
      <c r="A84" t="s">
        <v>373</v>
      </c>
      <c r="B84" s="378">
        <f>100</f>
        <v>100</v>
      </c>
    </row>
    <row r="85" spans="1:2">
      <c r="A85" s="22" t="s">
        <v>374</v>
      </c>
      <c r="B85" s="378">
        <v>50</v>
      </c>
    </row>
    <row r="86" spans="1:2">
      <c r="A86" t="s">
        <v>375</v>
      </c>
      <c r="B86" s="131">
        <v>3</v>
      </c>
    </row>
    <row r="88" spans="1:2">
      <c r="A88" s="1" t="s">
        <v>376</v>
      </c>
      <c r="B88" s="131"/>
    </row>
    <row r="89" spans="1:2">
      <c r="A89" s="51" t="s">
        <v>377</v>
      </c>
      <c r="B89" s="377">
        <v>0.24</v>
      </c>
    </row>
    <row r="90" spans="1:2">
      <c r="A90" s="51" t="s">
        <v>378</v>
      </c>
      <c r="B90" s="377">
        <v>0.04</v>
      </c>
    </row>
    <row r="91" spans="1:2">
      <c r="A91" s="51" t="s">
        <v>379</v>
      </c>
      <c r="B91" s="377">
        <v>0.02</v>
      </c>
    </row>
    <row r="92" spans="1:2">
      <c r="A92" s="51" t="s">
        <v>380</v>
      </c>
      <c r="B92" s="377">
        <v>0.36</v>
      </c>
    </row>
    <row r="93" spans="1:2">
      <c r="A93" s="51" t="s">
        <v>381</v>
      </c>
      <c r="B93" s="377">
        <v>0.1</v>
      </c>
    </row>
    <row r="94" spans="1:2">
      <c r="A94" s="51" t="s">
        <v>382</v>
      </c>
      <c r="B94" s="377">
        <v>0.28000000000000003</v>
      </c>
    </row>
    <row r="95" spans="1:2">
      <c r="A95" t="s">
        <v>383</v>
      </c>
      <c r="B95" s="402">
        <v>2</v>
      </c>
    </row>
    <row r="96" spans="1:2">
      <c r="B96" s="131"/>
    </row>
    <row r="97" spans="1:4">
      <c r="A97" s="1" t="s">
        <v>384</v>
      </c>
    </row>
    <row r="98" spans="1:4">
      <c r="A98" t="s">
        <v>385</v>
      </c>
      <c r="B98" s="22">
        <v>10950</v>
      </c>
    </row>
    <row r="99" spans="1:4">
      <c r="A99" t="s">
        <v>386</v>
      </c>
      <c r="B99" s="22">
        <v>4800</v>
      </c>
    </row>
    <row r="101" spans="1:4">
      <c r="A101" s="680" t="s">
        <v>387</v>
      </c>
      <c r="B101" s="65"/>
      <c r="C101" s="65"/>
      <c r="D101" s="65"/>
    </row>
    <row r="102" spans="1:4">
      <c r="A102" s="65"/>
      <c r="B102" s="680" t="s">
        <v>388</v>
      </c>
      <c r="C102" s="680" t="s">
        <v>389</v>
      </c>
      <c r="D102" s="680"/>
    </row>
    <row r="103" spans="1:4">
      <c r="A103" s="65" t="s">
        <v>390</v>
      </c>
      <c r="B103" s="65" t="s">
        <v>391</v>
      </c>
      <c r="C103" s="65">
        <v>0.5</v>
      </c>
      <c r="D103" s="65"/>
    </row>
    <row r="104" spans="1:4">
      <c r="A104" s="65" t="s">
        <v>392</v>
      </c>
      <c r="B104" s="65" t="s">
        <v>393</v>
      </c>
      <c r="C104" s="65">
        <v>1.1499999999999999</v>
      </c>
      <c r="D104" s="65"/>
    </row>
    <row r="105" spans="1:4">
      <c r="A105" s="65" t="s">
        <v>394</v>
      </c>
      <c r="B105" s="65" t="s">
        <v>395</v>
      </c>
      <c r="C105" s="65">
        <v>1</v>
      </c>
      <c r="D105" s="65"/>
    </row>
    <row r="106" spans="1:4">
      <c r="A106" s="65" t="s">
        <v>396</v>
      </c>
      <c r="B106" s="65" t="s">
        <v>397</v>
      </c>
      <c r="C106" s="65">
        <v>1.25</v>
      </c>
      <c r="D106" s="65"/>
    </row>
    <row r="107" spans="1:4">
      <c r="A107" s="65" t="s">
        <v>398</v>
      </c>
      <c r="B107" s="65" t="s">
        <v>399</v>
      </c>
      <c r="C107" s="65">
        <v>0.25</v>
      </c>
      <c r="D107" s="65"/>
    </row>
    <row r="108" spans="1:4">
      <c r="A108" s="65" t="s">
        <v>400</v>
      </c>
      <c r="B108" s="65" t="s">
        <v>401</v>
      </c>
      <c r="C108" s="65">
        <v>0.25</v>
      </c>
      <c r="D108" s="65"/>
    </row>
    <row r="109" spans="1:4">
      <c r="A109" s="65" t="s">
        <v>402</v>
      </c>
      <c r="B109" s="65" t="s">
        <v>403</v>
      </c>
      <c r="C109" s="65">
        <v>1.25</v>
      </c>
      <c r="D109" s="65"/>
    </row>
    <row r="110" spans="1:4">
      <c r="A110" s="65" t="s">
        <v>404</v>
      </c>
      <c r="B110" s="65" t="s">
        <v>405</v>
      </c>
      <c r="C110" s="65">
        <v>0.57999999999999996</v>
      </c>
      <c r="D110" s="65"/>
    </row>
    <row r="111" spans="1:4">
      <c r="A111" s="65" t="s">
        <v>406</v>
      </c>
      <c r="B111" s="65" t="s">
        <v>407</v>
      </c>
      <c r="C111" s="65">
        <v>0.25</v>
      </c>
      <c r="D111" s="65"/>
    </row>
    <row r="112" spans="1:4">
      <c r="A112" s="65" t="s">
        <v>408</v>
      </c>
      <c r="B112" s="65" t="s">
        <v>409</v>
      </c>
      <c r="C112" s="65">
        <v>1.5</v>
      </c>
      <c r="D112" s="65"/>
    </row>
    <row r="113" spans="1:9">
      <c r="A113" s="65" t="s">
        <v>410</v>
      </c>
      <c r="B113" s="65" t="s">
        <v>411</v>
      </c>
      <c r="C113" s="65">
        <v>0.17</v>
      </c>
      <c r="D113" s="65"/>
    </row>
    <row r="116" spans="1:9">
      <c r="A116" s="375" t="s">
        <v>5</v>
      </c>
    </row>
    <row r="117" spans="1:9">
      <c r="A117" s="1" t="s">
        <v>301</v>
      </c>
    </row>
    <row r="118" spans="1:9">
      <c r="A118" t="s">
        <v>302</v>
      </c>
      <c r="B118" s="376">
        <v>78387.472924187503</v>
      </c>
    </row>
    <row r="119" spans="1:9">
      <c r="A119" t="s">
        <v>303</v>
      </c>
      <c r="B119" s="376">
        <v>84122.190132370495</v>
      </c>
    </row>
    <row r="120" spans="1:9">
      <c r="A120" t="s">
        <v>304</v>
      </c>
      <c r="B120" s="376">
        <v>89856.907340553895</v>
      </c>
    </row>
    <row r="121" spans="1:9">
      <c r="A121" t="s">
        <v>305</v>
      </c>
      <c r="B121" s="376">
        <v>95591.624548735897</v>
      </c>
    </row>
    <row r="122" spans="1:9">
      <c r="A122" t="s">
        <v>306</v>
      </c>
      <c r="B122" s="376">
        <v>101326.34175691901</v>
      </c>
    </row>
    <row r="123" spans="1:9">
      <c r="A123" t="s">
        <v>307</v>
      </c>
      <c r="B123" s="376">
        <v>107061.058965102</v>
      </c>
    </row>
    <row r="124" spans="1:9">
      <c r="A124" t="s">
        <v>308</v>
      </c>
      <c r="B124" s="377">
        <v>112795.776173285</v>
      </c>
    </row>
    <row r="125" spans="1:9">
      <c r="A125" t="s">
        <v>309</v>
      </c>
      <c r="B125" s="377">
        <v>118530.493381468</v>
      </c>
    </row>
    <row r="126" spans="1:9">
      <c r="A126" t="s">
        <v>310</v>
      </c>
      <c r="B126" s="376">
        <v>124265.210589651</v>
      </c>
      <c r="I126" s="19"/>
    </row>
    <row r="127" spans="1:9">
      <c r="A127" t="s">
        <v>311</v>
      </c>
      <c r="B127" s="376">
        <v>129999.927797834</v>
      </c>
    </row>
    <row r="128" spans="1:9">
      <c r="A128" t="s">
        <v>312</v>
      </c>
      <c r="B128" s="376">
        <v>135734.645006017</v>
      </c>
    </row>
    <row r="129" spans="1:3">
      <c r="A129" t="s">
        <v>313</v>
      </c>
      <c r="B129" s="131">
        <v>141469.36221419999</v>
      </c>
    </row>
    <row r="130" spans="1:3">
      <c r="A130" t="s">
        <v>314</v>
      </c>
      <c r="B130" s="378">
        <v>147204.07942238299</v>
      </c>
    </row>
    <row r="131" spans="1:3">
      <c r="B131">
        <v>152938.79663056601</v>
      </c>
    </row>
    <row r="132" spans="1:3">
      <c r="A132" s="1" t="s">
        <v>315</v>
      </c>
      <c r="B132" s="131">
        <v>158673.513838749</v>
      </c>
    </row>
    <row r="133" spans="1:3">
      <c r="A133" t="s">
        <v>412</v>
      </c>
      <c r="B133" s="376">
        <v>164408.23104693199</v>
      </c>
    </row>
    <row r="134" spans="1:3">
      <c r="A134" t="s">
        <v>317</v>
      </c>
      <c r="B134" s="391">
        <v>1.05</v>
      </c>
    </row>
    <row r="135" spans="1:3">
      <c r="B135" s="131"/>
    </row>
    <row r="136" spans="1:3">
      <c r="A136" s="1" t="s">
        <v>318</v>
      </c>
      <c r="B136" s="131"/>
      <c r="C136" s="839" t="s">
        <v>64</v>
      </c>
    </row>
    <row r="137" spans="1:3">
      <c r="A137" t="s">
        <v>319</v>
      </c>
      <c r="B137" s="376">
        <v>-2632.8571428571399</v>
      </c>
    </row>
    <row r="138" spans="1:3">
      <c r="A138" t="s">
        <v>320</v>
      </c>
      <c r="B138" s="131">
        <v>-3665.8571428571399</v>
      </c>
    </row>
    <row r="139" spans="1:3">
      <c r="A139" t="s">
        <v>321</v>
      </c>
      <c r="B139" s="131">
        <v>-4698.8571428571404</v>
      </c>
    </row>
    <row r="140" spans="1:3">
      <c r="A140" t="s">
        <v>322</v>
      </c>
      <c r="B140" s="131">
        <v>-5731.8571428571404</v>
      </c>
    </row>
    <row r="141" spans="1:3">
      <c r="A141" t="s">
        <v>323</v>
      </c>
      <c r="B141" s="131">
        <v>-6764.8571428571404</v>
      </c>
    </row>
    <row r="142" spans="1:3">
      <c r="A142" t="s">
        <v>324</v>
      </c>
      <c r="B142" s="131">
        <v>-7797.8571428571404</v>
      </c>
    </row>
    <row r="143" spans="1:3">
      <c r="A143" t="s">
        <v>325</v>
      </c>
      <c r="B143" s="131">
        <v>-8830.8571428571395</v>
      </c>
    </row>
    <row r="144" spans="1:3">
      <c r="A144" t="s">
        <v>326</v>
      </c>
      <c r="B144" s="391">
        <v>1.03</v>
      </c>
    </row>
    <row r="145" spans="1:7">
      <c r="A145" t="s">
        <v>327</v>
      </c>
      <c r="B145" s="392">
        <f>12.75*C145</f>
        <v>12.75</v>
      </c>
      <c r="C145" s="20">
        <f>IF(OR(Simulation_Number=2,Simulation_Number=3),'QM Parameters for Simulation'!F113,1)</f>
        <v>1</v>
      </c>
    </row>
    <row r="146" spans="1:7">
      <c r="A146" t="s">
        <v>328</v>
      </c>
      <c r="B146" s="392">
        <v>-5.25</v>
      </c>
    </row>
    <row r="147" spans="1:7">
      <c r="B147" s="131"/>
    </row>
    <row r="148" spans="1:7">
      <c r="A148" s="1" t="s">
        <v>329</v>
      </c>
      <c r="B148" s="131"/>
    </row>
    <row r="149" spans="1:7">
      <c r="A149" t="s">
        <v>330</v>
      </c>
      <c r="B149" s="131">
        <v>-14.5</v>
      </c>
    </row>
    <row r="150" spans="1:7">
      <c r="A150" t="s">
        <v>331</v>
      </c>
      <c r="B150" s="393">
        <f>3/7</f>
        <v>0.42857142857142855</v>
      </c>
    </row>
    <row r="151" spans="1:7">
      <c r="A151" t="s">
        <v>332</v>
      </c>
      <c r="B151" s="391">
        <v>2.99</v>
      </c>
    </row>
    <row r="152" spans="1:7">
      <c r="A152" t="s">
        <v>333</v>
      </c>
      <c r="B152" s="391">
        <v>3.42</v>
      </c>
    </row>
    <row r="153" spans="1:7">
      <c r="A153" t="s">
        <v>334</v>
      </c>
      <c r="B153" s="391">
        <v>3.85</v>
      </c>
      <c r="G153" s="19"/>
    </row>
    <row r="154" spans="1:7">
      <c r="A154" t="s">
        <v>335</v>
      </c>
      <c r="B154" s="391">
        <v>4.28</v>
      </c>
    </row>
    <row r="155" spans="1:7">
      <c r="A155" t="s">
        <v>336</v>
      </c>
      <c r="B155" s="131">
        <v>4.71</v>
      </c>
    </row>
  </sheetData>
  <hyperlinks>
    <hyperlink ref="A1" location="'Index'!A1" display="Back to Index" xr:uid="{3F02BAB0-F1A9-484A-8852-349DF722389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A9076-797E-47D6-B326-28ABA4134F35}">
  <sheetPr>
    <tabColor rgb="FFFFF2CC"/>
  </sheetPr>
  <dimension ref="A1:H24"/>
  <sheetViews>
    <sheetView workbookViewId="0">
      <selection activeCell="G7" sqref="G7"/>
    </sheetView>
  </sheetViews>
  <sheetFormatPr defaultColWidth="8.875" defaultRowHeight="15.95"/>
  <cols>
    <col min="1" max="1" width="35.125" bestFit="1" customWidth="1"/>
    <col min="2" max="2" width="7.875" bestFit="1" customWidth="1"/>
    <col min="3" max="3" width="17.625" bestFit="1" customWidth="1"/>
    <col min="4" max="4" width="8.125" bestFit="1" customWidth="1"/>
    <col min="5" max="5" width="7" bestFit="1" customWidth="1"/>
    <col min="6" max="6" width="17.375" bestFit="1" customWidth="1"/>
    <col min="7" max="7" width="40.5" bestFit="1" customWidth="1"/>
    <col min="8" max="8" width="24.625" bestFit="1" customWidth="1"/>
  </cols>
  <sheetData>
    <row r="1" spans="1:8">
      <c r="A1" s="44" t="s">
        <v>41</v>
      </c>
    </row>
    <row r="2" spans="1:8">
      <c r="A2" s="680" t="s">
        <v>413</v>
      </c>
    </row>
    <row r="3" spans="1:8">
      <c r="B3" s="45" t="s">
        <v>414</v>
      </c>
      <c r="C3" s="46" t="s">
        <v>415</v>
      </c>
      <c r="D3" s="47" t="s">
        <v>125</v>
      </c>
      <c r="E3" s="48" t="s">
        <v>416</v>
      </c>
      <c r="F3" s="49" t="s">
        <v>417</v>
      </c>
    </row>
    <row r="4" spans="1:8">
      <c r="B4" s="50">
        <v>1</v>
      </c>
      <c r="C4" s="51" t="s">
        <v>377</v>
      </c>
      <c r="D4" s="52">
        <v>1</v>
      </c>
      <c r="E4" s="53">
        <f>'OM Assumptions'!B89</f>
        <v>0.24</v>
      </c>
      <c r="F4" s="52" t="s">
        <v>418</v>
      </c>
      <c r="G4" t="s">
        <v>419</v>
      </c>
    </row>
    <row r="5" spans="1:8">
      <c r="A5" t="s">
        <v>420</v>
      </c>
      <c r="B5" s="50">
        <v>1</v>
      </c>
      <c r="C5" s="51" t="s">
        <v>378</v>
      </c>
      <c r="D5" s="52">
        <v>1</v>
      </c>
      <c r="E5" s="53">
        <f>'OM Assumptions'!B90</f>
        <v>0.04</v>
      </c>
      <c r="F5" s="52" t="s">
        <v>418</v>
      </c>
      <c r="G5" t="s">
        <v>421</v>
      </c>
      <c r="H5" t="s">
        <v>422</v>
      </c>
    </row>
    <row r="6" spans="1:8">
      <c r="B6" s="50">
        <v>2</v>
      </c>
      <c r="C6" s="51" t="s">
        <v>379</v>
      </c>
      <c r="D6" s="52">
        <v>1</v>
      </c>
      <c r="E6" s="53">
        <f>'OM Assumptions'!B91</f>
        <v>0.02</v>
      </c>
      <c r="F6" s="52" t="s">
        <v>418</v>
      </c>
      <c r="G6" t="s">
        <v>421</v>
      </c>
    </row>
    <row r="7" spans="1:8">
      <c r="A7" t="s">
        <v>423</v>
      </c>
      <c r="B7" s="50">
        <v>2</v>
      </c>
      <c r="C7" s="51" t="s">
        <v>380</v>
      </c>
      <c r="D7" s="52">
        <v>1</v>
      </c>
      <c r="E7" s="53">
        <f>'OM Assumptions'!B92</f>
        <v>0.36</v>
      </c>
      <c r="F7" s="52" t="s">
        <v>424</v>
      </c>
      <c r="H7" s="44"/>
    </row>
    <row r="8" spans="1:8">
      <c r="B8" s="50">
        <v>3</v>
      </c>
      <c r="C8" s="51" t="s">
        <v>381</v>
      </c>
      <c r="D8" s="52">
        <v>1</v>
      </c>
      <c r="E8" s="53">
        <f>'OM Assumptions'!B93</f>
        <v>0.1</v>
      </c>
      <c r="F8" s="52" t="s">
        <v>424</v>
      </c>
      <c r="G8" t="s">
        <v>425</v>
      </c>
    </row>
    <row r="9" spans="1:8">
      <c r="B9" s="50">
        <v>2</v>
      </c>
      <c r="C9" s="51" t="s">
        <v>382</v>
      </c>
      <c r="D9" s="52">
        <v>1</v>
      </c>
      <c r="E9" s="53">
        <f>'OM Assumptions'!B94</f>
        <v>0.28000000000000003</v>
      </c>
      <c r="F9" s="52" t="s">
        <v>424</v>
      </c>
      <c r="G9" t="s">
        <v>426</v>
      </c>
    </row>
    <row r="10" spans="1:8">
      <c r="B10" s="50"/>
      <c r="C10" s="51"/>
      <c r="D10" s="52"/>
      <c r="F10" s="52"/>
    </row>
    <row r="11" spans="1:8">
      <c r="B11" s="50"/>
      <c r="C11" s="51"/>
      <c r="D11" s="52"/>
      <c r="F11" s="52"/>
    </row>
    <row r="12" spans="1:8">
      <c r="B12" s="50"/>
      <c r="C12" s="51"/>
      <c r="D12" s="52"/>
      <c r="F12" s="52"/>
      <c r="G12" t="s">
        <v>427</v>
      </c>
    </row>
    <row r="13" spans="1:8">
      <c r="B13" s="50"/>
      <c r="C13" s="51"/>
      <c r="D13" s="52"/>
      <c r="F13" s="52"/>
    </row>
    <row r="14" spans="1:8">
      <c r="B14" s="50"/>
      <c r="C14" s="51"/>
      <c r="D14" s="52"/>
      <c r="F14" s="52"/>
    </row>
    <row r="15" spans="1:8">
      <c r="B15" s="50"/>
      <c r="C15" s="51"/>
      <c r="D15" s="52"/>
      <c r="F15" s="52"/>
    </row>
    <row r="16" spans="1:8">
      <c r="B16" s="50"/>
      <c r="C16" s="51"/>
      <c r="D16" s="52"/>
      <c r="F16" s="52"/>
    </row>
    <row r="17" spans="2:7">
      <c r="B17" s="50"/>
      <c r="C17" s="51"/>
      <c r="D17" s="52"/>
      <c r="F17" s="52"/>
    </row>
    <row r="18" spans="2:7">
      <c r="B18" s="50"/>
      <c r="C18" s="51"/>
      <c r="D18" s="52"/>
      <c r="F18" s="52"/>
    </row>
    <row r="19" spans="2:7">
      <c r="B19" s="50"/>
      <c r="C19" s="51"/>
      <c r="D19" s="52"/>
      <c r="F19" s="52"/>
    </row>
    <row r="20" spans="2:7">
      <c r="B20" s="50"/>
      <c r="C20" s="51"/>
      <c r="D20" s="52"/>
      <c r="F20" s="52"/>
    </row>
    <row r="21" spans="2:7">
      <c r="B21" s="50"/>
      <c r="C21" s="51"/>
      <c r="D21" s="52"/>
      <c r="F21" s="52"/>
    </row>
    <row r="22" spans="2:7">
      <c r="B22" s="50"/>
      <c r="C22" s="51"/>
      <c r="D22" s="52"/>
      <c r="F22" s="52"/>
    </row>
    <row r="23" spans="2:7">
      <c r="B23" s="54" t="s">
        <v>428</v>
      </c>
      <c r="C23" s="55"/>
      <c r="D23" s="56">
        <f>SUM(D4:D22)</f>
        <v>6</v>
      </c>
      <c r="E23" s="57">
        <f>SUM(E4:E22)</f>
        <v>1.04</v>
      </c>
      <c r="F23" s="56"/>
      <c r="G23" s="58" t="s">
        <v>429</v>
      </c>
    </row>
    <row r="24" spans="2:7">
      <c r="B24" s="59" t="s">
        <v>430</v>
      </c>
      <c r="C24" s="60"/>
      <c r="D24" s="61">
        <f>D23*2</f>
        <v>12</v>
      </c>
      <c r="E24" s="62">
        <f>E23*2</f>
        <v>2.08</v>
      </c>
      <c r="F24" s="63"/>
    </row>
  </sheetData>
  <hyperlinks>
    <hyperlink ref="A1" location="'Index'!A1" display="Back to Index" xr:uid="{5CFE10CF-E023-44BF-8824-3787514B291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F62D8-3BF2-48E3-A402-C78507BAD28A}">
  <sheetPr>
    <tabColor rgb="FFFFF2CC"/>
  </sheetPr>
  <dimension ref="A1:K51"/>
  <sheetViews>
    <sheetView topLeftCell="A19" workbookViewId="0">
      <selection activeCell="C19" sqref="C19"/>
    </sheetView>
  </sheetViews>
  <sheetFormatPr defaultColWidth="8.875" defaultRowHeight="15.95"/>
  <cols>
    <col min="1" max="1" width="36.625" customWidth="1"/>
    <col min="2" max="2" width="36.875" customWidth="1"/>
    <col min="3" max="3" width="10.375" customWidth="1"/>
    <col min="4" max="4" width="12.875" customWidth="1"/>
    <col min="5" max="5" width="12.625" customWidth="1"/>
    <col min="6" max="6" width="13.375" customWidth="1"/>
    <col min="7" max="8" width="14.125" customWidth="1"/>
    <col min="9" max="9" width="19.625" customWidth="1"/>
    <col min="10" max="10" width="13.875" customWidth="1"/>
    <col min="11" max="11" width="14.125" customWidth="1"/>
  </cols>
  <sheetData>
    <row r="1" spans="1:11">
      <c r="A1" s="44" t="s">
        <v>41</v>
      </c>
    </row>
    <row r="2" spans="1:11">
      <c r="A2" s="680" t="s">
        <v>431</v>
      </c>
    </row>
    <row r="3" spans="1:11">
      <c r="A3" s="379" t="s">
        <v>432</v>
      </c>
      <c r="B3" s="380" t="s">
        <v>84</v>
      </c>
      <c r="C3" s="385" t="s">
        <v>433</v>
      </c>
      <c r="D3" s="385" t="s">
        <v>434</v>
      </c>
      <c r="E3" s="385" t="s">
        <v>435</v>
      </c>
      <c r="F3" s="404" t="s">
        <v>436</v>
      </c>
      <c r="G3" s="379" t="s">
        <v>437</v>
      </c>
      <c r="H3" s="380" t="s">
        <v>438</v>
      </c>
      <c r="I3" s="380" t="s">
        <v>439</v>
      </c>
      <c r="J3" s="380" t="s">
        <v>440</v>
      </c>
      <c r="K3" s="381" t="s">
        <v>441</v>
      </c>
    </row>
    <row r="4" spans="1:11">
      <c r="A4" s="106" t="s">
        <v>302</v>
      </c>
      <c r="B4" s="141">
        <v>1</v>
      </c>
      <c r="C4" s="93">
        <f>'OM Assumptions'!$B$15</f>
        <v>10</v>
      </c>
      <c r="D4" s="94">
        <f>F4/(SUM('OM Inventory Y1-Y5'!$Q$9,'OM Inventory Y1-Y5'!$S$9,'OM Inventory Y1-Y5'!$T$9,'OM Inventory Y1-Y5'!$V$9,'OM Inventory Y1-Y5'!$X$9))</f>
        <v>6.27299782473027</v>
      </c>
      <c r="E4" s="386">
        <v>1200</v>
      </c>
      <c r="F4" s="412">
        <f>('OM Assumptions'!B4+'OM Capital Expenditures Y1-Y5'!E4)*'OM Capital Expenditures Y1-Y5'!B4</f>
        <v>23700</v>
      </c>
      <c r="G4" s="94">
        <f>$F4/'MK Bases Model (Base Case)'!B$13</f>
        <v>0.23673913241520894</v>
      </c>
      <c r="H4" s="94">
        <f>$F4/'MK Bases Model (Base Case)'!C$13</f>
        <v>0.11509865620607153</v>
      </c>
      <c r="I4" s="94">
        <f>$F4/'MK Bases Model (Base Case)'!D$13</f>
        <v>8.5609644221347939E-2</v>
      </c>
      <c r="J4" s="94">
        <f>$F4/'MK Bases Model (Base Case)'!E$13</f>
        <v>6.7098743466564373E-2</v>
      </c>
      <c r="K4" s="108">
        <f>$F4/'MK Bases Model (Base Case)'!F$13</f>
        <v>5.4333944271976124E-2</v>
      </c>
    </row>
    <row r="5" spans="1:11">
      <c r="A5" s="107" t="s">
        <v>303</v>
      </c>
      <c r="B5" s="142">
        <v>1</v>
      </c>
      <c r="C5" s="93">
        <f>'OM Assumptions'!$B$15</f>
        <v>10</v>
      </c>
      <c r="D5" s="94">
        <f>F5/(SUM('OM Inventory Y1-Y5'!$Q$9,'OM Inventory Y1-Y5'!$S$9,'OM Inventory Y1-Y5'!$T$9,'OM Inventory Y1-Y5'!$V$9,'OM Inventory Y1-Y5'!$X$9))</f>
        <v>5.0819222883890793</v>
      </c>
      <c r="E5" s="386">
        <v>1200</v>
      </c>
      <c r="F5" s="412">
        <f>('OM Assumptions'!B5+'OM Capital Expenditures Y1-Y5'!E5)*'OM Capital Expenditures Y1-Y5'!B5</f>
        <v>19200</v>
      </c>
      <c r="G5" s="94">
        <f>$F5/'MK Bases Model (Base Case)'!B$13</f>
        <v>0.19178866423510599</v>
      </c>
      <c r="H5" s="94">
        <f>$F5/'MK Bases Model (Base Case)'!C$13</f>
        <v>9.324448097707061E-2</v>
      </c>
      <c r="I5" s="94">
        <f>$F5/'MK Bases Model (Base Case)'!D$13</f>
        <v>6.9354648483117315E-2</v>
      </c>
      <c r="J5" s="94">
        <f>$F5/'MK Bases Model (Base Case)'!E$13</f>
        <v>5.4358475719748355E-2</v>
      </c>
      <c r="K5" s="108">
        <f>$F5/'MK Bases Model (Base Case)'!F$13</f>
        <v>4.4017372574765463E-2</v>
      </c>
    </row>
    <row r="6" spans="1:11">
      <c r="A6" s="107" t="s">
        <v>304</v>
      </c>
      <c r="B6" s="142">
        <v>1</v>
      </c>
      <c r="C6" s="93">
        <f>'OM Assumptions'!$B$15</f>
        <v>10</v>
      </c>
      <c r="D6" s="94">
        <f>F6/(SUM('OM Inventory Y1-Y5'!$Q$9,'OM Inventory Y1-Y5'!$S$9,'OM Inventory Y1-Y5'!$T$9,'OM Inventory Y1-Y5'!$V$9,'OM Inventory Y1-Y5'!$X$9))</f>
        <v>4.023188478308021</v>
      </c>
      <c r="E6" s="386">
        <v>1200</v>
      </c>
      <c r="F6" s="412">
        <f>('OM Assumptions'!B6+'OM Capital Expenditures Y1-Y5'!E6)*'OM Capital Expenditures Y1-Y5'!B6</f>
        <v>15200</v>
      </c>
      <c r="G6" s="94">
        <f>$F6/'MK Bases Model (Base Case)'!B$13</f>
        <v>0.15183269251945891</v>
      </c>
      <c r="H6" s="94">
        <f>$F6/'MK Bases Model (Base Case)'!C$13</f>
        <v>7.3818547440180904E-2</v>
      </c>
      <c r="I6" s="94">
        <f>$F6/'MK Bases Model (Base Case)'!D$13</f>
        <v>5.4905763382467873E-2</v>
      </c>
      <c r="J6" s="94">
        <f>$F6/'MK Bases Model (Base Case)'!E$13</f>
        <v>4.3033793278134114E-2</v>
      </c>
      <c r="K6" s="108">
        <f>$F6/'MK Bases Model (Base Case)'!F$13</f>
        <v>3.4847086621689324E-2</v>
      </c>
    </row>
    <row r="7" spans="1:11">
      <c r="A7" s="107" t="s">
        <v>305</v>
      </c>
      <c r="B7" s="142">
        <v>1</v>
      </c>
      <c r="C7" s="93">
        <f>'OM Assumptions'!$B$15</f>
        <v>10</v>
      </c>
      <c r="D7" s="94">
        <f>F7/(SUM('OM Inventory Y1-Y5'!$Q$9,'OM Inventory Y1-Y5'!$S$9,'OM Inventory Y1-Y5'!$T$9,'OM Inventory Y1-Y5'!$V$9,'OM Inventory Y1-Y5'!$X$9))</f>
        <v>9.3750878882677711</v>
      </c>
      <c r="E7" s="386">
        <v>1200</v>
      </c>
      <c r="F7" s="412">
        <f>('OM Assumptions'!B7+'OM Capital Expenditures Y1-Y5'!E7)*'OM Capital Expenditures Y1-Y5'!B7</f>
        <v>35420</v>
      </c>
      <c r="G7" s="94">
        <f>$F7/'MK Bases Model (Base Case)'!B$13</f>
        <v>0.35381012954205487</v>
      </c>
      <c r="H7" s="94">
        <f>$F7/'MK Bases Model (Base Case)'!C$13</f>
        <v>0.17201664146915838</v>
      </c>
      <c r="I7" s="94">
        <f>$F7/'MK Bases Model (Base Case)'!D$13</f>
        <v>0.12794487756625081</v>
      </c>
      <c r="J7" s="94">
        <f>$F7/'MK Bases Model (Base Case)'!E$13</f>
        <v>0.1002800630204941</v>
      </c>
      <c r="K7" s="108">
        <f>$F7/'MK Bases Model (Base Case)'!F$13</f>
        <v>8.1202882114489214E-2</v>
      </c>
    </row>
    <row r="8" spans="1:11">
      <c r="A8" s="107" t="s">
        <v>306</v>
      </c>
      <c r="B8" s="142">
        <v>1</v>
      </c>
      <c r="C8" s="93">
        <f>'OM Assumptions'!$B$15</f>
        <v>10</v>
      </c>
      <c r="D8" s="94">
        <f>F8/(SUM('OM Inventory Y1-Y5'!$Q$9,'OM Inventory Y1-Y5'!$S$9,'OM Inventory Y1-Y5'!$T$9,'OM Inventory Y1-Y5'!$V$9,'OM Inventory Y1-Y5'!$X$9))</f>
        <v>2.1307017927881295</v>
      </c>
      <c r="E8" s="386">
        <v>1200</v>
      </c>
      <c r="F8" s="412">
        <f>('OM Assumptions'!B8+'OM Capital Expenditures Y1-Y5'!E8)*'OM Capital Expenditures Y1-Y5'!B8</f>
        <v>8050</v>
      </c>
      <c r="G8" s="94">
        <f>$F8/'MK Bases Model (Base Case)'!B$13</f>
        <v>8.0411393077739743E-2</v>
      </c>
      <c r="H8" s="94">
        <f>$F8/'MK Bases Model (Base Case)'!C$13</f>
        <v>3.9094691242990538E-2</v>
      </c>
      <c r="I8" s="94">
        <f>$F8/'MK Bases Model (Base Case)'!D$13</f>
        <v>2.9078381265056998E-2</v>
      </c>
      <c r="J8" s="94">
        <f>$F8/'MK Bases Model (Base Case)'!E$13</f>
        <v>2.2790923413748658E-2</v>
      </c>
      <c r="K8" s="108">
        <f>$F8/'MK Bases Model (Base Case)'!F$13</f>
        <v>1.8455200480565728E-2</v>
      </c>
    </row>
    <row r="9" spans="1:11">
      <c r="A9" s="107" t="s">
        <v>442</v>
      </c>
      <c r="B9" s="142">
        <v>1</v>
      </c>
      <c r="C9" s="93">
        <f>'OM Assumptions'!$B$15</f>
        <v>10</v>
      </c>
      <c r="D9" s="94">
        <f>F9/(SUM('OM Inventory Y1-Y5'!$Q$9,'OM Inventory Y1-Y5'!$S$9,'OM Inventory Y1-Y5'!$T$9,'OM Inventory Y1-Y5'!$V$9,'OM Inventory Y1-Y5'!$X$9))</f>
        <v>9.2639208382092594E-2</v>
      </c>
      <c r="E9" s="387">
        <v>100</v>
      </c>
      <c r="F9" s="412">
        <f>('OM Assumptions'!B9+'OM Capital Expenditures Y1-Y5'!E9)*'OM Capital Expenditures Y1-Y5'!B9</f>
        <v>350</v>
      </c>
      <c r="G9" s="94">
        <f>$F9/'MK Bases Model (Base Case)'!B$13</f>
        <v>3.4961475251191194E-3</v>
      </c>
      <c r="H9" s="94">
        <f>$F9/'MK Bases Model (Base Case)'!C$13</f>
        <v>1.6997691844778495E-3</v>
      </c>
      <c r="I9" s="94">
        <f>$F9/'MK Bases Model (Base Case)'!D$13</f>
        <v>1.264277446306826E-3</v>
      </c>
      <c r="J9" s="94">
        <f>$F9/'MK Bases Model (Base Case)'!E$13</f>
        <v>9.9090971364124603E-4</v>
      </c>
      <c r="K9" s="108">
        <f>$F9/'MK Bases Model (Base Case)'!F$13</f>
        <v>8.0240002089416215E-4</v>
      </c>
    </row>
    <row r="10" spans="1:11">
      <c r="A10" s="107" t="s">
        <v>308</v>
      </c>
      <c r="B10" s="142">
        <v>30</v>
      </c>
      <c r="C10" s="93">
        <f>'OM Assumptions'!$B$15</f>
        <v>10</v>
      </c>
      <c r="D10" s="94">
        <f>F10/(SUM('OM Inventory Y1-Y5'!$Q$9,'OM Inventory Y1-Y5'!$S$9,'OM Inventory Y1-Y5'!$T$9,'OM Inventory Y1-Y5'!$V$9,'OM Inventory Y1-Y5'!$X$9))</f>
        <v>0.6617086312741931</v>
      </c>
      <c r="E10" s="387">
        <v>0</v>
      </c>
      <c r="F10" s="412">
        <f>('OM Assumptions'!B10+'OM Capital Expenditures Y1-Y5'!E10)*'OM Capital Expenditures Y1-Y5'!B10</f>
        <v>2499.9999999000001</v>
      </c>
      <c r="G10" s="94">
        <f>$F10/'MK Bases Model (Base Case)'!B$13</f>
        <v>2.4972482321280527E-2</v>
      </c>
      <c r="H10" s="94">
        <f>$F10/'MK Bases Model (Base Case)'!C$13</f>
        <v>1.2141208460070422E-2</v>
      </c>
      <c r="I10" s="94">
        <f>$F10/'MK Bases Model (Base Case)'!D$13</f>
        <v>9.0305531875446796E-3</v>
      </c>
      <c r="J10" s="94">
        <f>$F10/'MK Bases Model (Base Case)'!E$13</f>
        <v>7.0779265257257841E-3</v>
      </c>
      <c r="K10" s="108">
        <f>$F10/'MK Bases Model (Base Case)'!F$13</f>
        <v>5.7314287204433302E-3</v>
      </c>
    </row>
    <row r="11" spans="1:11">
      <c r="A11" s="107" t="s">
        <v>309</v>
      </c>
      <c r="B11" s="142">
        <v>30</v>
      </c>
      <c r="C11" s="93">
        <f>'OM Assumptions'!$B$15</f>
        <v>10</v>
      </c>
      <c r="D11" s="94">
        <f>F11/(SUM('OM Inventory Y1-Y5'!$Q$9,'OM Inventory Y1-Y5'!$S$9,'OM Inventory Y1-Y5'!$T$9,'OM Inventory Y1-Y5'!$V$9,'OM Inventory Y1-Y5'!$X$9))</f>
        <v>1.0587338100807935</v>
      </c>
      <c r="E11" s="387">
        <v>0</v>
      </c>
      <c r="F11" s="412">
        <f>('OM Assumptions'!B11+'OM Capital Expenditures Y1-Y5'!E11)*'OM Capital Expenditures Y1-Y5'!B11</f>
        <v>3999.999999999</v>
      </c>
      <c r="G11" s="94">
        <f>$F11/'MK Bases Model (Base Case)'!B$13</f>
        <v>3.9955971715637091E-2</v>
      </c>
      <c r="H11" s="94">
        <f>$F11/'MK Bases Model (Base Case)'!C$13</f>
        <v>1.9425933536884852E-2</v>
      </c>
      <c r="I11" s="94">
        <f>$F11/'MK Bases Model (Base Case)'!D$13</f>
        <v>1.4448885100645828E-2</v>
      </c>
      <c r="J11" s="94">
        <f>$F11/'MK Bases Model (Base Case)'!E$13</f>
        <v>1.132468244161141E-2</v>
      </c>
      <c r="K11" s="108">
        <f>$F11/'MK Bases Model (Base Case)'!F$13</f>
        <v>9.1702859530738458E-3</v>
      </c>
    </row>
    <row r="12" spans="1:11">
      <c r="A12" s="107" t="s">
        <v>310</v>
      </c>
      <c r="B12" s="142">
        <v>1</v>
      </c>
      <c r="C12" s="93">
        <f>'OM Assumptions'!$B$15</f>
        <v>10</v>
      </c>
      <c r="D12" s="94">
        <f>F12/(SUM('OM Inventory Y1-Y5'!$Q$9,'OM Inventory Y1-Y5'!$S$9,'OM Inventory Y1-Y5'!$T$9,'OM Inventory Y1-Y5'!$V$9,'OM Inventory Y1-Y5'!$X$9))</f>
        <v>1.7204424413817196</v>
      </c>
      <c r="E12" s="387">
        <v>0</v>
      </c>
      <c r="F12" s="412">
        <f>('OM Assumptions'!B12+'OM Capital Expenditures Y1-Y5'!E12)*'OM Capital Expenditures Y1-Y5'!B12</f>
        <v>6500</v>
      </c>
      <c r="G12" s="94">
        <f>$F12/'MK Bases Model (Base Case)'!B$13</f>
        <v>6.4928454037926506E-2</v>
      </c>
      <c r="H12" s="94">
        <f>$F12/'MK Bases Model (Base Case)'!C$13</f>
        <v>3.1567141997445779E-2</v>
      </c>
      <c r="I12" s="94">
        <f>$F12/'MK Bases Model (Base Case)'!D$13</f>
        <v>2.3479438288555341E-2</v>
      </c>
      <c r="J12" s="94">
        <f>$F12/'MK Bases Model (Base Case)'!E$13</f>
        <v>1.8402608967623142E-2</v>
      </c>
      <c r="K12" s="108">
        <f>$F12/'MK Bases Model (Base Case)'!F$13</f>
        <v>1.4901714673748725E-2</v>
      </c>
    </row>
    <row r="13" spans="1:11">
      <c r="A13" s="107" t="s">
        <v>311</v>
      </c>
      <c r="B13" s="142">
        <v>4</v>
      </c>
      <c r="C13" s="93">
        <f>'OM Assumptions'!$B$15</f>
        <v>10</v>
      </c>
      <c r="D13" s="94">
        <f>F13/(SUM('OM Inventory Y1-Y5'!$Q$9,'OM Inventory Y1-Y5'!$S$9,'OM Inventory Y1-Y5'!$T$9,'OM Inventory Y1-Y5'!$V$9,'OM Inventory Y1-Y5'!$X$9))</f>
        <v>2.7527079062107513</v>
      </c>
      <c r="E13" s="387">
        <v>100</v>
      </c>
      <c r="F13" s="412">
        <f>('OM Assumptions'!B13+'OM Capital Expenditures Y1-Y5'!E13)*'OM Capital Expenditures Y1-Y5'!B13</f>
        <v>10400</v>
      </c>
      <c r="G13" s="94">
        <f>$F13/'MK Bases Model (Base Case)'!B$13</f>
        <v>0.1038855264606824</v>
      </c>
      <c r="H13" s="94">
        <f>$F13/'MK Bases Model (Base Case)'!C$13</f>
        <v>5.0507427195913245E-2</v>
      </c>
      <c r="I13" s="94">
        <f>$F13/'MK Bases Model (Base Case)'!D$13</f>
        <v>3.7567101261688544E-2</v>
      </c>
      <c r="J13" s="94">
        <f>$F13/'MK Bases Model (Base Case)'!E$13</f>
        <v>2.9444174348197027E-2</v>
      </c>
      <c r="K13" s="108">
        <f>$F13/'MK Bases Model (Base Case)'!F$13</f>
        <v>2.384274347799796E-2</v>
      </c>
    </row>
    <row r="14" spans="1:11">
      <c r="A14" s="382" t="s">
        <v>312</v>
      </c>
      <c r="B14" s="297">
        <v>1</v>
      </c>
      <c r="C14" s="93">
        <f>'OM Assumptions'!$B$15</f>
        <v>10</v>
      </c>
      <c r="D14" s="94">
        <f>F14/(SUM('OM Inventory Y1-Y5'!$Q$9,'OM Inventory Y1-Y5'!$S$9,'OM Inventory Y1-Y5'!$T$9,'OM Inventory Y1-Y5'!$V$9,'OM Inventory Y1-Y5'!$X$9))</f>
        <v>0.29909230134789894</v>
      </c>
      <c r="E14" s="413">
        <v>0</v>
      </c>
      <c r="F14" s="412">
        <f>('OM Assumptions'!B14+'OM Capital Expenditures Y1-Y5'!E14)*'OM Capital Expenditures Y1-Y5'!B14</f>
        <v>1130</v>
      </c>
      <c r="G14" s="94">
        <f>$F14/'MK Bases Model (Base Case)'!B$13</f>
        <v>1.12875620096703E-2</v>
      </c>
      <c r="H14" s="94">
        <f>$F14/'MK Bases Model (Base Case)'!C$13</f>
        <v>5.4878262241713433E-3</v>
      </c>
      <c r="I14" s="94">
        <f>$F14/'MK Bases Model (Base Case)'!D$13</f>
        <v>4.0818100409334666E-3</v>
      </c>
      <c r="J14" s="94">
        <f>$F14/'MK Bases Model (Base Case)'!E$13</f>
        <v>3.199222789756023E-3</v>
      </c>
      <c r="K14" s="108">
        <f>$F14/'MK Bases Model (Base Case)'!F$13</f>
        <v>2.5906057817440091E-3</v>
      </c>
    </row>
    <row r="15" spans="1:11">
      <c r="A15" s="403" t="s">
        <v>443</v>
      </c>
      <c r="B15" s="60"/>
      <c r="C15" s="61"/>
      <c r="D15" s="61"/>
      <c r="E15" s="414"/>
      <c r="F15" s="414">
        <f t="shared" ref="F15:K15" si="0">SUM(F4:F14)</f>
        <v>126449.999999899</v>
      </c>
      <c r="G15" s="415">
        <f t="shared" si="0"/>
        <v>1.2631081558598842</v>
      </c>
      <c r="H15" s="138">
        <f t="shared" si="0"/>
        <v>0.61410232393443542</v>
      </c>
      <c r="I15" s="112">
        <f t="shared" si="0"/>
        <v>0.45676538024391566</v>
      </c>
      <c r="J15" s="415">
        <f t="shared" si="0"/>
        <v>0.35800152368524424</v>
      </c>
      <c r="K15" s="138">
        <f t="shared" si="0"/>
        <v>0.28989566469138794</v>
      </c>
    </row>
    <row r="19" spans="1:9">
      <c r="A19" s="416" t="s">
        <v>444</v>
      </c>
      <c r="B19" s="417" t="s">
        <v>445</v>
      </c>
      <c r="C19" s="417" t="s">
        <v>446</v>
      </c>
      <c r="D19" s="417" t="s">
        <v>80</v>
      </c>
      <c r="E19" s="417" t="s">
        <v>93</v>
      </c>
      <c r="F19" s="417" t="s">
        <v>94</v>
      </c>
      <c r="G19" s="417" t="s">
        <v>95</v>
      </c>
      <c r="H19" s="417" t="s">
        <v>96</v>
      </c>
      <c r="I19" s="420" t="s">
        <v>447</v>
      </c>
    </row>
    <row r="20" spans="1:9">
      <c r="A20" s="125" t="s">
        <v>302</v>
      </c>
      <c r="B20" s="109" t="s">
        <v>448</v>
      </c>
      <c r="C20" s="421" cm="1">
        <f t="array" ref="C20:C31">F4:F15</f>
        <v>23700</v>
      </c>
      <c r="D20" s="425">
        <f t="shared" ref="D20:D30" si="1">$C20/C4</f>
        <v>2370</v>
      </c>
      <c r="E20" s="425">
        <f t="shared" ref="E20:H30" si="2">$C20/$C4</f>
        <v>2370</v>
      </c>
      <c r="F20" s="425">
        <f t="shared" si="2"/>
        <v>2370</v>
      </c>
      <c r="G20" s="425">
        <f t="shared" si="2"/>
        <v>2370</v>
      </c>
      <c r="H20" s="425">
        <f t="shared" si="2"/>
        <v>2370</v>
      </c>
      <c r="I20" s="426">
        <f>C20-(SUM(D20:H20))</f>
        <v>11850</v>
      </c>
    </row>
    <row r="21" spans="1:9">
      <c r="A21" s="126" t="s">
        <v>303</v>
      </c>
      <c r="B21" s="51" t="s">
        <v>449</v>
      </c>
      <c r="C21" s="422">
        <v>19200</v>
      </c>
      <c r="D21" s="425">
        <f t="shared" si="1"/>
        <v>1920</v>
      </c>
      <c r="E21" s="427">
        <f t="shared" si="2"/>
        <v>1920</v>
      </c>
      <c r="F21" s="425">
        <f t="shared" si="2"/>
        <v>1920</v>
      </c>
      <c r="G21" s="425">
        <f t="shared" si="2"/>
        <v>1920</v>
      </c>
      <c r="H21" s="425">
        <f t="shared" si="2"/>
        <v>1920</v>
      </c>
      <c r="I21" s="426">
        <f t="shared" ref="I21:I30" si="3">C21-(SUM(D21:H21))</f>
        <v>9600</v>
      </c>
    </row>
    <row r="22" spans="1:9">
      <c r="A22" s="126" t="s">
        <v>304</v>
      </c>
      <c r="B22" s="51" t="s">
        <v>450</v>
      </c>
      <c r="C22" s="422">
        <v>15200</v>
      </c>
      <c r="D22" s="425">
        <f t="shared" si="1"/>
        <v>1520</v>
      </c>
      <c r="E22" s="427">
        <f t="shared" si="2"/>
        <v>1520</v>
      </c>
      <c r="F22" s="425">
        <f t="shared" si="2"/>
        <v>1520</v>
      </c>
      <c r="G22" s="425">
        <f t="shared" si="2"/>
        <v>1520</v>
      </c>
      <c r="H22" s="425">
        <f t="shared" si="2"/>
        <v>1520</v>
      </c>
      <c r="I22" s="426">
        <f t="shared" si="3"/>
        <v>7600</v>
      </c>
    </row>
    <row r="23" spans="1:9">
      <c r="A23" s="126" t="s">
        <v>305</v>
      </c>
      <c r="B23" s="51" t="s">
        <v>451</v>
      </c>
      <c r="C23" s="422">
        <v>35420</v>
      </c>
      <c r="D23" s="425">
        <f t="shared" si="1"/>
        <v>3542</v>
      </c>
      <c r="E23" s="427">
        <f t="shared" si="2"/>
        <v>3542</v>
      </c>
      <c r="F23" s="425">
        <f t="shared" si="2"/>
        <v>3542</v>
      </c>
      <c r="G23" s="425">
        <f t="shared" si="2"/>
        <v>3542</v>
      </c>
      <c r="H23" s="425">
        <f t="shared" si="2"/>
        <v>3542</v>
      </c>
      <c r="I23" s="426">
        <f t="shared" si="3"/>
        <v>17710</v>
      </c>
    </row>
    <row r="24" spans="1:9">
      <c r="A24" s="126" t="s">
        <v>306</v>
      </c>
      <c r="B24" s="51" t="s">
        <v>452</v>
      </c>
      <c r="C24" s="422">
        <v>8050</v>
      </c>
      <c r="D24" s="425">
        <f t="shared" si="1"/>
        <v>805</v>
      </c>
      <c r="E24" s="427">
        <f t="shared" si="2"/>
        <v>805</v>
      </c>
      <c r="F24" s="425">
        <f t="shared" si="2"/>
        <v>805</v>
      </c>
      <c r="G24" s="425">
        <f t="shared" si="2"/>
        <v>805</v>
      </c>
      <c r="H24" s="425">
        <f t="shared" si="2"/>
        <v>805</v>
      </c>
      <c r="I24" s="426">
        <f t="shared" si="3"/>
        <v>4025</v>
      </c>
    </row>
    <row r="25" spans="1:9">
      <c r="A25" s="126" t="s">
        <v>442</v>
      </c>
      <c r="B25" s="51" t="s">
        <v>453</v>
      </c>
      <c r="C25" s="422">
        <v>350</v>
      </c>
      <c r="D25" s="425">
        <f t="shared" si="1"/>
        <v>35</v>
      </c>
      <c r="E25" s="427">
        <f t="shared" si="2"/>
        <v>35</v>
      </c>
      <c r="F25" s="425">
        <f t="shared" si="2"/>
        <v>35</v>
      </c>
      <c r="G25" s="425">
        <f t="shared" si="2"/>
        <v>35</v>
      </c>
      <c r="H25" s="425">
        <f t="shared" si="2"/>
        <v>35</v>
      </c>
      <c r="I25" s="426">
        <f t="shared" si="3"/>
        <v>175</v>
      </c>
    </row>
    <row r="26" spans="1:9">
      <c r="A26" s="126" t="s">
        <v>308</v>
      </c>
      <c r="B26" s="51" t="s">
        <v>454</v>
      </c>
      <c r="C26" s="422">
        <v>2499.9999999000001</v>
      </c>
      <c r="D26" s="425">
        <f t="shared" si="1"/>
        <v>249.99999999000002</v>
      </c>
      <c r="E26" s="427">
        <f t="shared" si="2"/>
        <v>249.99999999000002</v>
      </c>
      <c r="F26" s="425">
        <f t="shared" si="2"/>
        <v>249.99999999000002</v>
      </c>
      <c r="G26" s="425">
        <f t="shared" si="2"/>
        <v>249.99999999000002</v>
      </c>
      <c r="H26" s="425">
        <f t="shared" si="2"/>
        <v>249.99999999000002</v>
      </c>
      <c r="I26" s="426">
        <f t="shared" si="3"/>
        <v>1249.9999999500001</v>
      </c>
    </row>
    <row r="27" spans="1:9">
      <c r="A27" s="126" t="s">
        <v>309</v>
      </c>
      <c r="B27" s="51" t="s">
        <v>454</v>
      </c>
      <c r="C27" s="422">
        <v>3999.999999999</v>
      </c>
      <c r="D27" s="425">
        <f t="shared" si="1"/>
        <v>399.99999999990001</v>
      </c>
      <c r="E27" s="427">
        <f t="shared" si="2"/>
        <v>399.99999999990001</v>
      </c>
      <c r="F27" s="425">
        <f t="shared" si="2"/>
        <v>399.99999999990001</v>
      </c>
      <c r="G27" s="425">
        <f t="shared" si="2"/>
        <v>399.99999999990001</v>
      </c>
      <c r="H27" s="425">
        <f t="shared" si="2"/>
        <v>399.99999999990001</v>
      </c>
      <c r="I27" s="426">
        <f t="shared" si="3"/>
        <v>1999.9999999995</v>
      </c>
    </row>
    <row r="28" spans="1:9">
      <c r="A28" s="126" t="s">
        <v>310</v>
      </c>
      <c r="B28" s="51" t="s">
        <v>455</v>
      </c>
      <c r="C28" s="422">
        <v>6500</v>
      </c>
      <c r="D28" s="425">
        <f t="shared" si="1"/>
        <v>650</v>
      </c>
      <c r="E28" s="427">
        <f t="shared" si="2"/>
        <v>650</v>
      </c>
      <c r="F28" s="425">
        <f t="shared" si="2"/>
        <v>650</v>
      </c>
      <c r="G28" s="425">
        <f t="shared" si="2"/>
        <v>650</v>
      </c>
      <c r="H28" s="425">
        <f t="shared" si="2"/>
        <v>650</v>
      </c>
      <c r="I28" s="426">
        <f t="shared" si="3"/>
        <v>3250</v>
      </c>
    </row>
    <row r="29" spans="1:9">
      <c r="A29" s="126" t="s">
        <v>311</v>
      </c>
      <c r="B29" s="51" t="s">
        <v>456</v>
      </c>
      <c r="C29" s="422">
        <v>10400</v>
      </c>
      <c r="D29" s="425">
        <f t="shared" si="1"/>
        <v>1040</v>
      </c>
      <c r="E29" s="427">
        <f t="shared" si="2"/>
        <v>1040</v>
      </c>
      <c r="F29" s="425">
        <f t="shared" si="2"/>
        <v>1040</v>
      </c>
      <c r="G29" s="425">
        <f t="shared" si="2"/>
        <v>1040</v>
      </c>
      <c r="H29" s="425">
        <f t="shared" si="2"/>
        <v>1040</v>
      </c>
      <c r="I29" s="426">
        <f t="shared" si="3"/>
        <v>5200</v>
      </c>
    </row>
    <row r="30" spans="1:9">
      <c r="A30" s="127" t="s">
        <v>312</v>
      </c>
      <c r="B30" s="51" t="s">
        <v>457</v>
      </c>
      <c r="C30" s="423">
        <v>1130</v>
      </c>
      <c r="D30" s="425">
        <f t="shared" si="1"/>
        <v>113</v>
      </c>
      <c r="E30" s="427">
        <f t="shared" si="2"/>
        <v>113</v>
      </c>
      <c r="F30" s="425">
        <f t="shared" si="2"/>
        <v>113</v>
      </c>
      <c r="G30" s="425">
        <f t="shared" si="2"/>
        <v>113</v>
      </c>
      <c r="H30" s="425">
        <f t="shared" si="2"/>
        <v>113</v>
      </c>
      <c r="I30" s="426">
        <f t="shared" si="3"/>
        <v>565</v>
      </c>
    </row>
    <row r="31" spans="1:9">
      <c r="A31" s="418" t="s">
        <v>443</v>
      </c>
      <c r="C31" s="424">
        <v>126449.999999899</v>
      </c>
      <c r="D31" s="425">
        <v>0</v>
      </c>
      <c r="E31" s="112">
        <v>0</v>
      </c>
      <c r="F31" s="112">
        <v>0</v>
      </c>
      <c r="G31" s="112">
        <v>0</v>
      </c>
      <c r="H31" s="112">
        <v>0</v>
      </c>
      <c r="I31" s="63"/>
    </row>
    <row r="32" spans="1:9">
      <c r="A32" s="419" t="s">
        <v>458</v>
      </c>
      <c r="B32" s="51"/>
      <c r="C32" s="105">
        <v>0</v>
      </c>
      <c r="D32" s="136">
        <f>SUM(D20:D30)</f>
        <v>12644.999999989899</v>
      </c>
      <c r="E32" s="136">
        <f>SUM(E20:E30)</f>
        <v>12644.999999989899</v>
      </c>
      <c r="F32" s="136">
        <f>SUM(F20:F30)</f>
        <v>12644.999999989899</v>
      </c>
      <c r="G32" s="136">
        <f>SUM(G20:G30)</f>
        <v>12644.999999989899</v>
      </c>
      <c r="H32" s="136">
        <f>SUM(H20:H30)</f>
        <v>12644.999999989899</v>
      </c>
      <c r="I32" s="428"/>
    </row>
    <row r="33" spans="1:9" ht="33.75" customHeight="1">
      <c r="A33" s="418" t="s">
        <v>459</v>
      </c>
      <c r="B33" s="61"/>
      <c r="C33" s="112">
        <f>C32</f>
        <v>0</v>
      </c>
      <c r="D33" s="429">
        <f>D32</f>
        <v>12644.999999989899</v>
      </c>
      <c r="E33" s="414">
        <f>E32+D33</f>
        <v>25289.999999979798</v>
      </c>
      <c r="F33" s="414">
        <f>F32+E33</f>
        <v>37934.999999969696</v>
      </c>
      <c r="G33" s="414">
        <f>G32+F33</f>
        <v>50579.999999959597</v>
      </c>
      <c r="H33" s="414">
        <f>H32+G33</f>
        <v>63224.999999949498</v>
      </c>
      <c r="I33" s="430"/>
    </row>
    <row r="34" spans="1:9" ht="51">
      <c r="D34" s="136"/>
      <c r="E34" s="136"/>
      <c r="F34" s="136"/>
      <c r="G34" s="136"/>
      <c r="H34" s="431" t="s">
        <v>460</v>
      </c>
      <c r="I34" s="432">
        <f>SUM(I20:I30)</f>
        <v>63224.999999949498</v>
      </c>
    </row>
    <row r="37" spans="1:9">
      <c r="A37" s="433" t="s">
        <v>461</v>
      </c>
      <c r="B37" s="380" t="s">
        <v>446</v>
      </c>
      <c r="C37" s="380" t="s">
        <v>80</v>
      </c>
      <c r="D37" s="380" t="s">
        <v>93</v>
      </c>
      <c r="E37" s="380" t="s">
        <v>94</v>
      </c>
      <c r="F37" s="380" t="s">
        <v>95</v>
      </c>
      <c r="G37" s="381" t="s">
        <v>96</v>
      </c>
    </row>
    <row r="38" spans="1:9">
      <c r="A38" s="434" t="s">
        <v>302</v>
      </c>
      <c r="B38" s="136">
        <f>F4</f>
        <v>23700</v>
      </c>
      <c r="C38" s="22">
        <v>0</v>
      </c>
      <c r="D38" s="22">
        <v>0</v>
      </c>
      <c r="E38" s="22">
        <v>0</v>
      </c>
      <c r="F38" s="22">
        <v>0</v>
      </c>
      <c r="G38" s="67">
        <v>0</v>
      </c>
    </row>
    <row r="39" spans="1:9">
      <c r="A39" s="435" t="s">
        <v>303</v>
      </c>
      <c r="B39" s="136">
        <f t="shared" ref="B39:B48" si="4">F5</f>
        <v>19200</v>
      </c>
      <c r="C39" s="22">
        <v>0</v>
      </c>
      <c r="D39" s="22">
        <v>0</v>
      </c>
      <c r="E39" s="22">
        <v>0</v>
      </c>
      <c r="F39" s="22">
        <v>0</v>
      </c>
      <c r="G39" s="67">
        <v>0</v>
      </c>
    </row>
    <row r="40" spans="1:9">
      <c r="A40" s="435" t="s">
        <v>304</v>
      </c>
      <c r="B40" s="136">
        <f t="shared" si="4"/>
        <v>15200</v>
      </c>
      <c r="C40" s="22">
        <v>0</v>
      </c>
      <c r="D40" s="22">
        <v>0</v>
      </c>
      <c r="E40" s="22">
        <v>0</v>
      </c>
      <c r="F40" s="22">
        <v>0</v>
      </c>
      <c r="G40" s="67">
        <v>0</v>
      </c>
    </row>
    <row r="41" spans="1:9">
      <c r="A41" s="435" t="s">
        <v>305</v>
      </c>
      <c r="B41" s="136">
        <f t="shared" si="4"/>
        <v>35420</v>
      </c>
      <c r="C41" s="22">
        <v>0</v>
      </c>
      <c r="D41" s="22">
        <v>0</v>
      </c>
      <c r="E41" s="22">
        <v>0</v>
      </c>
      <c r="F41" s="22">
        <v>0</v>
      </c>
      <c r="G41" s="67">
        <v>0</v>
      </c>
    </row>
    <row r="42" spans="1:9">
      <c r="A42" s="435" t="s">
        <v>306</v>
      </c>
      <c r="B42" s="136">
        <f t="shared" si="4"/>
        <v>8050</v>
      </c>
      <c r="C42" s="22">
        <v>0</v>
      </c>
      <c r="D42" s="22">
        <v>0</v>
      </c>
      <c r="E42" s="22">
        <v>0</v>
      </c>
      <c r="F42" s="22">
        <v>0</v>
      </c>
      <c r="G42" s="67">
        <v>0</v>
      </c>
    </row>
    <row r="43" spans="1:9">
      <c r="A43" s="435" t="s">
        <v>442</v>
      </c>
      <c r="B43" s="136">
        <f t="shared" si="4"/>
        <v>350</v>
      </c>
      <c r="C43" s="22">
        <v>0</v>
      </c>
      <c r="D43" s="22">
        <v>0</v>
      </c>
      <c r="E43" s="22">
        <v>0</v>
      </c>
      <c r="F43" s="22">
        <v>0</v>
      </c>
      <c r="G43" s="67">
        <v>0</v>
      </c>
    </row>
    <row r="44" spans="1:9">
      <c r="A44" s="435" t="s">
        <v>308</v>
      </c>
      <c r="B44" s="136">
        <f t="shared" si="4"/>
        <v>2499.9999999000001</v>
      </c>
      <c r="C44" s="22">
        <v>0</v>
      </c>
      <c r="D44" s="22">
        <v>0</v>
      </c>
      <c r="E44" s="22">
        <v>0</v>
      </c>
      <c r="F44" s="22">
        <v>0</v>
      </c>
      <c r="G44" s="67">
        <v>0</v>
      </c>
    </row>
    <row r="45" spans="1:9">
      <c r="A45" s="435" t="s">
        <v>309</v>
      </c>
      <c r="B45" s="136">
        <f t="shared" si="4"/>
        <v>3999.999999999</v>
      </c>
      <c r="C45" s="22">
        <v>0</v>
      </c>
      <c r="D45" s="22">
        <v>0</v>
      </c>
      <c r="E45" s="22">
        <v>0</v>
      </c>
      <c r="F45" s="22">
        <v>0</v>
      </c>
      <c r="G45" s="67">
        <v>0</v>
      </c>
    </row>
    <row r="46" spans="1:9">
      <c r="A46" s="435" t="s">
        <v>310</v>
      </c>
      <c r="B46" s="136">
        <f t="shared" si="4"/>
        <v>6500</v>
      </c>
      <c r="C46" s="22">
        <v>0</v>
      </c>
      <c r="D46" s="22">
        <v>0</v>
      </c>
      <c r="E46" s="22">
        <v>0</v>
      </c>
      <c r="F46" s="22">
        <v>0</v>
      </c>
      <c r="G46" s="67">
        <v>0</v>
      </c>
    </row>
    <row r="47" spans="1:9">
      <c r="A47" s="435" t="s">
        <v>311</v>
      </c>
      <c r="B47" s="136">
        <f t="shared" si="4"/>
        <v>10400</v>
      </c>
      <c r="C47" s="22">
        <v>0</v>
      </c>
      <c r="D47" s="22">
        <v>0</v>
      </c>
      <c r="E47" s="22">
        <v>0</v>
      </c>
      <c r="F47" s="22">
        <v>0</v>
      </c>
      <c r="G47" s="67">
        <v>0</v>
      </c>
    </row>
    <row r="48" spans="1:9">
      <c r="A48" s="436" t="s">
        <v>312</v>
      </c>
      <c r="B48" s="136">
        <f t="shared" si="4"/>
        <v>1130</v>
      </c>
      <c r="C48" s="22">
        <v>0</v>
      </c>
      <c r="D48" s="22">
        <v>0</v>
      </c>
      <c r="E48" s="22">
        <v>0</v>
      </c>
      <c r="F48" s="22">
        <v>0</v>
      </c>
      <c r="G48" s="67">
        <v>0</v>
      </c>
    </row>
    <row r="49" spans="1:7">
      <c r="A49" s="437" t="s">
        <v>462</v>
      </c>
      <c r="B49" s="136">
        <f t="shared" ref="B49:G49" si="5">SUM(B38:B48)</f>
        <v>126449.999999899</v>
      </c>
      <c r="C49" s="22">
        <f t="shared" si="5"/>
        <v>0</v>
      </c>
      <c r="D49" s="22">
        <f t="shared" si="5"/>
        <v>0</v>
      </c>
      <c r="E49" s="22">
        <f t="shared" si="5"/>
        <v>0</v>
      </c>
      <c r="F49" s="22">
        <f t="shared" si="5"/>
        <v>0</v>
      </c>
      <c r="G49" s="67">
        <f t="shared" si="5"/>
        <v>0</v>
      </c>
    </row>
    <row r="50" spans="1:7">
      <c r="A50" s="418" t="s">
        <v>443</v>
      </c>
      <c r="B50" s="68">
        <f>B49</f>
        <v>126449.999999899</v>
      </c>
      <c r="C50" s="68">
        <f>B50+C49</f>
        <v>126449.999999899</v>
      </c>
      <c r="D50" s="68">
        <f>D49+C50</f>
        <v>126449.999999899</v>
      </c>
      <c r="E50" s="68">
        <f>E49+D50</f>
        <v>126449.999999899</v>
      </c>
      <c r="F50" s="68">
        <f>F49+E50</f>
        <v>126449.999999899</v>
      </c>
      <c r="G50" s="69">
        <f>G49+F50</f>
        <v>126449.999999899</v>
      </c>
    </row>
    <row r="51" spans="1:7">
      <c r="B51" s="136"/>
      <c r="C51" s="136"/>
      <c r="D51" s="136"/>
      <c r="E51" s="136"/>
      <c r="F51" s="438" t="s">
        <v>463</v>
      </c>
      <c r="G51" s="69">
        <f>G50</f>
        <v>126449.999999899</v>
      </c>
    </row>
  </sheetData>
  <hyperlinks>
    <hyperlink ref="A1" location="'Index'!A1" display="Back to Index" xr:uid="{58C586C6-DFC3-4747-A1B0-B361127202A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D5E0-CE82-4D45-9272-3433C2885B55}">
  <sheetPr>
    <tabColor rgb="FFFFF2CC"/>
  </sheetPr>
  <dimension ref="A1:M26"/>
  <sheetViews>
    <sheetView topLeftCell="B2" workbookViewId="0">
      <selection activeCell="G15" sqref="G15"/>
    </sheetView>
  </sheetViews>
  <sheetFormatPr defaultColWidth="8.875" defaultRowHeight="15.95"/>
  <cols>
    <col min="1" max="1" width="19.5" bestFit="1" customWidth="1"/>
    <col min="2" max="2" width="30.125" bestFit="1" customWidth="1"/>
    <col min="3" max="3" width="16.125" bestFit="1" customWidth="1"/>
    <col min="4" max="4" width="17.125" bestFit="1" customWidth="1"/>
    <col min="5" max="5" width="13.375" customWidth="1"/>
    <col min="6" max="6" width="19.5" bestFit="1" customWidth="1"/>
    <col min="7" max="7" width="13.625" bestFit="1" customWidth="1"/>
    <col min="8" max="8" width="19.5" bestFit="1" customWidth="1"/>
    <col min="9" max="9" width="12.125" bestFit="1" customWidth="1"/>
    <col min="10" max="10" width="19.5" bestFit="1" customWidth="1"/>
    <col min="11" max="11" width="11.125" bestFit="1" customWidth="1"/>
    <col min="12" max="12" width="19.5" bestFit="1" customWidth="1"/>
    <col min="13" max="13" width="13.625" bestFit="1" customWidth="1"/>
  </cols>
  <sheetData>
    <row r="1" spans="1:13">
      <c r="A1" s="44" t="s">
        <v>41</v>
      </c>
    </row>
    <row r="2" spans="1:13">
      <c r="A2" s="680" t="s">
        <v>464</v>
      </c>
    </row>
    <row r="3" spans="1:13">
      <c r="A3" s="737" t="s">
        <v>465</v>
      </c>
      <c r="B3" s="738" t="s">
        <v>466</v>
      </c>
      <c r="C3" s="738" t="s">
        <v>467</v>
      </c>
      <c r="D3" s="738" t="s">
        <v>468</v>
      </c>
      <c r="E3" s="738" t="s">
        <v>469</v>
      </c>
      <c r="F3" s="738" t="s">
        <v>470</v>
      </c>
      <c r="G3" s="738" t="s">
        <v>471</v>
      </c>
      <c r="H3" s="738" t="s">
        <v>472</v>
      </c>
      <c r="I3" s="738" t="s">
        <v>473</v>
      </c>
      <c r="J3" s="738" t="s">
        <v>474</v>
      </c>
      <c r="K3" s="738" t="s">
        <v>475</v>
      </c>
      <c r="L3" s="738" t="s">
        <v>476</v>
      </c>
      <c r="M3" s="739" t="s">
        <v>477</v>
      </c>
    </row>
    <row r="4" spans="1:13">
      <c r="A4" s="964" t="s">
        <v>478</v>
      </c>
      <c r="B4" s="965" t="s">
        <v>479</v>
      </c>
      <c r="C4" s="966">
        <v>1</v>
      </c>
      <c r="D4" s="967">
        <f>105000+'OM Assumptions'!B23</f>
        <v>115000</v>
      </c>
      <c r="E4" s="967">
        <f t="shared" ref="E4:E12" si="0">D4*C4</f>
        <v>115000</v>
      </c>
      <c r="F4" s="966">
        <v>1</v>
      </c>
      <c r="G4" s="967">
        <f>E4*(1+'OM Assumptions'!B$30)+((F4-C4)*$D4)</f>
        <v>118450</v>
      </c>
      <c r="H4" s="966">
        <v>1</v>
      </c>
      <c r="I4" s="967">
        <f>G4*(1+'OM Assumptions'!B30)+((H4-F4)*$D4)</f>
        <v>122003.5</v>
      </c>
      <c r="J4" s="966">
        <v>1</v>
      </c>
      <c r="K4" s="967">
        <f>I4*(1+'OM Assumptions'!B$30)+((J4-H4)*$D4)</f>
        <v>125663.60500000001</v>
      </c>
      <c r="L4" s="966">
        <v>1</v>
      </c>
      <c r="M4" s="968">
        <f>K4*(1+'OM Assumptions'!B$30)+((L4-J4)*$D4)</f>
        <v>129433.51315000001</v>
      </c>
    </row>
    <row r="5" spans="1:13">
      <c r="A5" s="364" t="s">
        <v>480</v>
      </c>
      <c r="B5" s="710" t="s">
        <v>481</v>
      </c>
      <c r="C5" s="710">
        <v>0</v>
      </c>
      <c r="D5" s="742">
        <f>62500+'OM Assumptions'!B23</f>
        <v>72500</v>
      </c>
      <c r="E5" s="741">
        <f t="shared" si="0"/>
        <v>0</v>
      </c>
      <c r="F5" s="710">
        <v>0</v>
      </c>
      <c r="G5" s="741">
        <f>E5*(1+'OM Assumptions'!B$30)+((F5-C5)*$D5)</f>
        <v>0</v>
      </c>
      <c r="H5" s="710">
        <v>0</v>
      </c>
      <c r="I5" s="742">
        <v>0</v>
      </c>
      <c r="J5" s="710">
        <v>1</v>
      </c>
      <c r="K5" s="741">
        <f>I5*(1+'OM Assumptions'!B$30)+((J5-H5)*$D5)</f>
        <v>72500</v>
      </c>
      <c r="L5" s="710">
        <v>1</v>
      </c>
      <c r="M5" s="959">
        <f>K5*(1+'OM Assumptions'!B$30)+((L5-J5)*$D5)</f>
        <v>74675</v>
      </c>
    </row>
    <row r="6" spans="1:13">
      <c r="A6" s="364" t="s">
        <v>482</v>
      </c>
      <c r="B6" s="743" t="s">
        <v>483</v>
      </c>
      <c r="C6" s="710">
        <v>0</v>
      </c>
      <c r="D6" s="742">
        <f>75000+('OM Assumptions'!B23)</f>
        <v>85000</v>
      </c>
      <c r="E6" s="741">
        <f t="shared" si="0"/>
        <v>0</v>
      </c>
      <c r="F6" s="710">
        <v>0</v>
      </c>
      <c r="G6" s="741">
        <f>E6*(1+'OM Assumptions'!B$30)+((F6-C6)*$D6)</f>
        <v>0</v>
      </c>
      <c r="H6" s="710">
        <v>1</v>
      </c>
      <c r="I6" s="742">
        <f>D6</f>
        <v>85000</v>
      </c>
      <c r="J6" s="710">
        <v>1</v>
      </c>
      <c r="K6" s="741">
        <f>I6*(1+'OM Assumptions'!B$30)+((J6-H6)*$D6)</f>
        <v>87550</v>
      </c>
      <c r="L6" s="710">
        <v>1</v>
      </c>
      <c r="M6" s="959">
        <f>K6*(1+'OM Assumptions'!B$30)+((L6-J6)*$D6)</f>
        <v>90176.5</v>
      </c>
    </row>
    <row r="7" spans="1:13">
      <c r="A7" s="364" t="s">
        <v>42</v>
      </c>
      <c r="B7" s="710" t="s">
        <v>484</v>
      </c>
      <c r="C7" s="710">
        <v>1</v>
      </c>
      <c r="D7" s="742">
        <f>55000+'OM Assumptions'!B23</f>
        <v>65000</v>
      </c>
      <c r="E7" s="741">
        <f t="shared" si="0"/>
        <v>65000</v>
      </c>
      <c r="F7" s="710">
        <v>1</v>
      </c>
      <c r="G7" s="741">
        <f>E7*(1+'OM Assumptions'!B$30)+((F7-C7)*$D7)</f>
        <v>66950</v>
      </c>
      <c r="H7" s="710">
        <v>1</v>
      </c>
      <c r="I7" s="742">
        <f>G7*(1+'OM Assumptions'!B30)+((H7-F7)*$D7)</f>
        <v>68958.5</v>
      </c>
      <c r="J7" s="710">
        <v>1</v>
      </c>
      <c r="K7" s="741">
        <f>I7*(1+'OM Assumptions'!B$30)+((J7-H7)*$D7)</f>
        <v>71027.255000000005</v>
      </c>
      <c r="L7" s="710">
        <v>1</v>
      </c>
      <c r="M7" s="959">
        <f>K7*(1+'OM Assumptions'!B$30)+((L7-J7)*$D7)</f>
        <v>73158.072650000002</v>
      </c>
    </row>
    <row r="8" spans="1:13">
      <c r="A8" s="364" t="s">
        <v>485</v>
      </c>
      <c r="B8" s="743" t="s">
        <v>486</v>
      </c>
      <c r="C8" s="710">
        <v>0</v>
      </c>
      <c r="D8" s="742">
        <f>70000+'OM Assumptions'!B23</f>
        <v>80000</v>
      </c>
      <c r="E8" s="741">
        <f t="shared" si="0"/>
        <v>0</v>
      </c>
      <c r="F8" s="710">
        <v>0</v>
      </c>
      <c r="G8" s="741">
        <f>E8*(1+'OM Assumptions'!B$30)+((F8-C8)*$D8)</f>
        <v>0</v>
      </c>
      <c r="H8" s="710">
        <v>1</v>
      </c>
      <c r="I8" s="742">
        <f>D8</f>
        <v>80000</v>
      </c>
      <c r="J8" s="710">
        <v>1</v>
      </c>
      <c r="K8" s="741">
        <f>I8*(1+'OM Assumptions'!B$30)+((J8-H8)*$D8)</f>
        <v>82400</v>
      </c>
      <c r="L8" s="710">
        <v>1</v>
      </c>
      <c r="M8" s="959">
        <f>K8*(1+'OM Assumptions'!B$30)+((L8-J8)*$D8)</f>
        <v>84872</v>
      </c>
    </row>
    <row r="9" spans="1:13">
      <c r="A9" s="364" t="s">
        <v>42</v>
      </c>
      <c r="B9" s="710" t="s">
        <v>487</v>
      </c>
      <c r="C9" s="710">
        <v>0</v>
      </c>
      <c r="D9" s="742">
        <f>45000+'OM Assumptions'!B23</f>
        <v>55000</v>
      </c>
      <c r="E9" s="741">
        <f t="shared" si="0"/>
        <v>0</v>
      </c>
      <c r="F9" s="710">
        <v>0</v>
      </c>
      <c r="G9" s="741">
        <f>E9*(1+'OM Assumptions'!B$30)+((F9-C9)*$D9)</f>
        <v>0</v>
      </c>
      <c r="H9" s="710">
        <v>1</v>
      </c>
      <c r="I9" s="742">
        <f>D9</f>
        <v>55000</v>
      </c>
      <c r="J9" s="710">
        <v>1</v>
      </c>
      <c r="K9" s="741">
        <f>I9*(1+'OM Assumptions'!B$30)+((J9-H9)*$D9)</f>
        <v>56650</v>
      </c>
      <c r="L9" s="710">
        <v>1</v>
      </c>
      <c r="M9" s="959">
        <f>K9*(1+'OM Assumptions'!B$30)+((L9-J9)*$D9)</f>
        <v>58349.5</v>
      </c>
    </row>
    <row r="10" spans="1:13">
      <c r="A10" s="364" t="s">
        <v>488</v>
      </c>
      <c r="B10" s="743" t="s">
        <v>489</v>
      </c>
      <c r="C10" s="710">
        <v>0</v>
      </c>
      <c r="D10" s="742">
        <f>35000+'OM Assumptions'!B23</f>
        <v>45000</v>
      </c>
      <c r="E10" s="741">
        <f t="shared" si="0"/>
        <v>0</v>
      </c>
      <c r="F10" s="710">
        <v>0</v>
      </c>
      <c r="G10" s="741">
        <f>E10*(1+'OM Assumptions'!B$30)+((F10-C10)*$D10)</f>
        <v>0</v>
      </c>
      <c r="H10" s="710">
        <v>1</v>
      </c>
      <c r="I10" s="742">
        <f>D10</f>
        <v>45000</v>
      </c>
      <c r="J10" s="710">
        <v>1</v>
      </c>
      <c r="K10" s="741">
        <f>I10*(1+'OM Assumptions'!B$30)+((J10-H10)*$D10)</f>
        <v>46350</v>
      </c>
      <c r="L10" s="710">
        <v>1</v>
      </c>
      <c r="M10" s="959">
        <f>K10*(1+'OM Assumptions'!B$30)+((L10-J10)*$D10)</f>
        <v>47740.5</v>
      </c>
    </row>
    <row r="11" spans="1:13">
      <c r="A11" s="364" t="s">
        <v>42</v>
      </c>
      <c r="B11" s="710" t="s">
        <v>490</v>
      </c>
      <c r="C11" s="710">
        <v>1</v>
      </c>
      <c r="D11" s="742">
        <f>18000+'OM Assumptions'!B23</f>
        <v>28000</v>
      </c>
      <c r="E11" s="741">
        <f t="shared" si="0"/>
        <v>28000</v>
      </c>
      <c r="F11" s="710">
        <v>1</v>
      </c>
      <c r="G11" s="741">
        <f>E11*(1+'OM Assumptions'!B$30)+((F11-C11)*$D11)</f>
        <v>28840</v>
      </c>
      <c r="H11" s="710">
        <v>1</v>
      </c>
      <c r="I11" s="742">
        <f>G11*(1+'OM Assumptions'!B$30)+((H11-F11)*$D11)</f>
        <v>29705.200000000001</v>
      </c>
      <c r="J11" s="710">
        <v>2</v>
      </c>
      <c r="K11" s="741">
        <f>I11*(1+'OM Assumptions'!B$30)+((J11-H11)*$D11)</f>
        <v>58596.356</v>
      </c>
      <c r="L11" s="710">
        <v>2</v>
      </c>
      <c r="M11" s="959">
        <f>K11*(1+'OM Assumptions'!B$30)+((L11-J11)*$D11)</f>
        <v>60354.246680000004</v>
      </c>
    </row>
    <row r="12" spans="1:13">
      <c r="A12" s="524" t="s">
        <v>491</v>
      </c>
      <c r="B12" s="969" t="s">
        <v>492</v>
      </c>
      <c r="C12" s="970">
        <v>1</v>
      </c>
      <c r="D12" s="971">
        <f>20000+'OM Assumptions'!B23</f>
        <v>30000</v>
      </c>
      <c r="E12" s="972">
        <f t="shared" si="0"/>
        <v>30000</v>
      </c>
      <c r="F12" s="970">
        <v>1</v>
      </c>
      <c r="G12" s="972">
        <f>E12*(1+'OM Assumptions'!B$30)+((F12-C12)*$D12)</f>
        <v>30900</v>
      </c>
      <c r="H12" s="970">
        <v>1</v>
      </c>
      <c r="I12" s="971">
        <f>G12*(1+'OM Assumptions'!B$30)+((H12-F12)*$D12)</f>
        <v>31827</v>
      </c>
      <c r="J12" s="970">
        <v>1</v>
      </c>
      <c r="K12" s="972">
        <f>I12*(1+'OM Assumptions'!B$30)+((J12-H12)*$D12)</f>
        <v>32781.81</v>
      </c>
      <c r="L12" s="970">
        <v>1</v>
      </c>
      <c r="M12" s="973">
        <f>K12*(1+'OM Assumptions'!B$30)+((L12-J12)*$D12)</f>
        <v>33765.264299999995</v>
      </c>
    </row>
    <row r="13" spans="1:13">
      <c r="A13" s="975" t="s">
        <v>465</v>
      </c>
      <c r="B13" s="976" t="s">
        <v>493</v>
      </c>
      <c r="C13" s="976" t="s">
        <v>467</v>
      </c>
      <c r="D13" s="976" t="s">
        <v>494</v>
      </c>
      <c r="E13" s="976" t="s">
        <v>495</v>
      </c>
      <c r="F13" s="755" t="s">
        <v>470</v>
      </c>
      <c r="G13" s="755" t="s">
        <v>496</v>
      </c>
      <c r="H13" s="755" t="s">
        <v>472</v>
      </c>
      <c r="I13" s="755" t="s">
        <v>497</v>
      </c>
      <c r="J13" s="755" t="s">
        <v>474</v>
      </c>
      <c r="K13" s="755" t="s">
        <v>498</v>
      </c>
      <c r="L13" s="755" t="s">
        <v>476</v>
      </c>
      <c r="M13" s="977" t="s">
        <v>499</v>
      </c>
    </row>
    <row r="14" spans="1:13">
      <c r="A14" s="964" t="s">
        <v>500</v>
      </c>
      <c r="B14" s="966" t="s">
        <v>501</v>
      </c>
      <c r="C14" s="966">
        <v>0</v>
      </c>
      <c r="D14" s="974">
        <f>'OM Assumptions'!B32</f>
        <v>13.25</v>
      </c>
      <c r="E14" s="966">
        <v>0</v>
      </c>
      <c r="F14" s="966">
        <v>0</v>
      </c>
      <c r="G14" s="967">
        <v>0</v>
      </c>
      <c r="H14" s="966">
        <v>0</v>
      </c>
      <c r="I14" s="967">
        <v>0</v>
      </c>
      <c r="J14" s="966">
        <v>1</v>
      </c>
      <c r="K14" s="967">
        <f>($D$14*J14*'OM Assumptions'!$B$25*'OM Assumptions'!$B$27*'OM Assumptions'!$B$28)</f>
        <v>27560</v>
      </c>
      <c r="L14" s="966">
        <v>1</v>
      </c>
      <c r="M14" s="968">
        <f>(K14*(1+'OM Assumptions'!B$30))+((L14-J14)*(D14*'OM Assumptions'!$B$25*'OM Assumptions'!$B$27*'OM Assumptions'!$B$28))</f>
        <v>28386.799999999999</v>
      </c>
    </row>
    <row r="15" spans="1:13">
      <c r="A15" s="364" t="s">
        <v>502</v>
      </c>
      <c r="B15" s="710" t="s">
        <v>503</v>
      </c>
      <c r="C15" s="710">
        <v>1</v>
      </c>
      <c r="D15" s="744">
        <f>'OM Assumptions'!B31</f>
        <v>12.75</v>
      </c>
      <c r="E15" s="742">
        <f>D15*C15*('OM Assumptions'!B$25*'OM Assumptions'!B$27*'OM Assumptions'!$B$28)</f>
        <v>26520</v>
      </c>
      <c r="F15" s="710">
        <v>2</v>
      </c>
      <c r="G15" s="742">
        <f>(E15*(1+'OM Assumptions'!B$30))+((F15-C15)*(D15*'OM Assumptions'!B$25*'OM Assumptions'!B$27*'OM Assumptions'!B$28))</f>
        <v>53835.600000000006</v>
      </c>
      <c r="H15" s="710">
        <v>3</v>
      </c>
      <c r="I15" s="742">
        <f>(G15*(1+'OM Assumptions'!$B$30))+(H15-F15)*(D15*'OM Assumptions'!$B$25*'OM Assumptions'!$B$27*'OM Assumptions'!$B$28)</f>
        <v>81970.668000000005</v>
      </c>
      <c r="J15" s="710">
        <v>4</v>
      </c>
      <c r="K15" s="742">
        <f>(I15*(1+'OM Assumptions'!$B$30))+(J15-H15)*(D15*'OM Assumptions'!$B$25*'OM Assumptions'!$B$27*'OM Assumptions'!$B$28)</f>
        <v>110949.78804000001</v>
      </c>
      <c r="L15" s="710">
        <v>4</v>
      </c>
      <c r="M15" s="959">
        <f>(K15*(1+'OM Assumptions'!B$30))+((L15-J15)*(D15*'OM Assumptions'!$B$25*'OM Assumptions'!$B$27*'OM Assumptions'!$B$28))</f>
        <v>114278.28168120002</v>
      </c>
    </row>
    <row r="16" spans="1:13">
      <c r="A16" s="364" t="s">
        <v>504</v>
      </c>
      <c r="B16" s="710" t="s">
        <v>505</v>
      </c>
      <c r="C16" s="710">
        <v>1</v>
      </c>
      <c r="D16" s="744">
        <f>'OM Assumptions'!B$31</f>
        <v>12.75</v>
      </c>
      <c r="E16" s="742">
        <f>D16*C16*('OM Assumptions'!B$25*'OM Assumptions'!B$27*'OM Assumptions'!$B$28)</f>
        <v>26520</v>
      </c>
      <c r="F16" s="710">
        <v>2</v>
      </c>
      <c r="G16" s="742">
        <f>(E16*(1+'OM Assumptions'!B30))+((F16-C16)*(D16*'OM Assumptions'!B25*'OM Assumptions'!B27*'OM Assumptions'!B28))</f>
        <v>53835.600000000006</v>
      </c>
      <c r="H16" s="710">
        <v>3</v>
      </c>
      <c r="I16" s="742">
        <f>(G16*(1+'OM Assumptions'!$B$30))+(H16-F16)*(D16*'OM Assumptions'!$B$25*'OM Assumptions'!$B$27*'OM Assumptions'!$B$28)</f>
        <v>81970.668000000005</v>
      </c>
      <c r="J16" s="710">
        <v>3</v>
      </c>
      <c r="K16" s="742">
        <f>(I16*(1+'OM Assumptions'!$B$30))+(J16-H16)*(D16*'OM Assumptions'!$B$25*'OM Assumptions'!$B$27*'OM Assumptions'!$B$28)</f>
        <v>84429.788040000014</v>
      </c>
      <c r="L16" s="709">
        <v>4</v>
      </c>
      <c r="M16" s="959">
        <f>(K16*(1+'OM Assumptions'!B$30))+((L16-J16)*(D16*'OM Assumptions'!$B$25*'OM Assumptions'!$B$27*'OM Assumptions'!$B$28))</f>
        <v>113482.68168120002</v>
      </c>
    </row>
    <row r="17" spans="1:13">
      <c r="A17" s="364" t="s">
        <v>502</v>
      </c>
      <c r="B17" s="710" t="s">
        <v>506</v>
      </c>
      <c r="C17" s="710">
        <v>6</v>
      </c>
      <c r="D17" s="744">
        <f>'OM Assumptions'!B$31</f>
        <v>12.75</v>
      </c>
      <c r="E17" s="742">
        <f>D17*C17*('OM Assumptions'!B$25*'OM Assumptions'!B$27*'OM Assumptions'!$B$28)</f>
        <v>159120</v>
      </c>
      <c r="F17" s="710">
        <v>10</v>
      </c>
      <c r="G17" s="742">
        <f>(E17*(1+'OM Assumptions'!B30))+((F17-C17)*(D17*'OM Assumptions'!$B$25*'OM Assumptions'!$B$27*'OM Assumptions'!$B$28))</f>
        <v>269973.59999999998</v>
      </c>
      <c r="H17" s="710">
        <v>13</v>
      </c>
      <c r="I17" s="742">
        <f>(G17*(1+'OM Assumptions'!$B$30))+(H17-F17)*(D17*'OM Assumptions'!$B$25*'OM Assumptions'!$B$27*'OM Assumptions'!$B$28)</f>
        <v>357632.80799999996</v>
      </c>
      <c r="J17" s="710">
        <v>16</v>
      </c>
      <c r="K17" s="742">
        <f>(I17*(1+'OM Assumptions'!$B$30))+(J17-H17)*(D17*'OM Assumptions'!$B$25*'OM Assumptions'!$B$27*'OM Assumptions'!$B$28)</f>
        <v>447921.79223999998</v>
      </c>
      <c r="L17" s="710">
        <v>19</v>
      </c>
      <c r="M17" s="959">
        <f>(K17*(1+'OM Assumptions'!B$30))+((L17-J17)*(D17*'OM Assumptions'!$B$25*'OM Assumptions'!$B$27*'OM Assumptions'!$B$28))</f>
        <v>540919.44600720005</v>
      </c>
    </row>
    <row r="18" spans="1:13">
      <c r="A18" s="364" t="s">
        <v>507</v>
      </c>
      <c r="B18" s="710" t="s">
        <v>508</v>
      </c>
      <c r="C18" s="710">
        <v>1</v>
      </c>
      <c r="D18" s="744">
        <f>'OM Assumptions'!B$31</f>
        <v>12.75</v>
      </c>
      <c r="E18" s="742">
        <f>D18*C18*('OM Assumptions'!B$26*'OM Assumptions'!B$27*'OM Assumptions'!$B$28)</f>
        <v>13260</v>
      </c>
      <c r="F18" s="710">
        <v>1</v>
      </c>
      <c r="G18" s="742">
        <f>(E18*(1+'OM Assumptions'!B$30))+((F18-C18)*(D18*'OM Assumptions'!B28*'OM Assumptions'!B30*'OM Assumptions'!B31))</f>
        <v>13657.800000000001</v>
      </c>
      <c r="H18" s="710">
        <v>1</v>
      </c>
      <c r="I18" s="742">
        <f>(G18*(1+'OM Assumptions'!$B$30))+(H18-F18)*(D18*'OM Assumptions'!$B$25*'OM Assumptions'!$B$27*'OM Assumptions'!$B$28)</f>
        <v>14067.534000000001</v>
      </c>
      <c r="J18" s="710">
        <v>1</v>
      </c>
      <c r="K18" s="742">
        <f>(I18*(1+'OM Assumptions'!$B$30))+(J18-H18)*(D18*'OM Assumptions'!$B$25*'OM Assumptions'!$B$27*'OM Assumptions'!$B$28)</f>
        <v>14489.560020000003</v>
      </c>
      <c r="L18" s="710">
        <v>1</v>
      </c>
      <c r="M18" s="959">
        <f>(K18*(1+'OM Assumptions'!B$30))+((L18-J18)*(D18*'OM Assumptions'!$B$25*'OM Assumptions'!$B$27*'OM Assumptions'!$B$28))</f>
        <v>14924.246820600003</v>
      </c>
    </row>
    <row r="19" spans="1:13">
      <c r="A19" s="364" t="s">
        <v>502</v>
      </c>
      <c r="B19" s="710" t="s">
        <v>509</v>
      </c>
      <c r="C19" s="710">
        <v>2</v>
      </c>
      <c r="D19" s="744">
        <f>'OM Assumptions'!B$31</f>
        <v>12.75</v>
      </c>
      <c r="E19" s="742">
        <f>D19*C19*('OM Assumptions'!B$25*'OM Assumptions'!B$27*'OM Assumptions'!$B$28)</f>
        <v>53040</v>
      </c>
      <c r="F19" s="710">
        <v>2</v>
      </c>
      <c r="G19" s="742">
        <f>(E19*(1+'OM Assumptions'!B30))+((F19-C19)*(D19*'OM Assumptions'!$B$25*'OM Assumptions'!$B$27*'OM Assumptions'!$B$28))</f>
        <v>54631.200000000004</v>
      </c>
      <c r="H19" s="710">
        <v>3</v>
      </c>
      <c r="I19" s="742">
        <f>(G19*(1+'OM Assumptions'!$B$30))+(H19-F19)*(D19*'OM Assumptions'!$B$25*'OM Assumptions'!$B$27*'OM Assumptions'!$B$28)</f>
        <v>82790.135999999999</v>
      </c>
      <c r="J19" s="710">
        <v>3</v>
      </c>
      <c r="K19" s="742">
        <f>(I19*(1+'OM Assumptions'!$B$30))+(J19-H19)*(D19*'OM Assumptions'!$B$25*'OM Assumptions'!$B$27*'OM Assumptions'!$B$28)</f>
        <v>85273.840079999994</v>
      </c>
      <c r="L19" s="710">
        <v>3</v>
      </c>
      <c r="M19" s="959">
        <f>(K19*(1+'OM Assumptions'!B$30))+((L19-J19)*(D19*'OM Assumptions'!$B$25*'OM Assumptions'!$B$27*'OM Assumptions'!$B$28))</f>
        <v>87832.05528239999</v>
      </c>
    </row>
    <row r="20" spans="1:13">
      <c r="A20" s="366" t="s">
        <v>507</v>
      </c>
      <c r="B20" s="253" t="s">
        <v>510</v>
      </c>
      <c r="C20" s="253">
        <v>0</v>
      </c>
      <c r="D20" s="744">
        <f>'OM Assumptions'!B$31</f>
        <v>12.75</v>
      </c>
      <c r="E20" s="740">
        <v>0</v>
      </c>
      <c r="F20" s="253">
        <v>1</v>
      </c>
      <c r="G20" s="742">
        <f>(D20*'OM Assumptions'!B25*'OM Assumptions'!B27*'OM Assumptions'!B28)</f>
        <v>26520</v>
      </c>
      <c r="H20" s="253">
        <v>1</v>
      </c>
      <c r="I20" s="742">
        <f>(G20*(1+'OM Assumptions'!$B$30))+(H20-F20)*(D20*'OM Assumptions'!$B$25*'OM Assumptions'!$B$27*'OM Assumptions'!$B$28)</f>
        <v>27315.600000000002</v>
      </c>
      <c r="J20" s="253">
        <v>1</v>
      </c>
      <c r="K20" s="742">
        <f>(I20*(1+'OM Assumptions'!$B$30))+(J20-H20)*(D20*'OM Assumptions'!$B$25*'OM Assumptions'!$B$27*'OM Assumptions'!$B$28)</f>
        <v>28135.068000000003</v>
      </c>
      <c r="L20" s="253">
        <v>1</v>
      </c>
      <c r="M20" s="959">
        <f>(K20*(1+'OM Assumptions'!B$30))+((L20-J20)*(D20*'OM Assumptions'!$B$25*'OM Assumptions'!$B$27*'OM Assumptions'!$B$28))</f>
        <v>28979.120040000005</v>
      </c>
    </row>
    <row r="21" spans="1:13">
      <c r="A21" s="367" t="s">
        <v>115</v>
      </c>
      <c r="B21" s="983" t="s">
        <v>42</v>
      </c>
      <c r="C21" s="983">
        <f>SUM(C4:C20)</f>
        <v>15</v>
      </c>
      <c r="D21" s="253" t="s">
        <v>42</v>
      </c>
      <c r="E21" s="984">
        <f>SUM(E4:E20)</f>
        <v>516460</v>
      </c>
      <c r="F21" s="983">
        <v>22</v>
      </c>
      <c r="G21" s="984">
        <f>SUM(G4:G20)</f>
        <v>717593.79999999993</v>
      </c>
      <c r="H21" s="983">
        <v>32</v>
      </c>
      <c r="I21" s="984">
        <f>SUM(I4:I20)</f>
        <v>1163241.6140000001</v>
      </c>
      <c r="J21" s="983">
        <v>39</v>
      </c>
      <c r="K21" s="984">
        <f>SUM(K4:K20)</f>
        <v>1432278.8624199999</v>
      </c>
      <c r="L21" s="983">
        <v>43</v>
      </c>
      <c r="M21" s="985">
        <f>SUM(M4:M20)</f>
        <v>1581327.2282926</v>
      </c>
    </row>
    <row r="22" spans="1:13">
      <c r="A22" s="979" t="s">
        <v>511</v>
      </c>
      <c r="B22" s="980" t="s">
        <v>42</v>
      </c>
      <c r="C22" s="980" t="s">
        <v>42</v>
      </c>
      <c r="D22" s="980" t="s">
        <v>42</v>
      </c>
      <c r="E22" s="974">
        <f>E21/'MK Bases Model (Base Case)'!B13</f>
        <v>5.1589152880657725</v>
      </c>
      <c r="F22" s="980" t="s">
        <v>42</v>
      </c>
      <c r="G22" s="981">
        <f>G21/'MK Bases Model (Base Case)'!C13</f>
        <v>3.4849823663210313</v>
      </c>
      <c r="H22" s="980" t="s">
        <v>42</v>
      </c>
      <c r="I22" s="981">
        <f>I21/'MK Bases Model (Base Case)'!D13</f>
        <v>4.2018861062450021</v>
      </c>
      <c r="J22" s="980" t="s">
        <v>42</v>
      </c>
      <c r="K22" s="981">
        <f>K21/'MK Bases Model (Base Case)'!E13</f>
        <v>4.0550258211857475</v>
      </c>
      <c r="L22" s="980" t="s">
        <v>42</v>
      </c>
      <c r="M22" s="982">
        <f>M21/'MK Bases Model (Base Case)'!F13</f>
        <v>3.6253057172071137</v>
      </c>
    </row>
    <row r="23" spans="1:13">
      <c r="A23" s="978" t="s">
        <v>512</v>
      </c>
      <c r="B23" s="960" t="s">
        <v>42</v>
      </c>
      <c r="C23" s="960" t="s">
        <v>42</v>
      </c>
      <c r="D23" s="960" t="s">
        <v>42</v>
      </c>
      <c r="E23" s="961">
        <f>(E15+E16+E17+E19)/'MK Bases Model (Base Case)'!B13</f>
        <v>2.6490809247474014</v>
      </c>
      <c r="F23" s="960" t="s">
        <v>42</v>
      </c>
      <c r="G23" s="962">
        <f>(G15+G16+G17+G19)/'MK Bases Model (Base Case)'!C13</f>
        <v>2.099341211398134</v>
      </c>
      <c r="H23" s="960" t="s">
        <v>42</v>
      </c>
      <c r="I23" s="962">
        <f>(I15+I16+I17+I19)/'MK Bases Model (Base Case)'!D13</f>
        <v>2.1830975101641816</v>
      </c>
      <c r="J23" s="960" t="s">
        <v>42</v>
      </c>
      <c r="K23" s="962">
        <f>(K15+K16+K17+K19)/'MK Bases Model (Base Case)'!E13</f>
        <v>2.0627207174907292</v>
      </c>
      <c r="L23" s="960" t="s">
        <v>42</v>
      </c>
      <c r="M23" s="963">
        <f>(M15+M16+M17+M19)/'MK Bases Model (Base Case)'!F13</f>
        <v>1.963616055808215</v>
      </c>
    </row>
    <row r="24" spans="1:13">
      <c r="A24" s="65"/>
      <c r="B24" s="65"/>
      <c r="C24" s="65"/>
      <c r="D24" s="65"/>
      <c r="E24" s="65"/>
      <c r="F24" s="65"/>
      <c r="G24" s="65"/>
      <c r="H24" s="65"/>
      <c r="I24" s="65"/>
      <c r="J24" s="65"/>
      <c r="K24" s="65"/>
      <c r="L24" s="65"/>
      <c r="M24" s="65"/>
    </row>
    <row r="25" spans="1:13">
      <c r="A25" s="65"/>
      <c r="B25" s="65"/>
      <c r="C25" s="65"/>
      <c r="E25" s="65"/>
      <c r="F25" s="65"/>
      <c r="G25" s="65"/>
      <c r="H25" s="65"/>
      <c r="I25" s="65"/>
      <c r="J25" s="65"/>
      <c r="K25" s="65"/>
      <c r="L25" s="65"/>
      <c r="M25" s="65"/>
    </row>
    <row r="26" spans="1:13">
      <c r="A26" s="65"/>
      <c r="B26" s="65"/>
      <c r="C26" s="65"/>
      <c r="D26" s="65"/>
      <c r="E26" s="65"/>
      <c r="F26" s="65"/>
      <c r="G26" s="65"/>
      <c r="H26" s="65"/>
      <c r="I26" s="65"/>
      <c r="J26" s="65"/>
      <c r="K26" s="65"/>
      <c r="L26" s="65"/>
      <c r="M26" s="65"/>
    </row>
  </sheetData>
  <hyperlinks>
    <hyperlink ref="A1" location="'Index'!A1" display="Back to Index" xr:uid="{4DA72010-933E-42D9-BDCB-291A6CA011E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0FD9E-9946-40DA-B338-F4C4A06B0C21}">
  <sheetPr>
    <tabColor rgb="FFFFF2CC"/>
  </sheetPr>
  <dimension ref="A1:K14"/>
  <sheetViews>
    <sheetView workbookViewId="0">
      <selection activeCell="H14" sqref="H14"/>
    </sheetView>
  </sheetViews>
  <sheetFormatPr defaultColWidth="8.875" defaultRowHeight="15.95"/>
  <cols>
    <col min="1" max="1" width="25" bestFit="1" customWidth="1"/>
    <col min="2" max="2" width="14" bestFit="1" customWidth="1"/>
    <col min="3" max="3" width="12.375" customWidth="1"/>
    <col min="4" max="5" width="12" bestFit="1" customWidth="1"/>
    <col min="6" max="6" width="13.625" customWidth="1"/>
    <col min="7" max="7" width="12.875" customWidth="1"/>
    <col min="9" max="9" width="11.5" customWidth="1"/>
  </cols>
  <sheetData>
    <row r="1" spans="1:11">
      <c r="A1" s="44" t="s">
        <v>41</v>
      </c>
    </row>
    <row r="2" spans="1:11">
      <c r="A2" s="680" t="s">
        <v>513</v>
      </c>
      <c r="I2" s="103"/>
    </row>
    <row r="3" spans="1:11" ht="33.950000000000003">
      <c r="A3" s="406" t="s">
        <v>514</v>
      </c>
      <c r="B3" s="407" t="s">
        <v>515</v>
      </c>
      <c r="C3" s="406" t="s">
        <v>516</v>
      </c>
      <c r="D3" s="406" t="s">
        <v>517</v>
      </c>
      <c r="E3" s="406" t="s">
        <v>518</v>
      </c>
      <c r="F3" s="406" t="s">
        <v>519</v>
      </c>
      <c r="G3" s="406" t="s">
        <v>520</v>
      </c>
      <c r="I3" s="103"/>
    </row>
    <row r="4" spans="1:11">
      <c r="A4" s="93" t="s">
        <v>385</v>
      </c>
      <c r="B4" s="745">
        <f>'OM Assumptions'!B98</f>
        <v>10950</v>
      </c>
      <c r="C4" s="746">
        <f>$B$4/'MK Bases Model (Base Case)'!B13</f>
        <v>0.10937947257158388</v>
      </c>
      <c r="D4" s="746">
        <f>$B$4/'MK Bases Model (Base Case)'!C13</f>
        <v>5.3178493057235578E-2</v>
      </c>
      <c r="E4" s="746">
        <f>$B$4/'MK Bases Model (Base Case)'!D13</f>
        <v>3.955382296302784E-2</v>
      </c>
      <c r="F4" s="746">
        <f>$B$4/'MK Bases Model (Base Case)'!E13</f>
        <v>3.1001318183918984E-2</v>
      </c>
      <c r="G4" s="746">
        <f>$B$4/'MK Bases Model (Base Case)'!F13</f>
        <v>2.5103657796545931E-2</v>
      </c>
      <c r="I4" s="22"/>
      <c r="J4" s="22"/>
      <c r="K4" s="22"/>
    </row>
    <row r="5" spans="1:11">
      <c r="A5" s="96" t="s">
        <v>386</v>
      </c>
      <c r="B5" s="747">
        <f>'OM Assumptions'!B99</f>
        <v>4800</v>
      </c>
      <c r="C5" s="97">
        <f>$B$5/'MK Bases Model (Base Case)'!B13</f>
        <v>4.7947166058776497E-2</v>
      </c>
      <c r="D5" s="97">
        <f>$B$5/'MK Bases Model (Base Case)'!C13</f>
        <v>2.3311120244267652E-2</v>
      </c>
      <c r="E5" s="97">
        <f>$B$5/'MK Bases Model (Base Case)'!D13</f>
        <v>1.7338662120779329E-2</v>
      </c>
      <c r="F5" s="562">
        <f>$B$5/'MK Bases Model (Base Case)'!E13</f>
        <v>1.3589618929937089E-2</v>
      </c>
      <c r="G5" s="97">
        <f>$B$5/'MK Bases Model (Base Case)'!F13</f>
        <v>1.1004343143691366E-2</v>
      </c>
    </row>
    <row r="6" spans="1:11">
      <c r="A6" s="405" t="s">
        <v>521</v>
      </c>
      <c r="B6" s="383">
        <f t="shared" ref="B6:G6" si="0">SUM(B4:B5)</f>
        <v>15750</v>
      </c>
      <c r="C6" s="384">
        <f t="shared" si="0"/>
        <v>0.15732663863036039</v>
      </c>
      <c r="D6" s="384">
        <f t="shared" si="0"/>
        <v>7.6489613301503223E-2</v>
      </c>
      <c r="E6" s="384">
        <f t="shared" si="0"/>
        <v>5.6892485083807169E-2</v>
      </c>
      <c r="F6" s="384">
        <f t="shared" si="0"/>
        <v>4.4590937113856075E-2</v>
      </c>
      <c r="G6" s="384">
        <f t="shared" si="0"/>
        <v>3.6108000940237299E-2</v>
      </c>
      <c r="H6" s="22"/>
    </row>
    <row r="7" spans="1:11">
      <c r="B7" s="136"/>
    </row>
    <row r="8" spans="1:11">
      <c r="A8" s="408" t="s">
        <v>522</v>
      </c>
      <c r="B8" s="409"/>
      <c r="C8" s="410" t="s">
        <v>523</v>
      </c>
      <c r="D8" s="410" t="s">
        <v>524</v>
      </c>
      <c r="E8" s="410" t="s">
        <v>525</v>
      </c>
      <c r="F8" s="410" t="s">
        <v>526</v>
      </c>
      <c r="G8" s="411" t="s">
        <v>527</v>
      </c>
      <c r="H8" s="844" t="s">
        <v>64</v>
      </c>
    </row>
    <row r="9" spans="1:11">
      <c r="A9" s="107" t="s">
        <v>528</v>
      </c>
      <c r="B9" s="387"/>
      <c r="C9" s="389">
        <f>'OM Labor Y1-Y5'!E20+'OM Labor Y1-Y5'!E18+'OM Labor Y1-Y5'!E14</f>
        <v>13260</v>
      </c>
      <c r="D9" s="389">
        <f>'OM Labor Y1-Y5'!G20+'OM Labor Y1-Y5'!G18+'OM Labor Y1-Y5'!G14</f>
        <v>40177.800000000003</v>
      </c>
      <c r="E9" s="389">
        <f>'OM Labor Y1-Y5'!I20+'OM Labor Y1-Y5'!I18+'OM Labor Y1-Y5'!I14</f>
        <v>41383.134000000005</v>
      </c>
      <c r="F9" s="389">
        <f>'OM Labor Y1-Y5'!K20+'OM Labor Y1-Y5'!K18+'OM Labor Y1-Y5'!K14</f>
        <v>70184.628020000004</v>
      </c>
      <c r="G9" s="840">
        <f>'OM Labor Y1-Y5'!M20+'OM Labor Y1-Y5'!M18+'OM Labor Y1-Y5'!M14</f>
        <v>72290.166860600002</v>
      </c>
      <c r="H9" s="845"/>
    </row>
    <row r="10" spans="1:11">
      <c r="A10" s="107" t="s">
        <v>529</v>
      </c>
      <c r="B10" s="387"/>
      <c r="C10" s="102">
        <f>C9/'MK Bases Model (Base Case)'!B13</f>
        <v>0.13245404623737006</v>
      </c>
      <c r="D10" s="102">
        <f>D9/'MK Bases Model (Base Case)'!C13</f>
        <v>0.19512281811461185</v>
      </c>
      <c r="E10" s="102">
        <f>E9/'MK Bases Model (Base Case)'!D13</f>
        <v>0.14948503706769484</v>
      </c>
      <c r="F10" s="102">
        <f>F9/'MK Bases Model (Base Case)'!E13</f>
        <v>0.19870465615233021</v>
      </c>
      <c r="G10" s="841">
        <f>G9/'MK Bases Model (Base Case)'!F13</f>
        <v>0.16573037542682259</v>
      </c>
      <c r="H10" s="845"/>
    </row>
    <row r="11" spans="1:11">
      <c r="A11" s="107" t="s">
        <v>530</v>
      </c>
      <c r="B11" s="387"/>
      <c r="C11" s="562">
        <f>'OM Inventory Y1-Y5'!M30</f>
        <v>2458.63</v>
      </c>
      <c r="D11" s="95">
        <f>'OM Inventory Y1-Y5'!O30</f>
        <v>2130.1400000000003</v>
      </c>
      <c r="E11" s="95">
        <f>'OM Inventory Y1-Y5'!Q30</f>
        <v>2401.58</v>
      </c>
      <c r="F11" s="95">
        <f>'OM Inventory Y1-Y5'!S30</f>
        <v>2492.06</v>
      </c>
      <c r="G11" s="842">
        <f>'OM Inventory Y1-Y5'!U30</f>
        <v>2944.4599999999996</v>
      </c>
      <c r="H11" s="845"/>
    </row>
    <row r="12" spans="1:11">
      <c r="A12" s="107" t="s">
        <v>531</v>
      </c>
      <c r="B12" s="387"/>
      <c r="C12" s="95">
        <f>C11/'MK Bases Model (Base Case)'!B13</f>
        <v>2.4559237684810345E-2</v>
      </c>
      <c r="D12" s="95">
        <f>D11/'MK Bases Model (Base Case)'!C13</f>
        <v>1.0344989516067563E-2</v>
      </c>
      <c r="E12" s="95">
        <f>E11/'MK Bases Model (Base Case)'!D13</f>
        <v>8.6750383700044207E-3</v>
      </c>
      <c r="F12" s="95">
        <f>F11/'MK Bases Model (Base Case)'!E13</f>
        <v>7.0554470313622959E-3</v>
      </c>
      <c r="G12" s="842">
        <f>G11/'MK Bases Model (Base Case)'!F13</f>
        <v>6.7503850443486413E-3</v>
      </c>
      <c r="H12" s="845"/>
    </row>
    <row r="13" spans="1:11">
      <c r="A13" s="107" t="s">
        <v>532</v>
      </c>
      <c r="B13" s="387"/>
      <c r="C13" s="389">
        <f>(C9+$B$4+$B$5+C11)*$H$13</f>
        <v>31468.63</v>
      </c>
      <c r="D13" s="389">
        <f>(D9+$B$4+$B$5+D11)*$H$13</f>
        <v>58057.94</v>
      </c>
      <c r="E13" s="389">
        <f>(E9+$B$4+$B$5+E11)*$H$13</f>
        <v>59534.714000000007</v>
      </c>
      <c r="F13" s="389">
        <f>(F9+$B$4+$B$5+F11)*$H$13</f>
        <v>88426.688020000001</v>
      </c>
      <c r="G13" s="840">
        <f>(G9+$B$4+$B$5+G11)*$H$13</f>
        <v>90984.626860600009</v>
      </c>
      <c r="H13" s="846">
        <v>1</v>
      </c>
    </row>
    <row r="14" spans="1:11">
      <c r="A14" s="382" t="s">
        <v>533</v>
      </c>
      <c r="B14" s="383"/>
      <c r="C14" s="390">
        <f>C12+C10+C5+C4</f>
        <v>0.31433992255254078</v>
      </c>
      <c r="D14" s="390">
        <f>D12+D10+D5+D4</f>
        <v>0.28195742093218262</v>
      </c>
      <c r="E14" s="390">
        <f>E12+E10+E5+E4</f>
        <v>0.21505256052150643</v>
      </c>
      <c r="F14" s="390">
        <f>F12+F10+F5+F4</f>
        <v>0.25035104029754857</v>
      </c>
      <c r="G14" s="843">
        <f>G12+G10+G5+G4</f>
        <v>0.20858876141140853</v>
      </c>
      <c r="H14" s="845"/>
    </row>
  </sheetData>
  <hyperlinks>
    <hyperlink ref="A1" location="'Index'!A1" display="Back to Index" xr:uid="{952A0BB2-2652-42E6-AD30-77EE989F6367}"/>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E4240-248B-40EB-A908-644F0C2AA05F}">
  <sheetPr>
    <tabColor rgb="FFFFF2CC"/>
  </sheetPr>
  <dimension ref="A1:K33"/>
  <sheetViews>
    <sheetView showFormulas="1" topLeftCell="F1" workbookViewId="0">
      <selection activeCell="F13" sqref="F13"/>
    </sheetView>
  </sheetViews>
  <sheetFormatPr defaultColWidth="8.875" defaultRowHeight="15.95"/>
  <cols>
    <col min="1" max="1" width="27.625" customWidth="1"/>
    <col min="2" max="2" width="24.875" customWidth="1"/>
    <col min="3" max="3" width="9.125" bestFit="1" customWidth="1"/>
    <col min="4" max="8" width="10.625" bestFit="1" customWidth="1"/>
    <col min="9" max="9" width="19.125" customWidth="1"/>
  </cols>
  <sheetData>
    <row r="1" spans="1:11">
      <c r="A1" s="44" t="s">
        <v>41</v>
      </c>
    </row>
    <row r="2" spans="1:11">
      <c r="A2" s="680" t="s">
        <v>534</v>
      </c>
    </row>
    <row r="3" spans="1:11">
      <c r="A3" s="481" t="s">
        <v>535</v>
      </c>
      <c r="B3" s="482"/>
      <c r="C3" s="483" t="s">
        <v>536</v>
      </c>
      <c r="D3" s="483" t="s">
        <v>80</v>
      </c>
      <c r="E3" s="483" t="s">
        <v>93</v>
      </c>
      <c r="F3" s="483" t="s">
        <v>94</v>
      </c>
      <c r="G3" s="483" t="s">
        <v>95</v>
      </c>
      <c r="H3" s="484" t="s">
        <v>96</v>
      </c>
      <c r="K3" s="136"/>
    </row>
    <row r="4" spans="1:11">
      <c r="A4" s="105" t="s">
        <v>537</v>
      </c>
      <c r="B4" s="128" t="s">
        <v>538</v>
      </c>
      <c r="C4" s="136">
        <v>0</v>
      </c>
      <c r="D4" s="136">
        <f>'OM Assumptions'!$B$70*SUM('OM Labor Y1-Y5'!C4:C14)</f>
        <v>2400</v>
      </c>
      <c r="E4" s="136">
        <f>'OM Assumptions'!$B$70*SUM('OM Labor Y1-Y5'!F4:F14)</f>
        <v>2400</v>
      </c>
      <c r="F4" s="136">
        <f>'OM Assumptions'!$B$70*SUM('OM Labor Y1-Y5'!H4:H14)</f>
        <v>4800</v>
      </c>
      <c r="G4" s="136">
        <f>'OM Assumptions'!$B$70*SUM('OM Labor Y1-Y5'!J4:J14)</f>
        <v>6600</v>
      </c>
      <c r="H4" s="428">
        <f>'OM Assumptions'!$B$70*SUM('OM Labor Y1-Y5'!L4:L14)</f>
        <v>6600</v>
      </c>
      <c r="K4" s="428"/>
    </row>
    <row r="5" spans="1:11">
      <c r="A5" s="105"/>
      <c r="B5" s="128" t="s">
        <v>539</v>
      </c>
      <c r="C5" s="136">
        <f>'OM Assumptions'!B69</f>
        <v>20000</v>
      </c>
      <c r="D5" s="136">
        <v>0</v>
      </c>
      <c r="E5" s="136">
        <v>0</v>
      </c>
      <c r="F5" s="136">
        <v>0</v>
      </c>
      <c r="G5" s="136">
        <v>0</v>
      </c>
      <c r="H5" s="428">
        <v>0</v>
      </c>
      <c r="K5" s="136"/>
    </row>
    <row r="6" spans="1:11">
      <c r="A6" s="105"/>
      <c r="B6" s="128" t="s">
        <v>540</v>
      </c>
      <c r="C6" s="136">
        <v>0</v>
      </c>
      <c r="D6" s="136">
        <f>$C$5*'OM Assumptions'!$B$71</f>
        <v>1000</v>
      </c>
      <c r="E6" s="136">
        <f>$C$5*'OM Assumptions'!$B$71</f>
        <v>1000</v>
      </c>
      <c r="F6" s="136">
        <f>$C$5*'OM Assumptions'!$B$71</f>
        <v>1000</v>
      </c>
      <c r="G6" s="136">
        <f>$C$5*'OM Assumptions'!$B$71</f>
        <v>1000</v>
      </c>
      <c r="H6" s="428">
        <f>$C$5*'OM Assumptions'!$B$71</f>
        <v>1000</v>
      </c>
      <c r="K6" s="136"/>
    </row>
    <row r="7" spans="1:11">
      <c r="A7" s="105"/>
      <c r="B7" s="128" t="s">
        <v>541</v>
      </c>
      <c r="C7" s="136">
        <f>'OM Assumptions'!B75+'OM Assumptions'!B74</f>
        <v>1400</v>
      </c>
      <c r="D7" s="136">
        <f>$C$7*'OM Assumptions'!$B$80</f>
        <v>140</v>
      </c>
      <c r="E7" s="136">
        <f>$C$7*'OM Assumptions'!$B$80</f>
        <v>140</v>
      </c>
      <c r="F7" s="136">
        <f>$C$7*'OM Assumptions'!$B$80</f>
        <v>140</v>
      </c>
      <c r="G7" s="136">
        <f>$C$7*'OM Assumptions'!$B$80</f>
        <v>140</v>
      </c>
      <c r="H7" s="428">
        <f>$C$7*'OM Assumptions'!$B$80</f>
        <v>140</v>
      </c>
      <c r="K7" s="136"/>
    </row>
    <row r="8" spans="1:11">
      <c r="A8" s="105"/>
      <c r="B8" s="128" t="s">
        <v>365</v>
      </c>
      <c r="C8" s="136">
        <f>'OM Assumptions'!B76</f>
        <v>5000</v>
      </c>
      <c r="D8" s="136">
        <f>'OM Assumptions'!$B$77</f>
        <v>1000</v>
      </c>
      <c r="E8" s="136">
        <f>'OM Assumptions'!$B$77</f>
        <v>1000</v>
      </c>
      <c r="F8" s="136">
        <f>'OM Assumptions'!$B$77</f>
        <v>1000</v>
      </c>
      <c r="G8" s="136">
        <f>'OM Assumptions'!$B$77</f>
        <v>1000</v>
      </c>
      <c r="H8" s="428">
        <f>'OM Assumptions'!$B$77</f>
        <v>1000</v>
      </c>
      <c r="K8" s="136"/>
    </row>
    <row r="9" spans="1:11">
      <c r="A9" s="105"/>
      <c r="B9" s="128" t="s">
        <v>542</v>
      </c>
      <c r="C9" s="136">
        <f>'OM Assumptions'!B83</f>
        <v>5500</v>
      </c>
      <c r="D9" s="136">
        <f>'OM Assumptions'!$B$84*SUM('OM IS Expenses Y1-Y5'!D25:D26)</f>
        <v>400</v>
      </c>
      <c r="E9" s="136">
        <f>'OM Assumptions'!$B$84*SUM('OM IS Expenses Y1-Y5'!E25:E26)</f>
        <v>400</v>
      </c>
      <c r="F9" s="136">
        <f>'OM Assumptions'!$B$84*SUM('OM IS Expenses Y1-Y5'!F25:F26)</f>
        <v>1200</v>
      </c>
      <c r="G9" s="136">
        <f>'OM Assumptions'!$B$84*SUM('OM IS Expenses Y1-Y5'!G25:G26)</f>
        <v>800</v>
      </c>
      <c r="H9" s="428">
        <f>'OM Assumptions'!$B$84*SUM('OM IS Expenses Y1-Y5'!H25:H26)</f>
        <v>800</v>
      </c>
    </row>
    <row r="10" spans="1:11">
      <c r="A10" s="104" t="s">
        <v>543</v>
      </c>
      <c r="B10" s="60"/>
      <c r="C10" s="414">
        <f>SUM(C4:C9)</f>
        <v>31900</v>
      </c>
      <c r="D10" s="414">
        <f>SUM(D4:D9)</f>
        <v>4940</v>
      </c>
      <c r="E10" s="414">
        <f t="shared" ref="E10:H10" si="0">SUM(E4:E9)</f>
        <v>4940</v>
      </c>
      <c r="F10" s="414">
        <f t="shared" si="0"/>
        <v>8140</v>
      </c>
      <c r="G10" s="414">
        <f t="shared" si="0"/>
        <v>9540</v>
      </c>
      <c r="H10" s="446">
        <f t="shared" si="0"/>
        <v>9540</v>
      </c>
    </row>
    <row r="11" spans="1:11">
      <c r="A11" s="485" t="s">
        <v>535</v>
      </c>
      <c r="B11" s="485"/>
      <c r="C11" s="502" t="s">
        <v>536</v>
      </c>
      <c r="D11" s="503" t="s">
        <v>80</v>
      </c>
      <c r="E11" s="503" t="s">
        <v>93</v>
      </c>
      <c r="F11" s="503" t="s">
        <v>94</v>
      </c>
      <c r="G11" s="503" t="s">
        <v>95</v>
      </c>
      <c r="H11" s="503" t="s">
        <v>96</v>
      </c>
      <c r="I11" s="420" t="s">
        <v>544</v>
      </c>
      <c r="J11" s="388"/>
    </row>
    <row r="12" spans="1:11">
      <c r="A12" s="105" t="s">
        <v>545</v>
      </c>
      <c r="B12" s="105" t="s">
        <v>546</v>
      </c>
      <c r="C12" s="486">
        <f>'OM Assumptions'!$B$72*C22</f>
        <v>2000</v>
      </c>
      <c r="D12" s="486">
        <f>'OM Assumptions'!$B$72*'OM IS Expenses Y1-Y5'!D21</f>
        <v>0</v>
      </c>
      <c r="E12" s="486">
        <f>'OM Assumptions'!$B$72*E21</f>
        <v>0</v>
      </c>
      <c r="F12" s="486">
        <f>'OM Assumptions'!$B$72*F22</f>
        <v>3000</v>
      </c>
      <c r="G12" s="486">
        <f>'OM Assumptions'!$B$72*G21</f>
        <v>1000</v>
      </c>
      <c r="H12" s="486">
        <f>'OM Assumptions'!$B$72*H21</f>
        <v>0</v>
      </c>
      <c r="I12" s="388">
        <f>'OM Assumptions'!B72/'OM Assumptions'!B86</f>
        <v>333.33333333333331</v>
      </c>
    </row>
    <row r="13" spans="1:11">
      <c r="A13" s="105"/>
      <c r="B13" s="105" t="s">
        <v>547</v>
      </c>
      <c r="C13" s="486">
        <f>'OM Assumptions'!$B$73*C23</f>
        <v>750</v>
      </c>
      <c r="D13" s="486">
        <f>'OM Assumptions'!$B$73*D23</f>
        <v>0</v>
      </c>
      <c r="E13" s="486">
        <f>'OM Assumptions'!$B$73*E23</f>
        <v>0</v>
      </c>
      <c r="F13" s="486">
        <f>'OM Assumptions'!$B$73*F23</f>
        <v>2250</v>
      </c>
      <c r="G13" s="486">
        <f>'OM Assumptions'!$B$73*G23</f>
        <v>0</v>
      </c>
      <c r="H13" s="486">
        <f>'OM Assumptions'!$B$73*H23</f>
        <v>0</v>
      </c>
      <c r="I13" s="388">
        <f>'OM Assumptions'!B73/'OM Assumptions'!B86</f>
        <v>250</v>
      </c>
    </row>
    <row r="14" spans="1:11">
      <c r="A14" s="105"/>
      <c r="B14" s="105" t="s">
        <v>548</v>
      </c>
      <c r="C14" s="486">
        <f>'OM Assumptions'!B79</f>
        <v>500</v>
      </c>
      <c r="D14" s="486">
        <f>$C$14*'OM Assumptions'!$B$80</f>
        <v>50</v>
      </c>
      <c r="E14" s="486">
        <f>$C$14*'OM Assumptions'!$B$80</f>
        <v>50</v>
      </c>
      <c r="F14" s="486">
        <f>$C$14*'OM Assumptions'!$B$80</f>
        <v>50</v>
      </c>
      <c r="G14" s="486">
        <f>$C$14*'OM Assumptions'!$B$80</f>
        <v>50</v>
      </c>
      <c r="H14" s="486">
        <f>$C$14*'OM Assumptions'!$B$80</f>
        <v>50</v>
      </c>
      <c r="I14" s="388">
        <f>0</f>
        <v>0</v>
      </c>
    </row>
    <row r="15" spans="1:11">
      <c r="A15" s="105"/>
      <c r="B15" s="105" t="s">
        <v>374</v>
      </c>
      <c r="C15" s="486">
        <f>'OM Assumptions'!B85</f>
        <v>50</v>
      </c>
      <c r="D15" s="486">
        <f>$C$15*'OM Assumptions'!$B$78</f>
        <v>5</v>
      </c>
      <c r="E15" s="486">
        <f>$C$15*'OM Assumptions'!$B$78</f>
        <v>5</v>
      </c>
      <c r="F15" s="486">
        <f>$C$15*'OM Assumptions'!$B$78</f>
        <v>5</v>
      </c>
      <c r="G15" s="486">
        <f>$C$15*'OM Assumptions'!$B$78</f>
        <v>5</v>
      </c>
      <c r="H15" s="486">
        <f>$C$15*'OM Assumptions'!$B$78</f>
        <v>5</v>
      </c>
      <c r="I15" s="388">
        <f>0</f>
        <v>0</v>
      </c>
    </row>
    <row r="16" spans="1:11">
      <c r="A16" s="105"/>
      <c r="B16" s="105" t="s">
        <v>549</v>
      </c>
      <c r="C16" s="486">
        <f>'OM Assumptions'!$B$81*C21</f>
        <v>3000</v>
      </c>
      <c r="D16" s="486">
        <f>'OM Assumptions'!$B$81*D21</f>
        <v>0</v>
      </c>
      <c r="E16" s="486">
        <f>'OM Assumptions'!$B$81*E21</f>
        <v>0</v>
      </c>
      <c r="F16" s="486">
        <f>'OM Assumptions'!$B$81*F21</f>
        <v>7500</v>
      </c>
      <c r="G16" s="486">
        <f>'OM Assumptions'!$B$81*G21</f>
        <v>1500</v>
      </c>
      <c r="H16" s="486">
        <f>'OM Assumptions'!$B$81*H21</f>
        <v>0</v>
      </c>
      <c r="I16" s="388">
        <f>'OM Assumptions'!B81/'OM Assumptions'!B86</f>
        <v>500</v>
      </c>
    </row>
    <row r="17" spans="1:9">
      <c r="A17" s="105"/>
      <c r="B17" s="105" t="s">
        <v>550</v>
      </c>
      <c r="C17" s="486">
        <f>'OM Assumptions'!$B$82*C24</f>
        <v>1500</v>
      </c>
      <c r="D17" s="486">
        <f>'OM Assumptions'!$B$82*D24</f>
        <v>0</v>
      </c>
      <c r="E17" s="486">
        <f>'OM Assumptions'!$B$82*E24</f>
        <v>0</v>
      </c>
      <c r="F17" s="486">
        <f>'OM Assumptions'!$B$82*F24</f>
        <v>3000</v>
      </c>
      <c r="G17" s="486">
        <f>'OM Assumptions'!$B$82*G24</f>
        <v>0</v>
      </c>
      <c r="H17" s="486">
        <f>'OM Assumptions'!$B$82*H24</f>
        <v>0</v>
      </c>
      <c r="I17" s="388">
        <f>'OM Assumptions'!B82/'OM Assumptions'!B86</f>
        <v>500</v>
      </c>
    </row>
    <row r="18" spans="1:9">
      <c r="A18" s="415" t="s">
        <v>551</v>
      </c>
      <c r="B18" s="415"/>
      <c r="C18" s="487">
        <f>SUM(C12:C17)</f>
        <v>7800</v>
      </c>
      <c r="D18" s="487">
        <f t="shared" ref="D18:H18" si="1">SUM(D12:D17)</f>
        <v>55</v>
      </c>
      <c r="E18" s="487">
        <f t="shared" si="1"/>
        <v>55</v>
      </c>
      <c r="F18" s="487">
        <f t="shared" si="1"/>
        <v>15805</v>
      </c>
      <c r="G18" s="487">
        <f t="shared" si="1"/>
        <v>2555</v>
      </c>
      <c r="H18" s="487">
        <f t="shared" si="1"/>
        <v>55</v>
      </c>
      <c r="I18" s="22"/>
    </row>
    <row r="19" spans="1:9">
      <c r="A19" s="110" t="s">
        <v>552</v>
      </c>
      <c r="B19" s="100"/>
      <c r="C19" s="487">
        <f>C18+C10</f>
        <v>39700</v>
      </c>
      <c r="D19" s="487">
        <f t="shared" ref="D19:H19" si="2">D18+D10</f>
        <v>4995</v>
      </c>
      <c r="E19" s="487">
        <f t="shared" si="2"/>
        <v>4995</v>
      </c>
      <c r="F19" s="487">
        <f t="shared" si="2"/>
        <v>23945</v>
      </c>
      <c r="G19" s="487">
        <f t="shared" si="2"/>
        <v>12095</v>
      </c>
      <c r="H19" s="487">
        <f t="shared" si="2"/>
        <v>9595</v>
      </c>
      <c r="I19" s="22"/>
    </row>
    <row r="20" spans="1:9">
      <c r="B20" s="488"/>
      <c r="C20" s="419" t="s">
        <v>536</v>
      </c>
      <c r="D20" s="326" t="s">
        <v>80</v>
      </c>
      <c r="E20" s="326" t="s">
        <v>93</v>
      </c>
      <c r="F20" s="326" t="s">
        <v>94</v>
      </c>
      <c r="G20" s="326" t="s">
        <v>95</v>
      </c>
      <c r="H20" s="489" t="s">
        <v>96</v>
      </c>
    </row>
    <row r="21" spans="1:9">
      <c r="B21" s="55" t="s">
        <v>553</v>
      </c>
      <c r="C21" s="135">
        <f>'OM Labor Y1-Y5'!C4+'OM Labor Y1-Y5'!C7</f>
        <v>2</v>
      </c>
      <c r="D21" s="135">
        <v>0</v>
      </c>
      <c r="E21" s="135">
        <v>0</v>
      </c>
      <c r="F21" s="135">
        <f>'OM Labor Y1-Y5'!H4+'OM Labor Y1-Y5'!H6+'OM Labor Y1-Y5'!H7+'OM Labor Y1-Y5'!H8+'OM Labor Y1-Y5'!H10</f>
        <v>5</v>
      </c>
      <c r="G21" s="135">
        <f>'OM Labor Y1-Y5'!J5</f>
        <v>1</v>
      </c>
      <c r="H21" s="56">
        <v>0</v>
      </c>
    </row>
    <row r="22" spans="1:9">
      <c r="B22" s="60" t="s">
        <v>554</v>
      </c>
      <c r="C22" s="61">
        <f>'OM Labor Y1-Y5'!C11+'OM Labor Y1-Y5'!C12</f>
        <v>2</v>
      </c>
      <c r="D22" s="61">
        <v>0</v>
      </c>
      <c r="E22" s="61">
        <v>0</v>
      </c>
      <c r="F22" s="61">
        <f>'OM Labor Y1-Y5'!H12+'OM Labor Y1-Y5'!H11+'OM Labor Y1-Y5'!H9</f>
        <v>3</v>
      </c>
      <c r="G22" s="61">
        <f>'OM Labor Y1-Y5'!J11-'OM Labor Y1-Y5'!H11</f>
        <v>1</v>
      </c>
      <c r="H22" s="63">
        <v>0</v>
      </c>
    </row>
    <row r="23" spans="1:9">
      <c r="B23" s="52" t="s">
        <v>555</v>
      </c>
      <c r="C23">
        <v>1</v>
      </c>
      <c r="D23">
        <v>0</v>
      </c>
      <c r="E23">
        <v>0</v>
      </c>
      <c r="F23">
        <v>3</v>
      </c>
      <c r="G23">
        <v>0</v>
      </c>
      <c r="H23" s="99">
        <v>0</v>
      </c>
    </row>
    <row r="24" spans="1:9">
      <c r="B24" s="52" t="s">
        <v>556</v>
      </c>
      <c r="C24">
        <v>1</v>
      </c>
      <c r="D24">
        <v>0</v>
      </c>
      <c r="E24">
        <v>0</v>
      </c>
      <c r="F24">
        <v>2</v>
      </c>
      <c r="G24">
        <v>0</v>
      </c>
      <c r="H24" s="99">
        <v>0</v>
      </c>
    </row>
    <row r="25" spans="1:9">
      <c r="B25" s="52" t="s">
        <v>557</v>
      </c>
      <c r="C25">
        <f>$C$21</f>
        <v>2</v>
      </c>
      <c r="D25">
        <f>$C$21</f>
        <v>2</v>
      </c>
      <c r="E25">
        <f>C21</f>
        <v>2</v>
      </c>
      <c r="F25">
        <f>$F$21+C21</f>
        <v>7</v>
      </c>
      <c r="G25">
        <f>$F$21</f>
        <v>5</v>
      </c>
      <c r="H25" s="99">
        <f>$F$21</f>
        <v>5</v>
      </c>
    </row>
    <row r="26" spans="1:9">
      <c r="B26" s="110" t="s">
        <v>558</v>
      </c>
      <c r="C26" s="100">
        <f>$C$22</f>
        <v>2</v>
      </c>
      <c r="D26" s="100">
        <f>$C$22</f>
        <v>2</v>
      </c>
      <c r="E26" s="100">
        <f>$C$22</f>
        <v>2</v>
      </c>
      <c r="F26" s="100">
        <f>$F22+C22</f>
        <v>5</v>
      </c>
      <c r="G26" s="100">
        <f>$F$22</f>
        <v>3</v>
      </c>
      <c r="H26" s="101">
        <f>$F$22</f>
        <v>3</v>
      </c>
    </row>
    <row r="28" spans="1:9">
      <c r="A28" s="488" t="s">
        <v>559</v>
      </c>
      <c r="B28" s="987"/>
      <c r="C28" s="490" t="s">
        <v>536</v>
      </c>
      <c r="D28" s="490" t="s">
        <v>80</v>
      </c>
      <c r="E28" s="490" t="s">
        <v>93</v>
      </c>
      <c r="F28" s="490" t="s">
        <v>94</v>
      </c>
      <c r="G28" s="490" t="s">
        <v>95</v>
      </c>
      <c r="H28" s="491" t="s">
        <v>96</v>
      </c>
    </row>
    <row r="29" spans="1:9">
      <c r="A29" s="51" t="s">
        <v>560</v>
      </c>
      <c r="B29" s="52" t="s">
        <v>546</v>
      </c>
      <c r="C29" s="22"/>
      <c r="D29" s="986">
        <f>$I$12*$C$22</f>
        <v>666.66666666666663</v>
      </c>
      <c r="E29" s="986">
        <f>$I$12*$C$22</f>
        <v>666.66666666666663</v>
      </c>
      <c r="F29" s="22">
        <f>($I$12*$C$22)+($F$22*$I$12)</f>
        <v>1666.6666666666665</v>
      </c>
      <c r="G29" s="22">
        <f>($I$12*$G$22)+($F$22*$I$12)</f>
        <v>1333.3333333333333</v>
      </c>
      <c r="H29" s="67">
        <f>($I$12*$G$22)+($F$22*$I$12)</f>
        <v>1333.3333333333333</v>
      </c>
    </row>
    <row r="30" spans="1:9">
      <c r="A30" s="51"/>
      <c r="B30" s="52" t="s">
        <v>549</v>
      </c>
      <c r="D30" s="22">
        <f>$C$21*$I$16</f>
        <v>1000</v>
      </c>
      <c r="E30" s="22">
        <f>$C$21*$I$16</f>
        <v>1000</v>
      </c>
      <c r="F30" s="22">
        <f>($C$21*$I$16)+($F$21*$I$16)</f>
        <v>3500</v>
      </c>
      <c r="G30" s="22">
        <f>($G$21*$I$16)+($F$21*$I$16)</f>
        <v>3000</v>
      </c>
      <c r="H30" s="67">
        <f>($G$21*$I$16)+($F$21*$I$16)</f>
        <v>3000</v>
      </c>
    </row>
    <row r="31" spans="1:9">
      <c r="A31" s="51"/>
      <c r="B31" s="52" t="s">
        <v>547</v>
      </c>
      <c r="D31" s="22">
        <f>$C23*$I13</f>
        <v>250</v>
      </c>
      <c r="E31" s="22">
        <f>$C23*$I13</f>
        <v>250</v>
      </c>
      <c r="F31" s="22">
        <f>($C23*$I13)+($F23*$I13)</f>
        <v>1000</v>
      </c>
      <c r="G31" s="22">
        <f>($F23*$I13)</f>
        <v>750</v>
      </c>
      <c r="H31" s="67">
        <f>($F23*$I13)</f>
        <v>750</v>
      </c>
    </row>
    <row r="32" spans="1:9">
      <c r="A32" s="98"/>
      <c r="B32" s="52" t="s">
        <v>550</v>
      </c>
      <c r="D32" s="22">
        <f>$C24*$I17</f>
        <v>500</v>
      </c>
      <c r="E32" s="22">
        <f>$C24*$I17</f>
        <v>500</v>
      </c>
      <c r="F32" s="22">
        <f>$C24*$I17</f>
        <v>500</v>
      </c>
      <c r="G32" s="22">
        <f>$C24*$I17</f>
        <v>500</v>
      </c>
      <c r="H32" s="67">
        <f>$C24*$I17</f>
        <v>500</v>
      </c>
    </row>
    <row r="33" spans="2:8">
      <c r="B33" s="60" t="s">
        <v>561</v>
      </c>
      <c r="C33" s="61"/>
      <c r="D33" s="112">
        <f>SUM(D29:D32)</f>
        <v>2416.6666666666665</v>
      </c>
      <c r="E33" s="112">
        <f>SUM(E29:E32)</f>
        <v>2416.6666666666665</v>
      </c>
      <c r="F33" s="112">
        <f>SUM(F29:F32)</f>
        <v>6666.6666666666661</v>
      </c>
      <c r="G33" s="112">
        <f>SUM(G29:G32)</f>
        <v>5583.333333333333</v>
      </c>
      <c r="H33" s="953">
        <f>SUM(H29:H32)</f>
        <v>5583.333333333333</v>
      </c>
    </row>
  </sheetData>
  <hyperlinks>
    <hyperlink ref="A1" location="'Index'!A1" display="Back to Index" xr:uid="{0E427A4A-C663-490F-A424-EF67545E3F0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AA28-01F8-49DB-834F-1D5EBF7E68AA}">
  <sheetPr>
    <tabColor rgb="FFFFF2CC"/>
  </sheetPr>
  <dimension ref="A2:G5"/>
  <sheetViews>
    <sheetView workbookViewId="0">
      <selection activeCell="G3" sqref="G3"/>
    </sheetView>
  </sheetViews>
  <sheetFormatPr defaultColWidth="8.875" defaultRowHeight="15.95"/>
  <cols>
    <col min="1" max="1" width="49.625" bestFit="1" customWidth="1"/>
  </cols>
  <sheetData>
    <row r="2" spans="1:7">
      <c r="A2" s="488" t="s">
        <v>562</v>
      </c>
      <c r="B2" s="490"/>
      <c r="C2" s="490" t="s">
        <v>523</v>
      </c>
      <c r="D2" s="490" t="s">
        <v>524</v>
      </c>
      <c r="E2" s="490" t="s">
        <v>525</v>
      </c>
      <c r="F2" s="490" t="s">
        <v>526</v>
      </c>
      <c r="G2" s="491" t="s">
        <v>527</v>
      </c>
    </row>
    <row r="3" spans="1:7">
      <c r="A3" s="951" t="s">
        <v>563</v>
      </c>
      <c r="B3" s="135"/>
      <c r="C3" s="952">
        <f>(SUM('OM Final COGS Y1-Y5'!C13:C15)*'OM Assumptions'!$B$57)</f>
        <v>0.52514208472999424</v>
      </c>
      <c r="D3" s="952">
        <f>(SUM('OM Final COGS Y1-Y5'!D13:D15)*'OM Assumptions'!$B$57)</f>
        <v>0.46692986323303165</v>
      </c>
      <c r="E3" s="952">
        <f>(SUM('OM Final COGS Y1-Y5'!E13:E15)*'OM Assumptions'!$B$57)</f>
        <v>0.46861500706856885</v>
      </c>
      <c r="F3" s="952">
        <f>(SUM('OM Final COGS Y1-Y5'!F13:F15)*'OM Assumptions'!$B$57)</f>
        <v>0.46010717577882776</v>
      </c>
      <c r="G3" s="954">
        <f>(SUM('OM Final COGS Y1-Y5'!G13:G15)*'OM Assumptions'!$B$57)</f>
        <v>0.4460204817219624</v>
      </c>
    </row>
    <row r="4" spans="1:7">
      <c r="A4" s="510" t="s">
        <v>564</v>
      </c>
      <c r="C4" s="588">
        <f>'OM Inventory Y1-Y5'!$F$12*'OM Assumptions'!$B$58</f>
        <v>0.20800000000000002</v>
      </c>
      <c r="D4" s="588">
        <f>'OM Inventory Y1-Y5'!$F$12*'OM Assumptions'!$B$58</f>
        <v>0.20800000000000002</v>
      </c>
      <c r="E4" s="588">
        <f>'OM Inventory Y1-Y5'!$F$12*'OM Assumptions'!$B$58</f>
        <v>0.20800000000000002</v>
      </c>
      <c r="F4" s="588">
        <f>'OM Inventory Y1-Y5'!$F$12*'OM Assumptions'!$B$58</f>
        <v>0.20800000000000002</v>
      </c>
      <c r="G4" s="590">
        <f>'OM Inventory Y1-Y5'!$F$12*'OM Assumptions'!$B$58</f>
        <v>0.20800000000000002</v>
      </c>
    </row>
    <row r="5" spans="1:7">
      <c r="A5" s="104" t="s">
        <v>565</v>
      </c>
      <c r="B5" s="61"/>
      <c r="C5" s="112">
        <f>SUM(C3:C4)</f>
        <v>0.73314208472999431</v>
      </c>
      <c r="D5" s="112">
        <f t="shared" ref="D5:G5" si="0">SUM(D3:D4)</f>
        <v>0.67492986323303161</v>
      </c>
      <c r="E5" s="112">
        <f>SUM(E3:E4)</f>
        <v>0.67661500706856881</v>
      </c>
      <c r="F5" s="112">
        <f>SUM(F3:F4)</f>
        <v>0.66810717577882772</v>
      </c>
      <c r="G5" s="953">
        <f t="shared" si="0"/>
        <v>0.65402048172196237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F1BB6-6731-4FC0-A861-DCCB1EB72309}">
  <sheetPr>
    <tabColor rgb="FFFFF2CC"/>
  </sheetPr>
  <dimension ref="A1:P25"/>
  <sheetViews>
    <sheetView workbookViewId="0">
      <selection activeCell="P10" sqref="P10"/>
    </sheetView>
  </sheetViews>
  <sheetFormatPr defaultColWidth="8.875" defaultRowHeight="15.95"/>
  <cols>
    <col min="2" max="2" width="19.125" bestFit="1" customWidth="1"/>
    <col min="3" max="3" width="16.375" customWidth="1"/>
    <col min="5" max="5" width="12.375" customWidth="1"/>
    <col min="6" max="6" width="7.625" bestFit="1" customWidth="1"/>
    <col min="7" max="7" width="12.5" bestFit="1" customWidth="1"/>
    <col min="8" max="8" width="7.625" bestFit="1" customWidth="1"/>
    <col min="9" max="9" width="12.5" bestFit="1" customWidth="1"/>
    <col min="10" max="10" width="11" bestFit="1" customWidth="1"/>
    <col min="11" max="11" width="13.625" bestFit="1" customWidth="1"/>
    <col min="13" max="13" width="31.125" bestFit="1" customWidth="1"/>
    <col min="16" max="16" width="31.125" bestFit="1" customWidth="1"/>
  </cols>
  <sheetData>
    <row r="1" spans="1:16">
      <c r="A1" s="44" t="s">
        <v>41</v>
      </c>
    </row>
    <row r="2" spans="1:16">
      <c r="A2" s="680" t="s">
        <v>566</v>
      </c>
    </row>
    <row r="4" spans="1:16">
      <c r="B4" s="418" t="s">
        <v>567</v>
      </c>
      <c r="C4" s="492" t="s">
        <v>568</v>
      </c>
      <c r="D4" s="418" t="s">
        <v>569</v>
      </c>
      <c r="E4" s="492" t="s">
        <v>570</v>
      </c>
      <c r="F4" s="418" t="s">
        <v>571</v>
      </c>
      <c r="G4" s="492" t="s">
        <v>572</v>
      </c>
      <c r="H4" s="418" t="s">
        <v>573</v>
      </c>
      <c r="I4" s="492" t="s">
        <v>574</v>
      </c>
      <c r="J4" s="418" t="s">
        <v>575</v>
      </c>
      <c r="K4" s="500" t="s">
        <v>576</v>
      </c>
      <c r="L4" s="418" t="s">
        <v>577</v>
      </c>
      <c r="M4" s="437" t="s">
        <v>64</v>
      </c>
    </row>
    <row r="5" spans="1:16">
      <c r="B5" s="52" t="s">
        <v>578</v>
      </c>
      <c r="C5" s="136">
        <f>SUM('OM Labor Y1-Y5'!E4:E12)*M5</f>
        <v>238000</v>
      </c>
      <c r="D5" s="128">
        <f>(C5/'MK Bases Model (Base Case)'!B13)</f>
        <v>2.3773803170810011</v>
      </c>
      <c r="E5" s="136">
        <f>SUM('OM Labor Y1-Y5'!G4:G12)*M5</f>
        <v>245140</v>
      </c>
      <c r="F5" s="128">
        <f>(E5/'MK Bases Model (Base Case)'!$C$13)</f>
        <v>1.1905183368082859</v>
      </c>
      <c r="G5" s="136">
        <f>SUM('OM Labor Y1-Y5'!I4:I12)*M5</f>
        <v>517494.2</v>
      </c>
      <c r="H5" s="128">
        <f>(E5/'MK Bases Model (Base Case)'!$D$13)</f>
        <v>0.88549992339330097</v>
      </c>
      <c r="I5" s="136">
        <f>SUM('OM Labor Y1-Y5'!K4:K12)*M5</f>
        <v>633519.02600000007</v>
      </c>
      <c r="J5" s="128">
        <f>(E5/'MK Bases Model (Base Case)'!$E$13)</f>
        <v>0.69403316343432875</v>
      </c>
      <c r="K5" s="136">
        <f>SUM('OM Labor Y1-Y5'!M4:M12)*M5</f>
        <v>652524.59678000002</v>
      </c>
      <c r="L5" s="128">
        <f>(E5/'MK Bases Model (Base Case)'!$F$13)</f>
        <v>0.56200097463427112</v>
      </c>
      <c r="M5" s="20">
        <v>1</v>
      </c>
    </row>
    <row r="6" spans="1:16">
      <c r="B6" s="52" t="s">
        <v>579</v>
      </c>
      <c r="C6" s="136">
        <f>'OM Assumptions'!B59*('OM Manufacturing OH Y1-Y5'!B5+'OM Manufacturing OH Y1-Y5'!B4)</f>
        <v>2024.9999999999998</v>
      </c>
      <c r="D6" s="128">
        <f>C6/'MK Bases Model (Base Case)'!B13</f>
        <v>2.022771068104633E-2</v>
      </c>
      <c r="E6" s="501">
        <f>'OM Assumptions'!B59*('OM Manufacturing OH Y1-Y5'!B5+'OM Manufacturing OH Y1-Y5'!B4)</f>
        <v>2024.9999999999998</v>
      </c>
      <c r="F6" s="67">
        <f>E6/'MK Bases Model (Base Case)'!$C$13</f>
        <v>9.8343788530504146E-3</v>
      </c>
      <c r="G6" s="136">
        <f>'OM Assumptions'!B59*('OM Manufacturing OH Y1-Y5'!B5+'OM Manufacturing OH Y1-Y5'!B4)</f>
        <v>2024.9999999999998</v>
      </c>
      <c r="H6" s="128">
        <f>E6/'MK Bases Model (Base Case)'!$D$13</f>
        <v>7.3147480822037788E-3</v>
      </c>
      <c r="I6" s="22">
        <f>'OM Assumptions'!B59*('OM Manufacturing OH Y1-Y5'!B5+'OM Manufacturing OH Y1-Y5'!B4)</f>
        <v>2024.9999999999998</v>
      </c>
      <c r="J6" s="128">
        <f>E6/'MK Bases Model (Base Case)'!$E$13</f>
        <v>5.7331204860672086E-3</v>
      </c>
      <c r="K6" s="136">
        <f>'OM Assumptions'!B59*('OM Manufacturing OH Y1-Y5'!B5+'OM Manufacturing OH Y1-Y5'!B4)</f>
        <v>2024.9999999999998</v>
      </c>
      <c r="L6" s="128">
        <f>E6/'MK Bases Model (Base Case)'!$F$13</f>
        <v>4.6424572637447951E-3</v>
      </c>
    </row>
    <row r="7" spans="1:16">
      <c r="B7" s="52" t="s">
        <v>580</v>
      </c>
      <c r="C7" s="136">
        <f>('OM Inventory Y1-Y5'!M30)</f>
        <v>2458.63</v>
      </c>
      <c r="D7" s="128">
        <f>C7/'MK Bases Model (Base Case)'!B13</f>
        <v>2.4559237684810345E-2</v>
      </c>
      <c r="E7" s="136">
        <f>('OM Inventory Y1-Y5'!O30)</f>
        <v>2130.1400000000003</v>
      </c>
      <c r="F7" s="128">
        <f>E7/'MK Bases Model (Base Case)'!$C$13</f>
        <v>1.0344989516067563E-2</v>
      </c>
      <c r="G7" s="136">
        <f>('OM Inventory Y1-Y5'!Q30)</f>
        <v>2401.58</v>
      </c>
      <c r="H7" s="128">
        <f>E7/'MK Bases Model (Base Case)'!$D$13</f>
        <v>7.694537027074351E-3</v>
      </c>
      <c r="I7" s="136">
        <f>('OM Inventory Y1-Y5'!S30)</f>
        <v>2492.06</v>
      </c>
      <c r="J7" s="128">
        <f>E7/'MK Bases Model (Base Case)'!$E$13</f>
        <v>6.0307897640450407E-3</v>
      </c>
      <c r="K7" s="136">
        <f>('OM Inventory Y1-Y5'!U30)</f>
        <v>2944.4599999999996</v>
      </c>
      <c r="L7" s="128">
        <f>E7/'MK Bases Model (Base Case)'!$F$13</f>
        <v>4.8834982300214021E-3</v>
      </c>
      <c r="M7" s="18"/>
    </row>
    <row r="8" spans="1:16">
      <c r="B8" s="52" t="s">
        <v>581</v>
      </c>
      <c r="C8" s="136">
        <f>'OM Assumptions'!B19*M8</f>
        <v>210000</v>
      </c>
      <c r="D8" s="128">
        <f>C8/'MK Bases Model (Base Case)'!B13</f>
        <v>2.0976885150714715</v>
      </c>
      <c r="E8" s="136">
        <f>C8*(1+'OM Assumptions'!$B$20)</f>
        <v>220500</v>
      </c>
      <c r="F8" s="128">
        <f>E8/'MK Bases Model (Base Case)'!$C$13</f>
        <v>1.0708545862210452</v>
      </c>
      <c r="G8" s="136">
        <f>E8*(1+'OM Assumptions'!$B$20)</f>
        <v>231525</v>
      </c>
      <c r="H8" s="128">
        <f>E8/'MK Bases Model (Base Case)'!$D$13</f>
        <v>0.79649479117330046</v>
      </c>
      <c r="I8" s="136">
        <f>G8*(1+'OM Assumptions'!$B$20)</f>
        <v>243101.25</v>
      </c>
      <c r="J8" s="128">
        <f>E8/'MK Bases Model (Base Case)'!$E$13</f>
        <v>0.62427311959398502</v>
      </c>
      <c r="K8" s="136">
        <f>I8*(1+'OM Assumptions'!$B$20)</f>
        <v>255256.3125</v>
      </c>
      <c r="L8" s="128">
        <f>E8/'MK Bases Model (Base Case)'!$F$13</f>
        <v>0.50551201316332217</v>
      </c>
      <c r="M8" s="20">
        <v>1</v>
      </c>
    </row>
    <row r="9" spans="1:16">
      <c r="B9" s="104" t="s">
        <v>582</v>
      </c>
      <c r="C9" s="441">
        <f>SUM(C5:C8)</f>
        <v>452483.63</v>
      </c>
      <c r="D9" s="138">
        <f t="shared" ref="D9:L9" si="0">SUM(D5:D8)</f>
        <v>4.5198557805183288</v>
      </c>
      <c r="E9" s="441">
        <f t="shared" si="0"/>
        <v>469795.14</v>
      </c>
      <c r="F9" s="138">
        <f t="shared" si="0"/>
        <v>2.281552291398449</v>
      </c>
      <c r="G9" s="441">
        <f t="shared" si="0"/>
        <v>753445.78</v>
      </c>
      <c r="H9" s="138">
        <f t="shared" si="0"/>
        <v>1.6970039996758794</v>
      </c>
      <c r="I9" s="441">
        <f t="shared" si="0"/>
        <v>881137.33600000013</v>
      </c>
      <c r="J9" s="138">
        <f t="shared" si="0"/>
        <v>1.330070193278426</v>
      </c>
      <c r="K9" s="441">
        <f t="shared" si="0"/>
        <v>912750.36927999998</v>
      </c>
      <c r="L9" s="138">
        <f t="shared" si="0"/>
        <v>1.0770389432913596</v>
      </c>
      <c r="M9" s="18"/>
    </row>
    <row r="10" spans="1:16">
      <c r="P10" s="19"/>
    </row>
    <row r="25" spans="7:7">
      <c r="G25" s="65"/>
    </row>
  </sheetData>
  <hyperlinks>
    <hyperlink ref="A1" location="'Index'!A1" display="Back to Index" xr:uid="{6D09F634-A87E-451F-80A9-B026CDDD5BCD}"/>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F9CCE-CAA9-4AAC-934D-C97A681FCF10}">
  <sheetPr>
    <tabColor rgb="FFFFF2CC"/>
  </sheetPr>
  <dimension ref="A1:AH41"/>
  <sheetViews>
    <sheetView workbookViewId="0">
      <selection activeCell="B27" sqref="B27"/>
    </sheetView>
  </sheetViews>
  <sheetFormatPr defaultColWidth="8.875" defaultRowHeight="15.95"/>
  <cols>
    <col min="1" max="1" width="40.625" bestFit="1" customWidth="1"/>
    <col min="2" max="2" width="11" bestFit="1" customWidth="1"/>
    <col min="3" max="3" width="15.875" customWidth="1"/>
    <col min="4" max="4" width="20.125" customWidth="1"/>
    <col min="5" max="5" width="14.375" customWidth="1"/>
    <col min="6" max="7" width="15.125" customWidth="1"/>
    <col min="8" max="8" width="40.625" bestFit="1" customWidth="1"/>
    <col min="10" max="10" width="16.375" customWidth="1"/>
    <col min="11" max="11" width="20" customWidth="1"/>
    <col min="12" max="12" width="14.5" customWidth="1"/>
    <col min="13" max="13" width="15.125" customWidth="1"/>
    <col min="15" max="15" width="40.625" bestFit="1" customWidth="1"/>
    <col min="17" max="17" width="16.625" bestFit="1" customWidth="1"/>
    <col min="18" max="18" width="20.5" bestFit="1" customWidth="1"/>
    <col min="19" max="19" width="14.375" bestFit="1" customWidth="1"/>
    <col min="20" max="20" width="15.875" bestFit="1" customWidth="1"/>
    <col min="22" max="22" width="40.625" bestFit="1" customWidth="1"/>
    <col min="24" max="24" width="18" customWidth="1"/>
    <col min="25" max="25" width="20.5" bestFit="1" customWidth="1"/>
    <col min="26" max="26" width="14.375" bestFit="1" customWidth="1"/>
    <col min="27" max="27" width="16.875" customWidth="1"/>
    <col min="29" max="29" width="40.625" bestFit="1" customWidth="1"/>
    <col min="31" max="31" width="17.625" customWidth="1"/>
    <col min="32" max="32" width="20.5" bestFit="1" customWidth="1"/>
    <col min="33" max="33" width="14.375" bestFit="1" customWidth="1"/>
    <col min="34" max="34" width="15.875" bestFit="1" customWidth="1"/>
  </cols>
  <sheetData>
    <row r="1" spans="1:34">
      <c r="A1" s="44" t="s">
        <v>41</v>
      </c>
    </row>
    <row r="2" spans="1:34">
      <c r="A2" s="680" t="s">
        <v>583</v>
      </c>
    </row>
    <row r="3" spans="1:34">
      <c r="A3" s="418" t="s">
        <v>387</v>
      </c>
    </row>
    <row r="4" spans="1:34">
      <c r="A4" s="442" t="s">
        <v>80</v>
      </c>
      <c r="H4" s="65" t="s">
        <v>93</v>
      </c>
      <c r="O4" s="65" t="s">
        <v>94</v>
      </c>
      <c r="V4" s="65" t="s">
        <v>95</v>
      </c>
      <c r="AC4" s="65" t="s">
        <v>96</v>
      </c>
    </row>
    <row r="5" spans="1:34">
      <c r="A5" s="418" t="s">
        <v>584</v>
      </c>
      <c r="B5" s="492" t="s">
        <v>585</v>
      </c>
      <c r="C5" s="492" t="s">
        <v>586</v>
      </c>
      <c r="D5" s="492" t="s">
        <v>587</v>
      </c>
      <c r="E5" s="492" t="s">
        <v>588</v>
      </c>
      <c r="F5" s="493" t="s">
        <v>589</v>
      </c>
      <c r="H5" s="45" t="s">
        <v>584</v>
      </c>
      <c r="I5" s="492" t="s">
        <v>585</v>
      </c>
      <c r="J5" s="492" t="s">
        <v>590</v>
      </c>
      <c r="K5" s="492" t="s">
        <v>587</v>
      </c>
      <c r="L5" s="492" t="s">
        <v>588</v>
      </c>
      <c r="M5" s="493" t="s">
        <v>589</v>
      </c>
      <c r="O5" s="488" t="s">
        <v>584</v>
      </c>
      <c r="P5" s="490" t="s">
        <v>585</v>
      </c>
      <c r="Q5" s="490" t="s">
        <v>586</v>
      </c>
      <c r="R5" s="490" t="s">
        <v>587</v>
      </c>
      <c r="S5" s="490" t="s">
        <v>588</v>
      </c>
      <c r="T5" s="491" t="s">
        <v>589</v>
      </c>
      <c r="V5" s="45" t="s">
        <v>584</v>
      </c>
      <c r="W5" s="492" t="s">
        <v>585</v>
      </c>
      <c r="X5" s="492" t="s">
        <v>586</v>
      </c>
      <c r="Y5" s="492" t="s">
        <v>587</v>
      </c>
      <c r="Z5" s="492" t="s">
        <v>588</v>
      </c>
      <c r="AA5" s="493" t="s">
        <v>589</v>
      </c>
      <c r="AC5" s="45" t="s">
        <v>584</v>
      </c>
      <c r="AD5" s="492" t="s">
        <v>585</v>
      </c>
      <c r="AE5" s="492" t="s">
        <v>586</v>
      </c>
      <c r="AF5" s="492" t="s">
        <v>587</v>
      </c>
      <c r="AG5" s="492" t="s">
        <v>588</v>
      </c>
      <c r="AH5" s="493" t="s">
        <v>589</v>
      </c>
    </row>
    <row r="6" spans="1:34">
      <c r="A6" s="51">
        <v>1</v>
      </c>
      <c r="B6" t="s">
        <v>390</v>
      </c>
      <c r="C6" s="92">
        <f>'OM Assumptions'!$C103/'OM Capacity Analysis Y1-Y5'!E6</f>
        <v>0.5</v>
      </c>
      <c r="D6" s="131" t="s">
        <v>89</v>
      </c>
      <c r="E6">
        <v>1</v>
      </c>
      <c r="F6" s="505">
        <f t="shared" ref="F6:F12" si="0">C6/MAX($C$6:$C$12)</f>
        <v>0.43478260869565222</v>
      </c>
      <c r="H6" s="51">
        <v>1</v>
      </c>
      <c r="I6" t="s">
        <v>390</v>
      </c>
      <c r="J6" s="92">
        <f>'OM Assumptions'!$C103/'OM Capacity Analysis Y1-Y5'!L6</f>
        <v>0.5</v>
      </c>
      <c r="K6" s="131" t="s">
        <v>89</v>
      </c>
      <c r="L6">
        <v>1</v>
      </c>
      <c r="M6" s="505">
        <f t="shared" ref="M6:M12" si="1">J6/MAX($J$6:$J$12)</f>
        <v>0.8571428571428571</v>
      </c>
      <c r="O6" s="109">
        <v>1</v>
      </c>
      <c r="P6" s="135" t="s">
        <v>390</v>
      </c>
      <c r="Q6" s="988">
        <f>'OM Assumptions'!$C103/'OM Capacity Analysis Y1-Y5'!S6</f>
        <v>0.25</v>
      </c>
      <c r="R6" s="989" t="s">
        <v>89</v>
      </c>
      <c r="S6" s="135">
        <v>2</v>
      </c>
      <c r="T6" s="990">
        <f t="shared" ref="T6:T12" si="2">Q6/MAX($Q$6:$Q$12)</f>
        <v>0.5714285714285714</v>
      </c>
      <c r="V6" s="51">
        <v>1</v>
      </c>
      <c r="W6" t="s">
        <v>390</v>
      </c>
      <c r="X6" s="92">
        <f>'OM Assumptions'!$C103/'OM Capacity Analysis Y1-Y5'!Z6</f>
        <v>0.25</v>
      </c>
      <c r="Y6" s="65" t="s">
        <v>89</v>
      </c>
      <c r="Z6">
        <v>2</v>
      </c>
      <c r="AA6" s="748">
        <f t="shared" ref="AA6:AA12" si="3">X6/MAX($X$6:$X$12)</f>
        <v>0.7142857142857143</v>
      </c>
      <c r="AC6" s="51">
        <v>1</v>
      </c>
      <c r="AD6" t="s">
        <v>390</v>
      </c>
      <c r="AE6" s="92">
        <f>'OM Assumptions'!$C103/'OM Capacity Analysis Y1-Y5'!AG6</f>
        <v>0.25</v>
      </c>
      <c r="AF6" s="65" t="s">
        <v>89</v>
      </c>
      <c r="AG6">
        <v>2</v>
      </c>
      <c r="AH6" s="748">
        <f t="shared" ref="AH6:AH12" si="4">AE6/MAX($AE$6:$AE$12)</f>
        <v>0.96153846153846145</v>
      </c>
    </row>
    <row r="7" spans="1:34">
      <c r="A7" s="51">
        <v>2</v>
      </c>
      <c r="B7" t="s">
        <v>392</v>
      </c>
      <c r="C7" s="92">
        <f>'OM Assumptions'!$C104/'OM Capacity Analysis Y1-Y5'!E7</f>
        <v>1.1499999999999999</v>
      </c>
      <c r="D7" s="131">
        <v>1</v>
      </c>
      <c r="E7">
        <v>1</v>
      </c>
      <c r="F7" s="505">
        <f t="shared" si="0"/>
        <v>1</v>
      </c>
      <c r="H7" s="51">
        <v>2</v>
      </c>
      <c r="I7" t="s">
        <v>392</v>
      </c>
      <c r="J7" s="92">
        <f>'OM Assumptions'!$C104/'OM Capacity Analysis Y1-Y5'!L7</f>
        <v>0.57499999999999996</v>
      </c>
      <c r="K7" s="131">
        <v>1</v>
      </c>
      <c r="L7">
        <v>2</v>
      </c>
      <c r="M7" s="505">
        <f t="shared" si="1"/>
        <v>0.98571428571428554</v>
      </c>
      <c r="O7" s="51">
        <v>2</v>
      </c>
      <c r="P7" t="s">
        <v>392</v>
      </c>
      <c r="Q7" s="92">
        <f>'OM Assumptions'!$C104/'OM Capacity Analysis Y1-Y5'!S7</f>
        <v>0.3833333333333333</v>
      </c>
      <c r="R7" s="65">
        <v>1</v>
      </c>
      <c r="S7">
        <v>3</v>
      </c>
      <c r="T7" s="748">
        <f t="shared" si="2"/>
        <v>0.87619047619047608</v>
      </c>
      <c r="V7" s="51">
        <v>2</v>
      </c>
      <c r="W7" t="s">
        <v>392</v>
      </c>
      <c r="X7" s="92">
        <f>'OM Assumptions'!$C104/'OM Capacity Analysis Y1-Y5'!Z7</f>
        <v>0.28749999999999998</v>
      </c>
      <c r="Y7" s="65">
        <v>1</v>
      </c>
      <c r="Z7">
        <v>4</v>
      </c>
      <c r="AA7" s="748">
        <f t="shared" si="3"/>
        <v>0.8214285714285714</v>
      </c>
      <c r="AC7" s="51">
        <v>2</v>
      </c>
      <c r="AD7" t="s">
        <v>392</v>
      </c>
      <c r="AE7" s="92">
        <f>'OM Assumptions'!$C104/'OM Capacity Analysis Y1-Y5'!AG7</f>
        <v>0.22999999999999998</v>
      </c>
      <c r="AF7" s="65">
        <v>1</v>
      </c>
      <c r="AG7">
        <v>5</v>
      </c>
      <c r="AH7" s="748">
        <f t="shared" si="4"/>
        <v>0.88461538461538447</v>
      </c>
    </row>
    <row r="8" spans="1:34">
      <c r="A8" s="51">
        <v>3</v>
      </c>
      <c r="B8" t="s">
        <v>394</v>
      </c>
      <c r="C8" s="92">
        <f>'OM Assumptions'!$C105/'OM Capacity Analysis Y1-Y5'!E8</f>
        <v>1</v>
      </c>
      <c r="D8" s="131">
        <v>1</v>
      </c>
      <c r="E8">
        <v>1</v>
      </c>
      <c r="F8" s="505">
        <f t="shared" si="0"/>
        <v>0.86956521739130443</v>
      </c>
      <c r="H8" s="51">
        <v>3</v>
      </c>
      <c r="I8" t="s">
        <v>394</v>
      </c>
      <c r="J8" s="92">
        <f>'OM Assumptions'!$C105/'OM Capacity Analysis Y1-Y5'!L8</f>
        <v>0.5</v>
      </c>
      <c r="K8" s="131">
        <v>1</v>
      </c>
      <c r="L8">
        <v>2</v>
      </c>
      <c r="M8" s="505">
        <f t="shared" si="1"/>
        <v>0.8571428571428571</v>
      </c>
      <c r="O8" s="51">
        <v>3</v>
      </c>
      <c r="P8" t="s">
        <v>394</v>
      </c>
      <c r="Q8" s="92">
        <f>'OM Assumptions'!$C105/'OM Capacity Analysis Y1-Y5'!S8</f>
        <v>0.33333333333333331</v>
      </c>
      <c r="R8" s="65">
        <v>1</v>
      </c>
      <c r="S8">
        <v>3</v>
      </c>
      <c r="T8" s="748">
        <f t="shared" si="2"/>
        <v>0.76190476190476186</v>
      </c>
      <c r="V8" s="51">
        <v>3</v>
      </c>
      <c r="W8" t="s">
        <v>394</v>
      </c>
      <c r="X8" s="92">
        <f>'OM Assumptions'!$C105/'OM Capacity Analysis Y1-Y5'!Z8</f>
        <v>0.33333333333333331</v>
      </c>
      <c r="Y8" s="65">
        <v>1</v>
      </c>
      <c r="Z8">
        <v>3</v>
      </c>
      <c r="AA8" s="748">
        <f t="shared" si="3"/>
        <v>0.95238095238095244</v>
      </c>
      <c r="AC8" s="51">
        <v>3</v>
      </c>
      <c r="AD8" t="s">
        <v>394</v>
      </c>
      <c r="AE8" s="92">
        <f>'OM Assumptions'!$C105/'OM Capacity Analysis Y1-Y5'!AG8</f>
        <v>0.25</v>
      </c>
      <c r="AF8" s="65">
        <v>1</v>
      </c>
      <c r="AG8">
        <v>4</v>
      </c>
      <c r="AH8" s="748">
        <f t="shared" si="4"/>
        <v>0.96153846153846145</v>
      </c>
    </row>
    <row r="9" spans="1:34">
      <c r="A9" s="51">
        <v>4</v>
      </c>
      <c r="B9" t="s">
        <v>591</v>
      </c>
      <c r="C9" s="92">
        <f>SUM('OM Assumptions'!$C106:$C108)/'OM Capacity Analysis Y1-Y5'!E9</f>
        <v>0.875</v>
      </c>
      <c r="D9" s="131">
        <v>2</v>
      </c>
      <c r="E9">
        <v>2</v>
      </c>
      <c r="F9" s="505">
        <f t="shared" si="0"/>
        <v>0.76086956521739135</v>
      </c>
      <c r="H9" s="51">
        <v>4</v>
      </c>
      <c r="I9" t="s">
        <v>591</v>
      </c>
      <c r="J9" s="92">
        <f>SUM('OM Assumptions'!$C106:$C108)/'OM Capacity Analysis Y1-Y5'!L9</f>
        <v>0.58333333333333337</v>
      </c>
      <c r="K9" s="131">
        <v>2</v>
      </c>
      <c r="L9">
        <v>3</v>
      </c>
      <c r="M9" s="468">
        <f t="shared" si="1"/>
        <v>1</v>
      </c>
      <c r="O9" s="51">
        <v>4</v>
      </c>
      <c r="P9" t="s">
        <v>591</v>
      </c>
      <c r="Q9" s="92">
        <f>SUM('OM Assumptions'!$C106:$C108)/'OM Capacity Analysis Y1-Y5'!S9</f>
        <v>0.4375</v>
      </c>
      <c r="R9" s="65">
        <v>2</v>
      </c>
      <c r="S9">
        <v>4</v>
      </c>
      <c r="T9" s="598">
        <f t="shared" si="2"/>
        <v>1</v>
      </c>
      <c r="V9" s="51">
        <v>4</v>
      </c>
      <c r="W9" t="s">
        <v>591</v>
      </c>
      <c r="X9" s="92">
        <f>SUM('OM Assumptions'!$C106:$C108)/'OM Capacity Analysis Y1-Y5'!Z9</f>
        <v>0.35</v>
      </c>
      <c r="Y9" s="65">
        <v>2</v>
      </c>
      <c r="Z9">
        <v>5</v>
      </c>
      <c r="AA9" s="598">
        <f t="shared" si="3"/>
        <v>1</v>
      </c>
      <c r="AC9" s="51">
        <v>4</v>
      </c>
      <c r="AD9" t="s">
        <v>591</v>
      </c>
      <c r="AE9" s="92">
        <f>SUM('OM Assumptions'!$C106:$C108)/'OM Capacity Analysis Y1-Y5'!AG9</f>
        <v>0.25</v>
      </c>
      <c r="AF9" s="65">
        <v>2</v>
      </c>
      <c r="AG9">
        <v>7</v>
      </c>
      <c r="AH9" s="748">
        <f t="shared" si="4"/>
        <v>0.96153846153846145</v>
      </c>
    </row>
    <row r="10" spans="1:34">
      <c r="A10" s="51">
        <v>5</v>
      </c>
      <c r="B10" t="s">
        <v>592</v>
      </c>
      <c r="C10" s="92">
        <f>SUM('OM Assumptions'!$C109:$C111)/'OM Capacity Analysis Y1-Y5'!E10</f>
        <v>1.04</v>
      </c>
      <c r="D10" s="131">
        <v>3</v>
      </c>
      <c r="E10">
        <v>2</v>
      </c>
      <c r="F10" s="505">
        <f t="shared" si="0"/>
        <v>0.90434782608695663</v>
      </c>
      <c r="H10" s="51">
        <v>5</v>
      </c>
      <c r="I10" t="s">
        <v>592</v>
      </c>
      <c r="J10" s="92">
        <f>SUM('OM Assumptions'!$C109:$C111)/'OM Capacity Analysis Y1-Y5'!L10</f>
        <v>0.52</v>
      </c>
      <c r="K10" s="131">
        <v>3</v>
      </c>
      <c r="L10">
        <v>4</v>
      </c>
      <c r="M10" s="505">
        <f t="shared" si="1"/>
        <v>0.89142857142857135</v>
      </c>
      <c r="O10" s="51">
        <v>5</v>
      </c>
      <c r="P10" t="s">
        <v>592</v>
      </c>
      <c r="Q10" s="92">
        <f>SUM('OM Assumptions'!$C109:$C111)/'OM Capacity Analysis Y1-Y5'!S10</f>
        <v>0.41600000000000004</v>
      </c>
      <c r="R10" s="65">
        <v>3</v>
      </c>
      <c r="S10">
        <v>5</v>
      </c>
      <c r="T10" s="748">
        <f t="shared" si="2"/>
        <v>0.95085714285714296</v>
      </c>
      <c r="V10" s="51">
        <v>5</v>
      </c>
      <c r="W10" t="s">
        <v>592</v>
      </c>
      <c r="X10" s="92">
        <f>SUM('OM Assumptions'!$C109:$C111)/'OM Capacity Analysis Y1-Y5'!Z10</f>
        <v>0.34666666666666668</v>
      </c>
      <c r="Y10" s="65">
        <v>3</v>
      </c>
      <c r="Z10">
        <v>6</v>
      </c>
      <c r="AA10" s="748">
        <f t="shared" si="3"/>
        <v>0.99047619047619062</v>
      </c>
      <c r="AC10" s="51">
        <v>5</v>
      </c>
      <c r="AD10" t="s">
        <v>592</v>
      </c>
      <c r="AE10" s="92">
        <f>SUM('OM Assumptions'!$C109:$C111)/'OM Capacity Analysis Y1-Y5'!AG10</f>
        <v>0.26</v>
      </c>
      <c r="AF10" s="65">
        <v>3</v>
      </c>
      <c r="AG10">
        <v>8</v>
      </c>
      <c r="AH10" s="598">
        <f t="shared" si="4"/>
        <v>1</v>
      </c>
    </row>
    <row r="11" spans="1:34">
      <c r="A11" s="51">
        <v>6</v>
      </c>
      <c r="B11" t="s">
        <v>408</v>
      </c>
      <c r="C11" s="92">
        <f>'OM Assumptions'!$C112/'OM Capacity Analysis Y1-Y5'!E11</f>
        <v>0.75</v>
      </c>
      <c r="D11" s="131" t="s">
        <v>593</v>
      </c>
      <c r="E11">
        <v>2</v>
      </c>
      <c r="F11" s="505">
        <f t="shared" si="0"/>
        <v>0.65217391304347827</v>
      </c>
      <c r="H11" s="51">
        <v>6</v>
      </c>
      <c r="I11" t="s">
        <v>408</v>
      </c>
      <c r="J11" s="92">
        <f>'OM Assumptions'!$C112/'OM Capacity Analysis Y1-Y5'!L11</f>
        <v>0.5</v>
      </c>
      <c r="K11" s="131" t="s">
        <v>593</v>
      </c>
      <c r="L11">
        <v>3</v>
      </c>
      <c r="M11" s="505">
        <f t="shared" si="1"/>
        <v>0.8571428571428571</v>
      </c>
      <c r="O11" s="51">
        <v>6</v>
      </c>
      <c r="P11" t="s">
        <v>408</v>
      </c>
      <c r="Q11" s="92">
        <f>'OM Assumptions'!$C112/'OM Capacity Analysis Y1-Y5'!S11</f>
        <v>0.375</v>
      </c>
      <c r="R11" s="65" t="s">
        <v>593</v>
      </c>
      <c r="S11">
        <v>4</v>
      </c>
      <c r="T11" s="748">
        <f t="shared" si="2"/>
        <v>0.8571428571428571</v>
      </c>
      <c r="V11" s="51">
        <v>6</v>
      </c>
      <c r="W11" t="s">
        <v>408</v>
      </c>
      <c r="X11" s="92">
        <f>'OM Assumptions'!$C112/'OM Capacity Analysis Y1-Y5'!Z11</f>
        <v>0.3</v>
      </c>
      <c r="Y11" s="65" t="s">
        <v>593</v>
      </c>
      <c r="Z11">
        <v>5</v>
      </c>
      <c r="AA11" s="748">
        <f t="shared" si="3"/>
        <v>0.85714285714285721</v>
      </c>
      <c r="AC11" s="51">
        <v>6</v>
      </c>
      <c r="AD11" t="s">
        <v>408</v>
      </c>
      <c r="AE11" s="92">
        <f>'OM Assumptions'!$C112/'OM Capacity Analysis Y1-Y5'!AG11</f>
        <v>0.25</v>
      </c>
      <c r="AF11" s="65" t="s">
        <v>593</v>
      </c>
      <c r="AG11">
        <v>6</v>
      </c>
      <c r="AH11" s="748">
        <f t="shared" si="4"/>
        <v>0.96153846153846145</v>
      </c>
    </row>
    <row r="12" spans="1:34">
      <c r="A12" s="98">
        <v>7</v>
      </c>
      <c r="B12" s="100" t="s">
        <v>410</v>
      </c>
      <c r="C12" s="140">
        <f>'OM Assumptions'!$C113/'OM Capacity Analysis Y1-Y5'!E12</f>
        <v>0.17</v>
      </c>
      <c r="D12" s="134">
        <v>6</v>
      </c>
      <c r="E12" s="100">
        <v>1</v>
      </c>
      <c r="F12" s="506">
        <f t="shared" si="0"/>
        <v>0.14782608695652177</v>
      </c>
      <c r="H12" s="98">
        <v>7</v>
      </c>
      <c r="I12" s="100" t="s">
        <v>410</v>
      </c>
      <c r="J12" s="140">
        <f>'OM Assumptions'!$C113/'OM Capacity Analysis Y1-Y5'!L12</f>
        <v>0.17</v>
      </c>
      <c r="K12" s="134">
        <v>6</v>
      </c>
      <c r="L12" s="100">
        <v>1</v>
      </c>
      <c r="M12" s="506">
        <f t="shared" si="1"/>
        <v>0.29142857142857143</v>
      </c>
      <c r="O12" s="98">
        <v>7</v>
      </c>
      <c r="P12" s="100" t="s">
        <v>410</v>
      </c>
      <c r="Q12" s="140">
        <f>'OM Assumptions'!$C113/'OM Capacity Analysis Y1-Y5'!S12</f>
        <v>0.17</v>
      </c>
      <c r="R12" s="530">
        <v>6</v>
      </c>
      <c r="S12" s="100">
        <v>1</v>
      </c>
      <c r="T12" s="749">
        <f t="shared" si="2"/>
        <v>0.38857142857142862</v>
      </c>
      <c r="V12" s="98">
        <v>7</v>
      </c>
      <c r="W12" s="100" t="s">
        <v>410</v>
      </c>
      <c r="X12" s="140">
        <f>'OM Assumptions'!$C113/'OM Capacity Analysis Y1-Y5'!Z12</f>
        <v>0.17</v>
      </c>
      <c r="Y12" s="530">
        <v>6</v>
      </c>
      <c r="Z12" s="100">
        <v>1</v>
      </c>
      <c r="AA12" s="749">
        <f t="shared" si="3"/>
        <v>0.48571428571428577</v>
      </c>
      <c r="AC12" s="98">
        <v>7</v>
      </c>
      <c r="AD12" s="100" t="s">
        <v>410</v>
      </c>
      <c r="AE12" s="140">
        <f>'OM Assumptions'!$C113/'OM Capacity Analysis Y1-Y5'!AG12</f>
        <v>0.17</v>
      </c>
      <c r="AF12" s="530">
        <v>6</v>
      </c>
      <c r="AG12" s="100">
        <v>1</v>
      </c>
      <c r="AH12" s="749">
        <f t="shared" si="4"/>
        <v>0.65384615384615385</v>
      </c>
    </row>
    <row r="13" spans="1:34">
      <c r="A13" s="1018" t="s">
        <v>594</v>
      </c>
      <c r="B13" s="65"/>
      <c r="C13" s="65"/>
      <c r="D13" s="65"/>
      <c r="E13" s="65"/>
      <c r="F13" s="65"/>
      <c r="G13" s="65"/>
      <c r="H13" s="1018" t="s">
        <v>594</v>
      </c>
      <c r="I13" s="65"/>
      <c r="J13" s="65"/>
      <c r="K13" s="65"/>
      <c r="L13" s="65"/>
      <c r="M13" s="65"/>
      <c r="N13" s="65"/>
      <c r="O13" s="1018" t="s">
        <v>594</v>
      </c>
      <c r="P13" s="65"/>
      <c r="Q13" s="65"/>
      <c r="R13" s="65"/>
      <c r="S13" s="65"/>
      <c r="T13" s="65"/>
      <c r="U13" s="65"/>
      <c r="V13" s="1018" t="s">
        <v>594</v>
      </c>
      <c r="W13" s="65"/>
      <c r="X13" s="65"/>
      <c r="Y13" s="65"/>
      <c r="Z13" s="65"/>
      <c r="AA13" s="65"/>
      <c r="AB13" s="65"/>
      <c r="AC13" s="1018" t="s">
        <v>594</v>
      </c>
      <c r="AD13" s="65"/>
      <c r="AE13" s="65"/>
      <c r="AF13" s="65"/>
      <c r="AG13" s="65"/>
      <c r="AH13" s="65"/>
    </row>
    <row r="14" spans="1:34">
      <c r="A14" s="940">
        <v>7</v>
      </c>
      <c r="B14" s="65"/>
      <c r="C14" s="65"/>
      <c r="D14" s="65"/>
      <c r="E14" s="65"/>
      <c r="F14" s="65"/>
      <c r="G14" s="65"/>
      <c r="H14" s="940">
        <v>7</v>
      </c>
      <c r="I14" s="65"/>
      <c r="J14" s="65"/>
      <c r="K14" s="65"/>
      <c r="L14" s="65"/>
      <c r="M14" s="65"/>
      <c r="N14" s="65"/>
      <c r="O14" s="940">
        <v>7</v>
      </c>
      <c r="P14" s="65"/>
      <c r="Q14" s="65"/>
      <c r="R14" s="65"/>
      <c r="S14" s="65"/>
      <c r="T14" s="65"/>
      <c r="U14" s="65"/>
      <c r="V14" s="940">
        <v>7</v>
      </c>
      <c r="W14" s="65"/>
      <c r="X14" s="65"/>
      <c r="Y14" s="65"/>
      <c r="Z14" s="65"/>
      <c r="AA14" s="65"/>
      <c r="AB14" s="65"/>
      <c r="AC14" s="940">
        <v>7</v>
      </c>
      <c r="AD14" s="65"/>
      <c r="AE14" s="65"/>
      <c r="AF14" s="65"/>
      <c r="AG14" s="65"/>
      <c r="AH14" s="65"/>
    </row>
    <row r="16" spans="1:34">
      <c r="A16" s="45" t="s">
        <v>387</v>
      </c>
      <c r="B16" s="492" t="s">
        <v>80</v>
      </c>
      <c r="C16" s="507" t="s">
        <v>93</v>
      </c>
      <c r="D16" s="508" t="s">
        <v>94</v>
      </c>
      <c r="E16" s="508" t="s">
        <v>95</v>
      </c>
      <c r="F16" s="509" t="s">
        <v>96</v>
      </c>
      <c r="J16" s="91"/>
      <c r="K16" s="131"/>
      <c r="M16" s="20"/>
    </row>
    <row r="17" spans="1:29">
      <c r="A17" s="51" t="s">
        <v>595</v>
      </c>
      <c r="B17" s="571">
        <f>SUM(C6:C12)</f>
        <v>5.4849999999999994</v>
      </c>
      <c r="C17" s="571">
        <f>SUM(J6:J12)</f>
        <v>3.3483333333333332</v>
      </c>
      <c r="D17" s="571">
        <f>SUM(Q6:Q12)</f>
        <v>2.3651666666666666</v>
      </c>
      <c r="E17" s="571">
        <f>SUM(X6:X12)</f>
        <v>2.0375000000000001</v>
      </c>
      <c r="F17" s="66">
        <f>SUM(AE6:AE12)</f>
        <v>1.66</v>
      </c>
    </row>
    <row r="18" spans="1:29">
      <c r="A18" s="51" t="s">
        <v>596</v>
      </c>
      <c r="B18" s="571">
        <f>'OM Assumptions'!B25*'OM Assumptions'!B27*'OM Assumptions'!B28*'OM Assumptions'!B24/'MK Bases Model (Base Case)'!B13</f>
        <v>1.2466263175281889</v>
      </c>
      <c r="C18" s="571">
        <f>'OM Assumptions'!B25*'OM Assumptions'!B27*'OM Assumptions'!B28*'OM Assumptions'!B24/'MK Bases Model (Base Case)'!C13</f>
        <v>0.60608912635095891</v>
      </c>
      <c r="D18" s="571">
        <f>'OM Assumptions'!B25*'OM Assumptions'!B27*'OM Assumptions'!B28*'OM Assumptions'!B24/'MK Bases Model (Base Case)'!D13</f>
        <v>0.45080521514026256</v>
      </c>
      <c r="E18" s="571">
        <f>'OM Assumptions'!B25*'OM Assumptions'!B27*'OM Assumptions'!B28*'OM Assumptions'!B24/'MK Bases Model (Base Case)'!E13</f>
        <v>0.35333009217836431</v>
      </c>
      <c r="F18" s="750">
        <f>'OM Assumptions'!B25*'OM Assumptions'!B27*'OM Assumptions'!B28*'OM Assumptions'!B24/'MK Bases Model (Base Case)'!F13</f>
        <v>0.28611292173597552</v>
      </c>
    </row>
    <row r="19" spans="1:29">
      <c r="A19" s="51" t="s">
        <v>597</v>
      </c>
      <c r="B19" s="571">
        <f>MAX(C6:C12)</f>
        <v>1.1499999999999999</v>
      </c>
      <c r="C19" s="571">
        <f>MAX(J6:J12)</f>
        <v>0.58333333333333337</v>
      </c>
      <c r="D19" s="571">
        <f>MAX(Q6:Q12)</f>
        <v>0.4375</v>
      </c>
      <c r="E19" s="65">
        <f>MAX(X6:X12)</f>
        <v>0.35</v>
      </c>
      <c r="F19" s="66">
        <f>MAX(AE6:AE12)</f>
        <v>0.26</v>
      </c>
      <c r="AC19" s="92"/>
    </row>
    <row r="20" spans="1:29">
      <c r="A20" s="510" t="s">
        <v>598</v>
      </c>
      <c r="B20" s="736">
        <f>('MK Bases Model (Base Case)'!B13/('OM Assumptions'!B25*'OM Assumptions'!B27*'OM Assumptions'!B28*'OM Assumptions'!B24/B19))</f>
        <v>0.92248975000000033</v>
      </c>
      <c r="C20" s="736">
        <f>('MK Bases Model (Base Case)'!C13/('OM Assumptions'!B25*'OM Assumptions'!B27*'OM Assumptions'!B28*'OM Assumptions'!B24/C19))</f>
        <v>0.96245470834523972</v>
      </c>
      <c r="D20" s="736">
        <f>('MK Bases Model (Base Case)'!D13/('OM Assumptions'!B25*'OM Assumptions'!B27*'OM Assumptions'!B28*'OM Assumptions'!B24/D19))</f>
        <v>0.97048566721633256</v>
      </c>
      <c r="E20" s="736">
        <f>('MK Bases Model (Base Case)'!E13/('OM Assumptions'!B25*'OM Assumptions'!B27*'OM Assumptions'!B28*'OM Assumptions'!B24/E19))</f>
        <v>0.99057512436081085</v>
      </c>
      <c r="F20" s="748">
        <f>('MK Bases Model (Base Case)'!F13/(260*8*60/F19))</f>
        <v>0.90873211325955949</v>
      </c>
      <c r="G20" s="18"/>
      <c r="W20" s="20"/>
      <c r="AC20" s="92"/>
    </row>
    <row r="21" spans="1:29">
      <c r="A21" s="98" t="s">
        <v>599</v>
      </c>
      <c r="B21" s="567">
        <f>('OM Assumptions'!B25*'OM Assumptions'!B27*'OM Assumptions'!B28*'OM Assumptions'!B24)/B19</f>
        <v>108521.73913043478</v>
      </c>
      <c r="C21" s="567">
        <f>('OM Assumptions'!B25*'OM Assumptions'!B27*'OM Assumptions'!B28*'OM Assumptions'!B24)/C19</f>
        <v>213942.85714285713</v>
      </c>
      <c r="D21" s="567">
        <f>('OM Assumptions'!B25*'OM Assumptions'!B27*'OM Assumptions'!B28*'OM Assumptions'!B24)/D19</f>
        <v>285257.14285714284</v>
      </c>
      <c r="E21" s="567">
        <f>('OM Assumptions'!B25*'OM Assumptions'!B27*'OM Assumptions'!B28*'OM Assumptions'!B24)/E19</f>
        <v>356571.42857142858</v>
      </c>
      <c r="F21" s="914">
        <f>('OM Assumptions'!B25*'OM Assumptions'!B27*'OM Assumptions'!B28*'OM Assumptions'!B24)/F19</f>
        <v>480000</v>
      </c>
      <c r="AC21" s="20"/>
    </row>
    <row r="22" spans="1:29">
      <c r="D22" s="21"/>
      <c r="E22" s="132"/>
    </row>
    <row r="23" spans="1:29">
      <c r="A23" s="45" t="s">
        <v>600</v>
      </c>
      <c r="B23" s="492" t="s">
        <v>80</v>
      </c>
      <c r="C23" s="492" t="s">
        <v>93</v>
      </c>
      <c r="D23" s="492" t="s">
        <v>94</v>
      </c>
      <c r="E23" s="511" t="s">
        <v>95</v>
      </c>
      <c r="F23" s="493" t="s">
        <v>96</v>
      </c>
    </row>
    <row r="24" spans="1:29">
      <c r="A24" s="51" t="s">
        <v>601</v>
      </c>
      <c r="B24" s="65">
        <f>E10+E9+E11</f>
        <v>6</v>
      </c>
      <c r="C24" s="65">
        <f>L10+L9+L11</f>
        <v>10</v>
      </c>
      <c r="D24" s="65">
        <f>S10+S9+S11</f>
        <v>13</v>
      </c>
      <c r="E24" s="65">
        <f>Z10+Z9+Z11</f>
        <v>16</v>
      </c>
      <c r="F24" s="66">
        <f>AG10+AG9+AG11</f>
        <v>21</v>
      </c>
    </row>
    <row r="25" spans="1:29">
      <c r="A25" s="51" t="s">
        <v>602</v>
      </c>
      <c r="B25" s="65">
        <f>E12+E6</f>
        <v>2</v>
      </c>
      <c r="C25" s="65">
        <f>L12+L6</f>
        <v>2</v>
      </c>
      <c r="D25" s="65">
        <f>S12+S6</f>
        <v>3</v>
      </c>
      <c r="E25" s="65">
        <f>Z12+Z6</f>
        <v>3</v>
      </c>
      <c r="F25" s="66">
        <f>AG12+AG6</f>
        <v>3</v>
      </c>
    </row>
    <row r="26" spans="1:29">
      <c r="A26" s="51" t="s">
        <v>603</v>
      </c>
      <c r="B26" s="65">
        <f>E7</f>
        <v>1</v>
      </c>
      <c r="C26" s="65">
        <f>L7</f>
        <v>2</v>
      </c>
      <c r="D26" s="65">
        <f>S7</f>
        <v>3</v>
      </c>
      <c r="E26" s="65">
        <f>Z7</f>
        <v>4</v>
      </c>
      <c r="F26" s="66">
        <f>AG7</f>
        <v>5</v>
      </c>
    </row>
    <row r="27" spans="1:29">
      <c r="A27" s="51" t="s">
        <v>604</v>
      </c>
      <c r="B27" s="65">
        <f>E8</f>
        <v>1</v>
      </c>
      <c r="C27" s="65">
        <f>L8</f>
        <v>2</v>
      </c>
      <c r="D27" s="65">
        <f>S8</f>
        <v>3</v>
      </c>
      <c r="E27" s="65">
        <f>Z8</f>
        <v>3</v>
      </c>
      <c r="F27" s="66">
        <f>AG8</f>
        <v>4</v>
      </c>
    </row>
    <row r="28" spans="1:29">
      <c r="A28" s="98" t="s">
        <v>605</v>
      </c>
      <c r="B28" s="530">
        <f>SUM(E6:E12)</f>
        <v>10</v>
      </c>
      <c r="C28" s="530">
        <f>SUM(L6:L12)</f>
        <v>16</v>
      </c>
      <c r="D28" s="530">
        <f>SUM(S6:S12)</f>
        <v>22</v>
      </c>
      <c r="E28" s="530">
        <f>SUM(Z6:Z12)</f>
        <v>26</v>
      </c>
      <c r="F28" s="751">
        <f>SUM(AG6:AG12)</f>
        <v>33</v>
      </c>
    </row>
    <row r="30" spans="1:29">
      <c r="AA30" t="s">
        <v>606</v>
      </c>
    </row>
    <row r="41" spans="7:7">
      <c r="G41" s="991"/>
    </row>
  </sheetData>
  <hyperlinks>
    <hyperlink ref="A1" location="'Index'!A1" display="Back to Index" xr:uid="{BB6B3C98-78A2-4753-AE94-FBE499F4D5B6}"/>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5BCD5-1A47-460E-BDCE-66DE866C9E11}">
  <sheetPr>
    <tabColor rgb="FFFFF2CC"/>
  </sheetPr>
  <dimension ref="A1:Z105"/>
  <sheetViews>
    <sheetView topLeftCell="E1" workbookViewId="0">
      <selection activeCell="H22" sqref="H22"/>
    </sheetView>
  </sheetViews>
  <sheetFormatPr defaultColWidth="8.875" defaultRowHeight="15.95"/>
  <cols>
    <col min="1" max="1" width="36.625" customWidth="1"/>
    <col min="2" max="2" width="32.625" bestFit="1" customWidth="1"/>
    <col min="3" max="3" width="22.875" customWidth="1"/>
    <col min="4" max="4" width="11.625" customWidth="1"/>
    <col min="5" max="5" width="19.375" bestFit="1" customWidth="1"/>
    <col min="6" max="6" width="19" bestFit="1" customWidth="1"/>
    <col min="7" max="7" width="19.375" bestFit="1" customWidth="1"/>
    <col min="8" max="8" width="13" customWidth="1"/>
    <col min="9" max="9" width="19.625" customWidth="1"/>
    <col min="10" max="10" width="17.125" customWidth="1"/>
    <col min="11" max="11" width="16.125" customWidth="1"/>
    <col min="12" max="12" width="28.625" bestFit="1" customWidth="1"/>
    <col min="13" max="13" width="19.125" bestFit="1" customWidth="1"/>
    <col min="14" max="14" width="10.625" customWidth="1"/>
    <col min="15" max="15" width="13" customWidth="1"/>
    <col min="16" max="16" width="11.625" customWidth="1"/>
    <col min="17" max="17" width="13.625" customWidth="1"/>
    <col min="18" max="18" width="13.5" customWidth="1"/>
    <col min="19" max="19" width="13.625" customWidth="1"/>
    <col min="20" max="20" width="12" customWidth="1"/>
    <col min="21" max="21" width="11.625" customWidth="1"/>
    <col min="22" max="22" width="13.375" customWidth="1"/>
    <col min="23" max="23" width="11.625" customWidth="1"/>
    <col min="24" max="24" width="14.375" customWidth="1"/>
    <col min="25" max="25" width="11.875" customWidth="1"/>
  </cols>
  <sheetData>
    <row r="1" spans="1:26">
      <c r="A1" s="44" t="s">
        <v>41</v>
      </c>
    </row>
    <row r="2" spans="1:26">
      <c r="A2" s="680" t="s">
        <v>607</v>
      </c>
    </row>
    <row r="3" spans="1:26">
      <c r="A3" s="65"/>
      <c r="B3" s="65"/>
      <c r="C3" s="65"/>
      <c r="D3" s="65"/>
      <c r="E3" s="65"/>
      <c r="F3" s="65"/>
      <c r="G3" s="65"/>
      <c r="H3" s="65"/>
      <c r="I3" s="65"/>
      <c r="J3" s="65"/>
      <c r="K3" s="65"/>
      <c r="L3" s="65"/>
      <c r="M3" s="65"/>
      <c r="N3" s="65"/>
      <c r="O3" s="65"/>
      <c r="P3" s="65"/>
      <c r="Q3" s="65"/>
      <c r="R3" s="65"/>
      <c r="S3" s="65"/>
      <c r="T3" s="65"/>
      <c r="U3" s="65"/>
      <c r="V3" s="65"/>
      <c r="W3" s="65"/>
      <c r="X3" s="65"/>
      <c r="Y3" s="65"/>
    </row>
    <row r="4" spans="1:26">
      <c r="A4" s="513" t="s">
        <v>608</v>
      </c>
      <c r="B4" s="65"/>
      <c r="C4" s="65"/>
      <c r="D4" s="65"/>
      <c r="E4" s="65"/>
      <c r="F4" s="65"/>
      <c r="G4" s="65"/>
      <c r="H4" s="65"/>
      <c r="I4" s="65"/>
      <c r="J4" s="65"/>
      <c r="K4" s="65"/>
      <c r="L4" s="65"/>
      <c r="M4" s="514" t="s">
        <v>609</v>
      </c>
      <c r="N4" s="515" t="s">
        <v>610</v>
      </c>
      <c r="O4" s="515" t="s">
        <v>611</v>
      </c>
      <c r="P4" s="515" t="s">
        <v>612</v>
      </c>
      <c r="Q4" s="515" t="s">
        <v>613</v>
      </c>
      <c r="R4" s="515" t="s">
        <v>614</v>
      </c>
      <c r="S4" s="515" t="s">
        <v>615</v>
      </c>
      <c r="T4" s="515" t="s">
        <v>616</v>
      </c>
      <c r="U4" s="515" t="s">
        <v>617</v>
      </c>
      <c r="V4" s="515" t="s">
        <v>618</v>
      </c>
      <c r="W4" s="515" t="s">
        <v>619</v>
      </c>
      <c r="X4" s="515" t="s">
        <v>620</v>
      </c>
      <c r="Y4" s="516" t="s">
        <v>621</v>
      </c>
    </row>
    <row r="5" spans="1:26">
      <c r="A5" s="517" t="s">
        <v>622</v>
      </c>
      <c r="B5" s="518" t="s">
        <v>623</v>
      </c>
      <c r="C5" s="518" t="s">
        <v>624</v>
      </c>
      <c r="D5" s="518" t="s">
        <v>125</v>
      </c>
      <c r="E5" s="518" t="s">
        <v>625</v>
      </c>
      <c r="F5" s="519" t="s">
        <v>626</v>
      </c>
      <c r="G5" s="519" t="s">
        <v>627</v>
      </c>
      <c r="H5" s="519" t="s">
        <v>628</v>
      </c>
      <c r="I5" s="519" t="s">
        <v>617</v>
      </c>
      <c r="J5" s="519" t="s">
        <v>619</v>
      </c>
      <c r="K5" s="520" t="s">
        <v>621</v>
      </c>
      <c r="L5" s="65"/>
      <c r="M5" s="364" t="s">
        <v>629</v>
      </c>
      <c r="N5" s="521">
        <f>ROUND(P5/6,0)</f>
        <v>5</v>
      </c>
      <c r="O5" s="629">
        <f>N5*'OM Assumptions'!$B$44</f>
        <v>75</v>
      </c>
      <c r="P5" s="631">
        <f>($J33/$K33)+'OM Assumptions'!B46</f>
        <v>27.132152071973834</v>
      </c>
      <c r="Q5" s="629">
        <f>P5*('OM Assumptions'!$B$44)</f>
        <v>406.9822810796075</v>
      </c>
      <c r="R5" s="631">
        <f>($J40/$K40)+'OM Assumptions'!B46</f>
        <v>38.043247747136512</v>
      </c>
      <c r="S5" s="633">
        <f>R5*('OM Assumptions'!$B$44)</f>
        <v>570.64871620704764</v>
      </c>
      <c r="T5" s="631">
        <f>($J47/$K47)+'OM Assumptions'!B46</f>
        <v>43.792992830818598</v>
      </c>
      <c r="U5" s="633">
        <f>T5*('OM Assumptions'!$B$44)</f>
        <v>656.89489246227902</v>
      </c>
      <c r="V5" s="631">
        <f>($J54/$K54)+'OM Assumptions'!B46</f>
        <v>49.207132229182484</v>
      </c>
      <c r="W5" s="629">
        <f>V5*'OM Assumptions'!$B$44</f>
        <v>738.10698343773731</v>
      </c>
      <c r="X5" s="631">
        <f>($J61/$K61)+'OM Assumptions'!B46</f>
        <v>54.460113772760621</v>
      </c>
      <c r="Y5" s="634">
        <f>X5*'OM Assumptions'!$B$44</f>
        <v>816.90170659140927</v>
      </c>
    </row>
    <row r="6" spans="1:26" ht="51">
      <c r="A6" s="449" t="s">
        <v>377</v>
      </c>
      <c r="B6" s="909" t="s">
        <v>630</v>
      </c>
      <c r="C6" s="66" t="s">
        <v>631</v>
      </c>
      <c r="D6" s="66">
        <v>2</v>
      </c>
      <c r="E6" s="522">
        <f>D6*'OM Assumptions'!B50</f>
        <v>6</v>
      </c>
      <c r="F6" s="601">
        <f>D6*'OM Bill of Materials List'!E4</f>
        <v>0.48</v>
      </c>
      <c r="G6" s="623">
        <f>F6*'MK Bases Model (Base Case)'!$B$13</f>
        <v>48052.892160000018</v>
      </c>
      <c r="H6" s="623">
        <f>F6*'MK Bases Model (Base Case)'!$C$13</f>
        <v>98836.948883508405</v>
      </c>
      <c r="I6" s="623">
        <f>F6*'MK Bases Model (Base Case)'!$D$13</f>
        <v>132882.22493469069</v>
      </c>
      <c r="J6" s="623">
        <f>F6*'MK Bases Model (Base Case)'!$E$13</f>
        <v>169541.17785631432</v>
      </c>
      <c r="K6" s="624">
        <f>F6*'MK Bases Model (Base Case)'!$F$13</f>
        <v>209371.8788950025</v>
      </c>
      <c r="L6" s="65"/>
      <c r="M6" s="364" t="s">
        <v>380</v>
      </c>
      <c r="N6" s="521">
        <f>ROUND(P6/6,0)</f>
        <v>4</v>
      </c>
      <c r="O6" s="629">
        <f>N6*'OM Assumptions'!$B$44</f>
        <v>60</v>
      </c>
      <c r="P6" s="631">
        <f>($J34/$K34)+'OM Assumptions'!B46</f>
        <v>21.467353796445884</v>
      </c>
      <c r="Q6" s="629">
        <f>P6*('OM Assumptions'!$B$44)</f>
        <v>322.01030694668827</v>
      </c>
      <c r="R6" s="631">
        <f>($J41/$K41)+'OM Assumptions'!B46</f>
        <v>29.91935263511709</v>
      </c>
      <c r="S6" s="633">
        <f>R6*('OM Assumptions'!$B$44)</f>
        <v>448.79028952675634</v>
      </c>
      <c r="T6" s="631">
        <f>($J48/$K48)+'OM Assumptions'!B46</f>
        <v>34.372713044385286</v>
      </c>
      <c r="U6" s="633">
        <f>T6*('OM Assumptions'!$B$44)</f>
        <v>515.59069566577932</v>
      </c>
      <c r="V6" s="631">
        <f>($J55/$K55)+'OM Assumptions'!B46</f>
        <v>38.566487389167051</v>
      </c>
      <c r="W6" s="629">
        <f>V6*'OM Assumptions'!$B$44</f>
        <v>578.49731083750578</v>
      </c>
      <c r="X6" s="631">
        <f>($J62/$K62)+'OM Assumptions'!B46</f>
        <v>42.635429396409648</v>
      </c>
      <c r="Y6" s="634">
        <f>X6*'OM Assumptions'!$B$44</f>
        <v>639.5314409461447</v>
      </c>
    </row>
    <row r="7" spans="1:26" ht="68.099999999999994">
      <c r="A7" s="449" t="s">
        <v>378</v>
      </c>
      <c r="B7" s="909" t="s">
        <v>632</v>
      </c>
      <c r="C7" s="66" t="s">
        <v>631</v>
      </c>
      <c r="D7" s="66">
        <v>2</v>
      </c>
      <c r="E7" s="522">
        <f>D7*'OM Assumptions'!B51</f>
        <v>2</v>
      </c>
      <c r="F7" s="601">
        <f>D7*'OM Bill of Materials List'!E5</f>
        <v>0.08</v>
      </c>
      <c r="G7" s="625">
        <f>F7*'MK Bases Model (Base Case)'!$B$13</f>
        <v>8008.8153600000032</v>
      </c>
      <c r="H7" s="625">
        <f>F7*'MK Bases Model (Base Case)'!$C$13</f>
        <v>16472.824813918069</v>
      </c>
      <c r="I7" s="625">
        <f>F7*'MK Bases Model (Base Case)'!$D$13</f>
        <v>22147.037489115115</v>
      </c>
      <c r="J7" s="625">
        <f>F7*'MK Bases Model (Base Case)'!$E$13</f>
        <v>28256.862976052391</v>
      </c>
      <c r="K7" s="626">
        <f>F7*'MK Bases Model (Base Case)'!$F$13</f>
        <v>34895.313149167087</v>
      </c>
      <c r="L7" s="65"/>
      <c r="M7" s="364" t="s">
        <v>633</v>
      </c>
      <c r="N7" s="521">
        <f>ROUND(P7/6,0)</f>
        <v>3</v>
      </c>
      <c r="O7" s="629">
        <f>N7*'OM Assumptions'!$B$44</f>
        <v>45</v>
      </c>
      <c r="P7" s="631">
        <f>($J35/$K35)+'OM Assumptions'!B46</f>
        <v>16.509683323299221</v>
      </c>
      <c r="Q7" s="629">
        <f>P7*('OM Assumptions'!$B$44)</f>
        <v>247.64524984948832</v>
      </c>
      <c r="R7" s="631">
        <f>($J42/$K42)+'OM Assumptions'!B46</f>
        <v>22.809856793303236</v>
      </c>
      <c r="S7" s="633">
        <f>R7*('OM Assumptions'!$B$44)</f>
        <v>342.14785189954853</v>
      </c>
      <c r="T7" s="631">
        <f>($J49/$K49)+'OM Assumptions'!B46</f>
        <v>26.129195661113222</v>
      </c>
      <c r="U7" s="633">
        <f>T7*('OM Assumptions'!$B$44)</f>
        <v>391.93793491669834</v>
      </c>
      <c r="V7" s="631">
        <f>($J56/$K56)+'OM Assumptions'!B46</f>
        <v>29.255050500188773</v>
      </c>
      <c r="W7" s="629">
        <f>V7*'OM Assumptions'!$B$44</f>
        <v>438.82575750283161</v>
      </c>
      <c r="X7" s="631">
        <f>($J63/$K63)+'OM Assumptions'!B46</f>
        <v>32.28786080842174</v>
      </c>
      <c r="Y7" s="634">
        <f>X7*'OM Assumptions'!$B$44</f>
        <v>484.31791212632612</v>
      </c>
    </row>
    <row r="8" spans="1:26" ht="33.950000000000003">
      <c r="A8" s="449" t="s">
        <v>379</v>
      </c>
      <c r="B8" s="909" t="s">
        <v>634</v>
      </c>
      <c r="C8" s="66" t="s">
        <v>631</v>
      </c>
      <c r="D8" s="66">
        <v>2</v>
      </c>
      <c r="E8" s="522">
        <f>D8*'OM Assumptions'!B52</f>
        <v>0.5</v>
      </c>
      <c r="F8" s="601">
        <f>D8*'OM Bill of Materials List'!E6</f>
        <v>0.04</v>
      </c>
      <c r="G8" s="625">
        <f>F8*'MK Bases Model (Base Case)'!$B$13</f>
        <v>4004.4076800000016</v>
      </c>
      <c r="H8" s="625">
        <f>F8*'MK Bases Model (Base Case)'!$C$13</f>
        <v>8236.4124069590343</v>
      </c>
      <c r="I8" s="625">
        <f>F8*'MK Bases Model (Base Case)'!$D$13</f>
        <v>11073.518744557558</v>
      </c>
      <c r="J8" s="625">
        <f>F8*'MK Bases Model (Base Case)'!$E$13</f>
        <v>14128.431488026195</v>
      </c>
      <c r="K8" s="626">
        <f>F8*'MK Bases Model (Base Case)'!$F$13</f>
        <v>17447.656574583543</v>
      </c>
      <c r="L8" s="65"/>
      <c r="M8" s="364" t="s">
        <v>382</v>
      </c>
      <c r="N8" s="521">
        <f>ROUND(P8/6,0)</f>
        <v>4</v>
      </c>
      <c r="O8" s="629">
        <f>N8*'OM Assumptions'!$B$44</f>
        <v>60</v>
      </c>
      <c r="P8" s="631">
        <f>($J36/$K36)+'OM Assumptions'!B46</f>
        <v>26.2786272666219</v>
      </c>
      <c r="Q8" s="629">
        <f>P8*('OM Assumptions'!$B$44)</f>
        <v>394.17940899932847</v>
      </c>
      <c r="R8" s="631">
        <f>($J43/$K43)+'OM Assumptions'!B46</f>
        <v>36.821550673710796</v>
      </c>
      <c r="S8" s="633">
        <f>R8*('OM Assumptions'!$B$44)</f>
        <v>552.32326010566192</v>
      </c>
      <c r="T8" s="631">
        <f>($J50/$K50)+'OM Assumptions'!B46</f>
        <v>42.375866964145779</v>
      </c>
      <c r="U8" s="633">
        <f>T8*('OM Assumptions'!$B$44)</f>
        <v>635.6380044621867</v>
      </c>
      <c r="V8" s="631">
        <f>($J57/$K57)+'OM Assumptions'!B46</f>
        <v>47.606422549351024</v>
      </c>
      <c r="W8" s="629">
        <f>V8*'OM Assumptions'!$B$44</f>
        <v>714.09633824026537</v>
      </c>
      <c r="X8" s="631">
        <f>($J64/$K64)+'OM Assumptions'!B46</f>
        <v>52.681284855269048</v>
      </c>
      <c r="Y8" s="634">
        <f>X8*'OM Assumptions'!$B$44</f>
        <v>790.21927282903573</v>
      </c>
    </row>
    <row r="9" spans="1:26" ht="51">
      <c r="A9" s="449" t="s">
        <v>380</v>
      </c>
      <c r="B9" s="909" t="s">
        <v>635</v>
      </c>
      <c r="C9" s="66" t="s">
        <v>631</v>
      </c>
      <c r="D9" s="66">
        <v>2</v>
      </c>
      <c r="E9" s="65">
        <v>0</v>
      </c>
      <c r="F9" s="601">
        <f>D9*'OM Bill of Materials List'!E7</f>
        <v>0.72</v>
      </c>
      <c r="G9" s="625">
        <f>F9*'MK Bases Model (Base Case)'!$B$13</f>
        <v>72079.338240000026</v>
      </c>
      <c r="H9" s="625">
        <f>F9*'MK Bases Model (Base Case)'!$C$13</f>
        <v>148255.42332526261</v>
      </c>
      <c r="I9" s="625">
        <f>F9*'MK Bases Model (Base Case)'!$D$13</f>
        <v>199323.33740203604</v>
      </c>
      <c r="J9" s="625">
        <f>F9*'MK Bases Model (Base Case)'!$E$13</f>
        <v>254311.76678447149</v>
      </c>
      <c r="K9" s="626">
        <f>F9*'MK Bases Model (Base Case)'!$F$13</f>
        <v>314057.81834250374</v>
      </c>
      <c r="L9" s="65"/>
      <c r="M9" s="524" t="s">
        <v>521</v>
      </c>
      <c r="N9" s="525">
        <f t="shared" ref="N9:Y9" si="0">SUM(N5:N8)</f>
        <v>16</v>
      </c>
      <c r="O9" s="630">
        <f t="shared" si="0"/>
        <v>240</v>
      </c>
      <c r="P9" s="632">
        <f t="shared" si="0"/>
        <v>91.387816458340836</v>
      </c>
      <c r="Q9" s="630">
        <f t="shared" si="0"/>
        <v>1370.8172468751127</v>
      </c>
      <c r="R9" s="632">
        <f t="shared" si="0"/>
        <v>127.59400784926763</v>
      </c>
      <c r="S9" s="630">
        <f t="shared" si="0"/>
        <v>1913.9101177390144</v>
      </c>
      <c r="T9" s="632">
        <f t="shared" si="0"/>
        <v>146.67076850046288</v>
      </c>
      <c r="U9" s="630">
        <f t="shared" si="0"/>
        <v>2200.0615275069431</v>
      </c>
      <c r="V9" s="632">
        <f t="shared" si="0"/>
        <v>164.63509266788932</v>
      </c>
      <c r="W9" s="630">
        <f t="shared" si="0"/>
        <v>2469.52639001834</v>
      </c>
      <c r="X9" s="632">
        <f t="shared" si="0"/>
        <v>182.06468883286107</v>
      </c>
      <c r="Y9" s="635">
        <f t="shared" si="0"/>
        <v>2730.9703324929155</v>
      </c>
    </row>
    <row r="10" spans="1:26" ht="51">
      <c r="A10" s="449" t="s">
        <v>381</v>
      </c>
      <c r="B10" s="909" t="s">
        <v>636</v>
      </c>
      <c r="C10" s="65" t="s">
        <v>425</v>
      </c>
      <c r="D10" s="442">
        <v>2</v>
      </c>
      <c r="E10" s="65">
        <v>0</v>
      </c>
      <c r="F10" s="601">
        <f>D10*'OM Bill of Materials List'!E8</f>
        <v>0.2</v>
      </c>
      <c r="G10" s="625">
        <f>F10*'MK Bases Model (Base Case)'!$B$13</f>
        <v>20022.038400000009</v>
      </c>
      <c r="H10" s="625">
        <f>F10*'MK Bases Model (Base Case)'!$C$13</f>
        <v>41182.062034795177</v>
      </c>
      <c r="I10" s="625">
        <f>F10*'MK Bases Model (Base Case)'!$D$13</f>
        <v>55367.593722787795</v>
      </c>
      <c r="J10" s="625">
        <f>F10*'MK Bases Model (Base Case)'!$E$13</f>
        <v>70642.157440130977</v>
      </c>
      <c r="K10" s="626">
        <f>F10*'MK Bases Model (Base Case)'!$F$13</f>
        <v>87238.282872917713</v>
      </c>
      <c r="L10" s="65"/>
      <c r="M10" s="65"/>
      <c r="N10" s="65"/>
      <c r="O10" s="65"/>
      <c r="P10" s="65"/>
      <c r="Q10" s="65"/>
      <c r="R10" s="65"/>
      <c r="S10" s="65"/>
      <c r="T10" s="65"/>
      <c r="U10" s="587"/>
      <c r="V10" s="65"/>
      <c r="W10" s="65"/>
      <c r="X10" s="65"/>
      <c r="Y10" s="65"/>
    </row>
    <row r="11" spans="1:26" ht="33.950000000000003">
      <c r="A11" s="449" t="s">
        <v>382</v>
      </c>
      <c r="B11" s="909" t="s">
        <v>637</v>
      </c>
      <c r="C11" s="65" t="s">
        <v>426</v>
      </c>
      <c r="D11" s="442">
        <v>2</v>
      </c>
      <c r="E11" s="65">
        <v>0</v>
      </c>
      <c r="F11" s="601">
        <f>D11*'OM Bill of Materials List'!E9</f>
        <v>0.56000000000000005</v>
      </c>
      <c r="G11" s="627">
        <f>F11*'MK Bases Model (Base Case)'!$B$13</f>
        <v>56061.707520000025</v>
      </c>
      <c r="H11" s="627">
        <f>F11*'MK Bases Model (Base Case)'!$C$13</f>
        <v>115309.77369742648</v>
      </c>
      <c r="I11" s="627">
        <f>F11*'MK Bases Model (Base Case)'!$D$13</f>
        <v>155029.26242380583</v>
      </c>
      <c r="J11" s="627">
        <f>F11*'MK Bases Model (Base Case)'!$E$13</f>
        <v>197798.04083236674</v>
      </c>
      <c r="K11" s="628">
        <f>F11*'MK Bases Model (Base Case)'!$F$13</f>
        <v>244267.19204416961</v>
      </c>
      <c r="L11" s="65"/>
      <c r="M11" s="65"/>
      <c r="N11" s="65"/>
      <c r="O11" s="65"/>
      <c r="P11" s="65"/>
      <c r="Q11" s="65"/>
      <c r="R11" s="65"/>
      <c r="S11" s="65"/>
      <c r="T11" s="65"/>
      <c r="U11" s="65"/>
      <c r="V11" s="65"/>
      <c r="W11" s="65"/>
      <c r="X11" s="65"/>
      <c r="Y11" s="65"/>
    </row>
    <row r="12" spans="1:26">
      <c r="A12" s="528" t="s">
        <v>115</v>
      </c>
      <c r="B12" s="529" t="s">
        <v>42</v>
      </c>
      <c r="C12" s="529" t="s">
        <v>42</v>
      </c>
      <c r="D12" s="529" t="s">
        <v>42</v>
      </c>
      <c r="E12" s="529" t="s">
        <v>42</v>
      </c>
      <c r="F12" s="603">
        <f t="shared" ref="F12" si="1">SUM(F6:F11)</f>
        <v>2.08</v>
      </c>
      <c r="G12" s="596">
        <f>SUM(G6:G11)</f>
        <v>208229.19936000009</v>
      </c>
      <c r="H12" s="596">
        <f>SUM(H6:H11)</f>
        <v>428293.44516186981</v>
      </c>
      <c r="I12" s="596">
        <f>SUM(I6:I11)</f>
        <v>575822.97471699305</v>
      </c>
      <c r="J12" s="596">
        <f>SUM(J6:J11)</f>
        <v>734678.43737736205</v>
      </c>
      <c r="K12" s="852">
        <f>SUM(K6:K11)</f>
        <v>907278.14187834424</v>
      </c>
      <c r="L12" s="65"/>
      <c r="M12" s="65"/>
      <c r="N12" s="65"/>
      <c r="O12" s="65"/>
      <c r="P12" s="65"/>
      <c r="Q12" s="65"/>
      <c r="R12" s="65"/>
      <c r="S12" s="65"/>
      <c r="T12" s="65"/>
      <c r="U12" s="65"/>
      <c r="V12" s="65"/>
      <c r="W12" s="65"/>
      <c r="X12" s="65"/>
      <c r="Y12" s="65"/>
    </row>
    <row r="13" spans="1:26" ht="35.25" customHeight="1">
      <c r="A13" s="65"/>
      <c r="B13" s="65"/>
      <c r="C13" s="65"/>
      <c r="D13" s="65"/>
      <c r="E13" s="65"/>
      <c r="F13" s="65"/>
      <c r="G13" s="65"/>
      <c r="H13" s="65"/>
      <c r="I13" s="65"/>
      <c r="J13" s="65"/>
      <c r="K13" s="65"/>
      <c r="L13" s="65"/>
      <c r="M13" s="65"/>
      <c r="N13" s="65"/>
      <c r="O13" s="65"/>
      <c r="P13" s="65"/>
      <c r="Q13" s="65"/>
      <c r="R13" s="65"/>
      <c r="S13" s="65"/>
      <c r="T13" s="65"/>
      <c r="U13" s="65"/>
      <c r="V13" s="65"/>
      <c r="W13" s="65"/>
      <c r="X13" s="65"/>
      <c r="Y13" s="65"/>
    </row>
    <row r="14" spans="1:26" ht="96.75" customHeight="1">
      <c r="A14" s="532" t="s">
        <v>638</v>
      </c>
      <c r="B14" s="65"/>
      <c r="C14" s="65"/>
      <c r="D14" s="65"/>
      <c r="E14" s="65"/>
      <c r="F14" s="65"/>
      <c r="G14" s="65"/>
      <c r="H14" s="65"/>
      <c r="I14" s="65"/>
      <c r="J14" s="65"/>
      <c r="K14" s="65"/>
      <c r="L14" s="65"/>
      <c r="M14" s="65"/>
      <c r="N14" s="65"/>
      <c r="O14" s="65"/>
      <c r="P14" s="65"/>
      <c r="Q14" s="65"/>
      <c r="R14" s="65"/>
      <c r="S14" s="65"/>
      <c r="T14" s="65"/>
      <c r="U14" s="65"/>
      <c r="V14" s="65"/>
      <c r="W14" s="65"/>
      <c r="X14" s="65"/>
      <c r="Y14" s="65"/>
    </row>
    <row r="15" spans="1:26" ht="69" customHeight="1">
      <c r="A15" s="543" t="s">
        <v>639</v>
      </c>
      <c r="B15" s="519" t="s">
        <v>523</v>
      </c>
      <c r="C15" s="519" t="s">
        <v>524</v>
      </c>
      <c r="D15" s="519" t="s">
        <v>525</v>
      </c>
      <c r="E15" s="519" t="s">
        <v>526</v>
      </c>
      <c r="F15" s="520" t="s">
        <v>527</v>
      </c>
      <c r="G15" s="65"/>
      <c r="H15" s="65"/>
      <c r="I15" s="533" t="s">
        <v>640</v>
      </c>
      <c r="J15" s="534" t="s">
        <v>641</v>
      </c>
      <c r="K15" s="535" t="s">
        <v>642</v>
      </c>
      <c r="L15" s="536" t="s">
        <v>643</v>
      </c>
      <c r="M15" s="65"/>
      <c r="N15" s="533" t="s">
        <v>126</v>
      </c>
      <c r="O15" s="518" t="s">
        <v>644</v>
      </c>
      <c r="P15" s="518" t="s">
        <v>645</v>
      </c>
      <c r="Q15" s="518" t="s">
        <v>646</v>
      </c>
      <c r="R15" s="518" t="s">
        <v>647</v>
      </c>
      <c r="S15" s="537" t="s">
        <v>648</v>
      </c>
      <c r="T15" s="65"/>
      <c r="U15" s="538" t="s">
        <v>649</v>
      </c>
      <c r="V15" s="539" t="s">
        <v>650</v>
      </c>
      <c r="W15" s="65"/>
      <c r="X15" s="65"/>
      <c r="Y15" s="65"/>
    </row>
    <row r="16" spans="1:26" ht="16.5" customHeight="1">
      <c r="A16" s="551" t="s">
        <v>651</v>
      </c>
      <c r="B16" s="585">
        <f>'OM Final COGS Y1-Y5'!C10*'OM Assumptions'!$B$45</f>
        <v>1.8019688796089808</v>
      </c>
      <c r="C16" s="585">
        <f>'OM Final COGS Y1-Y5'!D10*'OM Assumptions'!$B$45</f>
        <v>1.6098685486690043</v>
      </c>
      <c r="D16" s="585">
        <f>'OM Final COGS Y1-Y5'!E10*'OM Assumptions'!$B$45</f>
        <v>1.615429523326277</v>
      </c>
      <c r="E16" s="585">
        <f>'OM Final COGS Y1-Y5'!F10*'OM Assumptions'!$B$45</f>
        <v>1.5873536800701313</v>
      </c>
      <c r="F16" s="910">
        <f>'OM Final COGS Y1-Y5'!G10*'OM Assumptions'!$B$45</f>
        <v>1.5408675896824757</v>
      </c>
      <c r="G16" s="65"/>
      <c r="H16" s="65"/>
      <c r="I16" s="449" t="s">
        <v>652</v>
      </c>
      <c r="J16" s="444">
        <f>J17*'OM Assumptions'!$B$40</f>
        <v>3.2</v>
      </c>
      <c r="K16" s="593">
        <f>K17*'OM Assumptions'!$B$40</f>
        <v>0.34285714285714286</v>
      </c>
      <c r="L16" s="600">
        <f>(J16+(K16*('OM Assumptions'!$B$41)-1))/('OM Assumptions'!$B$41)</f>
        <v>0.8928571428571429</v>
      </c>
      <c r="M16" s="65"/>
      <c r="N16" s="540" t="s">
        <v>653</v>
      </c>
      <c r="O16" s="565">
        <f>'MK Bases Model (Base Case)'!B13</f>
        <v>100110.19200000004</v>
      </c>
      <c r="P16" s="565">
        <f>'MK Bases Model (Base Case)'!C13</f>
        <v>205910.31017397586</v>
      </c>
      <c r="Q16" s="565">
        <f>'MK Bases Model (Base Case)'!D13</f>
        <v>276837.96861393895</v>
      </c>
      <c r="R16" s="565">
        <f>'MK Bases Model (Base Case)'!E13</f>
        <v>353210.78720065486</v>
      </c>
      <c r="S16" s="580">
        <f>'MK Bases Model (Base Case)'!F13</f>
        <v>436191.41436458856</v>
      </c>
      <c r="T16" s="65"/>
      <c r="U16" s="540" t="s">
        <v>654</v>
      </c>
      <c r="V16" s="598">
        <f>(F9+F10+F11)/F12</f>
        <v>0.71153846153846145</v>
      </c>
      <c r="W16" s="65"/>
      <c r="X16" s="65"/>
      <c r="Y16" s="65"/>
      <c r="Z16" s="111"/>
    </row>
    <row r="17" spans="1:26" ht="102">
      <c r="A17" s="449" t="s">
        <v>655</v>
      </c>
      <c r="B17" s="585">
        <f>'OM Final COGS Y1-Y5'!C6-'OM Final COGS Y1-Y5'!C10</f>
        <v>7.1434370679700621</v>
      </c>
      <c r="C17" s="585">
        <f>'OM Final COGS Y1-Y5'!D6-'OM Final COGS Y1-Y5'!D10</f>
        <v>7.7837715044366504</v>
      </c>
      <c r="D17" s="585">
        <f>'OM Final COGS Y1-Y5'!E6-'OM Final COGS Y1-Y5'!E10</f>
        <v>7.2152349222457426</v>
      </c>
      <c r="E17" s="585">
        <f>'OM Final COGS Y1-Y5'!F6-'OM Final COGS Y1-Y5'!F10</f>
        <v>6.5288210664328936</v>
      </c>
      <c r="F17" s="910">
        <f>'OM Final COGS Y1-Y5'!G6-'OM Final COGS Y1-Y5'!G10</f>
        <v>6.123774701058414</v>
      </c>
      <c r="G17" s="65"/>
      <c r="H17" s="65"/>
      <c r="I17" s="449" t="s">
        <v>656</v>
      </c>
      <c r="J17" s="451">
        <f>'OM Assumptions'!B35</f>
        <v>4</v>
      </c>
      <c r="K17" s="560">
        <f>'OM Assumptions'!B36</f>
        <v>0.42857142857142855</v>
      </c>
      <c r="L17" s="600">
        <f>(J17+(K17*('OM Assumptions'!$B$41)-1))/('OM Assumptions'!$B$41)</f>
        <v>1.1785714285714286</v>
      </c>
      <c r="M17" s="65"/>
      <c r="N17" s="540" t="s">
        <v>657</v>
      </c>
      <c r="O17" s="562">
        <f>'OM Final COGS Y1-Y5'!C6</f>
        <v>13.149999999999999</v>
      </c>
      <c r="P17" s="562">
        <f>'OM Final COGS Y1-Y5'!D6</f>
        <v>13.149999999999999</v>
      </c>
      <c r="Q17" s="562">
        <f>'OM Final COGS Y1-Y5'!E6</f>
        <v>12.6</v>
      </c>
      <c r="R17" s="562">
        <f>'OM Final COGS Y1-Y5'!F6</f>
        <v>11.819999999999999</v>
      </c>
      <c r="S17" s="563">
        <f>'OM Final COGS Y1-Y5'!G6</f>
        <v>11.26</v>
      </c>
      <c r="T17" s="65"/>
      <c r="U17" s="541" t="s">
        <v>658</v>
      </c>
      <c r="V17" s="599">
        <f>(F6+F7+F8)/F12</f>
        <v>0.28846153846153844</v>
      </c>
      <c r="W17" s="65"/>
      <c r="X17" s="65"/>
      <c r="Y17" s="65"/>
      <c r="Z17" s="22"/>
    </row>
    <row r="18" spans="1:26" ht="51">
      <c r="A18" s="449" t="s">
        <v>659</v>
      </c>
      <c r="B18" s="602">
        <f>B16/4</f>
        <v>0.45049221990224519</v>
      </c>
      <c r="C18" s="602">
        <f>C16/4</f>
        <v>0.40246713716725108</v>
      </c>
      <c r="D18" s="602">
        <f>D16/4</f>
        <v>0.40385738083156925</v>
      </c>
      <c r="E18" s="602">
        <f>E16/4</f>
        <v>0.39683842001753283</v>
      </c>
      <c r="F18" s="911">
        <f>F16/4</f>
        <v>0.38521689742061893</v>
      </c>
      <c r="G18" s="65"/>
      <c r="H18" s="65"/>
      <c r="I18" s="526" t="s">
        <v>660</v>
      </c>
      <c r="J18" s="527">
        <f>J17*'OM Assumptions'!$B$39</f>
        <v>4.8</v>
      </c>
      <c r="K18" s="600">
        <f>K17*'OM Assumptions'!$B$39</f>
        <v>0.51428571428571423</v>
      </c>
      <c r="L18" s="600">
        <f>(J18+(K18*('OM Assumptions'!$B$41)-1))/('OM Assumptions'!$B$41)</f>
        <v>1.4642857142857142</v>
      </c>
      <c r="M18" s="65"/>
      <c r="N18" s="541" t="s">
        <v>661</v>
      </c>
      <c r="O18" s="595">
        <f>O16*O17</f>
        <v>1316449.0248000005</v>
      </c>
      <c r="P18" s="596">
        <f>P17*P16</f>
        <v>2707720.5787877822</v>
      </c>
      <c r="Q18" s="596">
        <f>Q16*Q17</f>
        <v>3488158.4045356307</v>
      </c>
      <c r="R18" s="595">
        <f>R16*R17</f>
        <v>4174951.5047117397</v>
      </c>
      <c r="S18" s="597">
        <f>S16*S17</f>
        <v>4911515.3257452669</v>
      </c>
      <c r="T18" s="65"/>
      <c r="U18" s="226"/>
      <c r="V18" s="65"/>
      <c r="W18" s="65"/>
      <c r="X18" s="65"/>
      <c r="Y18" s="65"/>
    </row>
    <row r="19" spans="1:26">
      <c r="A19" s="449" t="s">
        <v>662</v>
      </c>
      <c r="B19" s="604">
        <f>SQRT($L$17)</f>
        <v>1.0856202966836188</v>
      </c>
      <c r="C19" s="604">
        <f>SQRT($L$17)</f>
        <v>1.0856202966836188</v>
      </c>
      <c r="D19" s="604">
        <f>SQRT($L$17)</f>
        <v>1.0856202966836188</v>
      </c>
      <c r="E19" s="604">
        <f>SQRT($L$17)</f>
        <v>1.0856202966836188</v>
      </c>
      <c r="F19" s="560">
        <f>SQRT($L$17)</f>
        <v>1.0856202966836188</v>
      </c>
      <c r="G19" s="65"/>
      <c r="H19" s="65"/>
      <c r="I19" s="65"/>
      <c r="J19" s="65"/>
      <c r="K19" s="65"/>
      <c r="L19" s="65"/>
      <c r="M19" s="65"/>
      <c r="N19" s="65"/>
      <c r="O19" s="65"/>
      <c r="P19" s="65"/>
      <c r="Q19" s="65"/>
      <c r="R19" s="65"/>
      <c r="S19" s="65"/>
      <c r="T19" s="65"/>
      <c r="U19" s="65"/>
      <c r="V19" s="65"/>
      <c r="W19" s="65"/>
      <c r="X19" s="65"/>
      <c r="Y19" s="65"/>
    </row>
    <row r="20" spans="1:26">
      <c r="A20" s="526" t="s">
        <v>663</v>
      </c>
      <c r="B20" s="912">
        <f>_xlfn.NORM.S.INV(B30)</f>
        <v>1.5604848157451159</v>
      </c>
      <c r="C20" s="912">
        <f>_xlfn.NORM.S.INV(C30)</f>
        <v>1.6530153902447333</v>
      </c>
      <c r="D20" s="912">
        <f>_xlfn.NORM.S.INV(D30)</f>
        <v>1.6163811063610594</v>
      </c>
      <c r="E20" s="912">
        <f>_xlfn.NORM.S.INV(E30)</f>
        <v>1.5778526701995401</v>
      </c>
      <c r="F20" s="913">
        <f>_xlfn.NORM.S.INV(F30)</f>
        <v>1.5616751331190577</v>
      </c>
      <c r="G20" s="65"/>
      <c r="H20" s="65"/>
      <c r="I20" s="533" t="s">
        <v>664</v>
      </c>
      <c r="J20" s="518" t="s">
        <v>624</v>
      </c>
      <c r="K20" s="518" t="s">
        <v>665</v>
      </c>
      <c r="L20" s="518" t="s">
        <v>666</v>
      </c>
      <c r="M20" s="518" t="s">
        <v>667</v>
      </c>
      <c r="N20" s="518" t="s">
        <v>668</v>
      </c>
      <c r="O20" s="518" t="s">
        <v>669</v>
      </c>
      <c r="P20" s="518" t="s">
        <v>670</v>
      </c>
      <c r="Q20" s="518" t="s">
        <v>671</v>
      </c>
      <c r="R20" s="537" t="s">
        <v>672</v>
      </c>
      <c r="S20" s="518" t="s">
        <v>673</v>
      </c>
      <c r="T20" s="518" t="s">
        <v>674</v>
      </c>
      <c r="U20" s="537" t="s">
        <v>675</v>
      </c>
      <c r="V20" s="65"/>
      <c r="W20" s="65"/>
      <c r="X20" s="65"/>
      <c r="Y20" s="65"/>
    </row>
    <row r="21" spans="1:26">
      <c r="A21" s="65"/>
      <c r="B21" s="65"/>
      <c r="C21" s="65"/>
      <c r="D21" s="65"/>
      <c r="E21" s="65"/>
      <c r="F21" s="65"/>
      <c r="G21" s="65"/>
      <c r="H21" s="65"/>
      <c r="I21" s="442" t="s">
        <v>676</v>
      </c>
      <c r="J21" s="65" t="s">
        <v>677</v>
      </c>
      <c r="K21" s="562">
        <v>25.99</v>
      </c>
      <c r="L21" s="65">
        <f>'OM Capacity Analysis Y1-Y5'!$B$28*2</f>
        <v>20</v>
      </c>
      <c r="M21" s="588">
        <f t="shared" ref="M21:M28" si="2">L21*K21</f>
        <v>519.79999999999995</v>
      </c>
      <c r="N21" s="65">
        <f>2*('OM Capacity Analysis Y1-Y5'!$C$28-'OM Capacity Analysis Y1-Y5'!$B$28)+'OM Capacity Analysis Y1-Y5'!$B$28</f>
        <v>22</v>
      </c>
      <c r="O21" s="588">
        <f t="shared" ref="O21:O26" si="3">N21*K21</f>
        <v>571.78</v>
      </c>
      <c r="P21" s="65">
        <f>2*('OM Capacity Analysis Y1-Y5'!$D$28-'OM Capacity Analysis Y1-Y5'!$C$28)+'OM Capacity Analysis Y1-Y5'!$C$28</f>
        <v>28</v>
      </c>
      <c r="Q21" s="588">
        <f t="shared" ref="Q21:Q28" si="4">P21*K21</f>
        <v>727.71999999999991</v>
      </c>
      <c r="R21" s="65">
        <f>2*('OM Capacity Analysis Y1-Y5'!$E$28-'OM Capacity Analysis Y1-Y5'!$D$28)+'OM Capacity Analysis Y1-Y5'!$D$28</f>
        <v>30</v>
      </c>
      <c r="S21" s="588">
        <f t="shared" ref="S21:S27" si="5">R21*K21</f>
        <v>779.69999999999993</v>
      </c>
      <c r="T21" s="65">
        <f>2*('OM Capacity Analysis Y1-Y5'!$F$28-'OM Capacity Analysis Y1-Y5'!$E$28)+'OM Capacity Analysis Y1-Y5'!$E$28</f>
        <v>40</v>
      </c>
      <c r="U21" s="590">
        <f t="shared" ref="U21:U27" si="6">T21*K21</f>
        <v>1039.5999999999999</v>
      </c>
      <c r="V21" s="65"/>
      <c r="W21" s="65"/>
      <c r="X21" s="65"/>
      <c r="Y21" s="65"/>
    </row>
    <row r="22" spans="1:26">
      <c r="A22" s="543" t="s">
        <v>678</v>
      </c>
      <c r="B22" s="519" t="s">
        <v>523</v>
      </c>
      <c r="C22" s="519" t="s">
        <v>524</v>
      </c>
      <c r="D22" s="519" t="s">
        <v>525</v>
      </c>
      <c r="E22" s="519" t="s">
        <v>526</v>
      </c>
      <c r="F22" s="532" t="s">
        <v>527</v>
      </c>
      <c r="G22" s="65"/>
      <c r="H22" s="65"/>
      <c r="I22" s="442" t="s">
        <v>679</v>
      </c>
      <c r="J22" s="65" t="s">
        <v>680</v>
      </c>
      <c r="K22" s="562">
        <v>1.45</v>
      </c>
      <c r="L22" s="65">
        <f>'OM Capacity Analysis Y1-Y5'!$B$28*2</f>
        <v>20</v>
      </c>
      <c r="M22" s="589">
        <f t="shared" si="2"/>
        <v>29</v>
      </c>
      <c r="N22" s="65">
        <f>2*('OM Capacity Analysis Y1-Y5'!$C$28-'OM Capacity Analysis Y1-Y5'!$B$28)+'OM Capacity Analysis Y1-Y5'!$B$28</f>
        <v>22</v>
      </c>
      <c r="O22" s="588">
        <f t="shared" si="3"/>
        <v>31.9</v>
      </c>
      <c r="P22" s="65">
        <f>2*('OM Capacity Analysis Y1-Y5'!$D$28-'OM Capacity Analysis Y1-Y5'!$C$28)+'OM Capacity Analysis Y1-Y5'!$C$28</f>
        <v>28</v>
      </c>
      <c r="Q22" s="588">
        <f t="shared" si="4"/>
        <v>40.6</v>
      </c>
      <c r="R22" s="65">
        <f>2*('OM Capacity Analysis Y1-Y5'!$E$28-'OM Capacity Analysis Y1-Y5'!$D$28)+'OM Capacity Analysis Y1-Y5'!$D$28</f>
        <v>30</v>
      </c>
      <c r="S22" s="588">
        <f t="shared" si="5"/>
        <v>43.5</v>
      </c>
      <c r="T22" s="65">
        <f>2*('OM Capacity Analysis Y1-Y5'!$F$28-'OM Capacity Analysis Y1-Y5'!$E$28)+'OM Capacity Analysis Y1-Y5'!$E$28</f>
        <v>40</v>
      </c>
      <c r="U22" s="591">
        <f t="shared" si="6"/>
        <v>58</v>
      </c>
      <c r="V22" s="65"/>
      <c r="W22" s="65"/>
      <c r="X22" s="65"/>
      <c r="Y22" s="65"/>
    </row>
    <row r="23" spans="1:26">
      <c r="A23" s="523" t="s">
        <v>681</v>
      </c>
      <c r="B23" s="639">
        <f>'MK Bases Model (Base Case)'!B13</f>
        <v>100110.19200000004</v>
      </c>
      <c r="C23" s="639">
        <f>'MK Bases Model (Base Case)'!C13</f>
        <v>205910.31017397586</v>
      </c>
      <c r="D23" s="639">
        <f>'MK Bases Model (Base Case)'!D13</f>
        <v>276837.96861393895</v>
      </c>
      <c r="E23" s="639">
        <f>'MK Bases Model (Base Case)'!E13</f>
        <v>353210.78720065486</v>
      </c>
      <c r="F23" s="640">
        <f>'MK Bases Model (Base Case)'!F13</f>
        <v>436191.41436458856</v>
      </c>
      <c r="G23" s="65"/>
      <c r="H23" s="65"/>
      <c r="I23" s="442" t="s">
        <v>682</v>
      </c>
      <c r="J23" s="65" t="s">
        <v>683</v>
      </c>
      <c r="K23" s="562">
        <v>6.99</v>
      </c>
      <c r="L23" s="65">
        <f>'OM Capacity Analysis Y1-Y5'!$B$28*2</f>
        <v>20</v>
      </c>
      <c r="M23" s="588">
        <f t="shared" si="2"/>
        <v>139.80000000000001</v>
      </c>
      <c r="N23" s="65">
        <f>2*('OM Capacity Analysis Y1-Y5'!$C$28-'OM Capacity Analysis Y1-Y5'!$B$28)+'OM Capacity Analysis Y1-Y5'!$B$28</f>
        <v>22</v>
      </c>
      <c r="O23" s="588">
        <f t="shared" si="3"/>
        <v>153.78</v>
      </c>
      <c r="P23" s="65">
        <f>2*('OM Capacity Analysis Y1-Y5'!$D$28-'OM Capacity Analysis Y1-Y5'!$C$28)+'OM Capacity Analysis Y1-Y5'!$C$28</f>
        <v>28</v>
      </c>
      <c r="Q23" s="588">
        <f t="shared" si="4"/>
        <v>195.72</v>
      </c>
      <c r="R23" s="65">
        <f>2*('OM Capacity Analysis Y1-Y5'!$E$28-'OM Capacity Analysis Y1-Y5'!$D$28)+'OM Capacity Analysis Y1-Y5'!$D$28</f>
        <v>30</v>
      </c>
      <c r="S23" s="588">
        <f t="shared" si="5"/>
        <v>209.70000000000002</v>
      </c>
      <c r="T23" s="65">
        <f>2*('OM Capacity Analysis Y1-Y5'!$F$28-'OM Capacity Analysis Y1-Y5'!$E$28)+'OM Capacity Analysis Y1-Y5'!$E$28</f>
        <v>40</v>
      </c>
      <c r="U23" s="590">
        <f t="shared" si="6"/>
        <v>279.60000000000002</v>
      </c>
      <c r="V23" s="65"/>
      <c r="W23" s="65"/>
      <c r="X23" s="65"/>
      <c r="Y23" s="65"/>
    </row>
    <row r="24" spans="1:26">
      <c r="A24" s="449" t="s">
        <v>684</v>
      </c>
      <c r="B24" s="450">
        <f>ROUND((B23*'OM Assumptions'!$B$37),0)</f>
        <v>200220</v>
      </c>
      <c r="C24" s="450">
        <f>ROUND((C23*'OM Assumptions'!$B$37),0)</f>
        <v>411821</v>
      </c>
      <c r="D24" s="450">
        <f>ROUND((D23*'OM Assumptions'!$B$37),0)</f>
        <v>553676</v>
      </c>
      <c r="E24" s="450">
        <f>ROUND((E23*'OM Assumptions'!$B$37),0)</f>
        <v>706422</v>
      </c>
      <c r="F24" s="443">
        <f>ROUND((F23*'OM Assumptions'!$B$37),0)</f>
        <v>872383</v>
      </c>
      <c r="G24" s="65"/>
      <c r="H24" s="65"/>
      <c r="I24" s="442" t="s">
        <v>685</v>
      </c>
      <c r="J24" s="65" t="s">
        <v>686</v>
      </c>
      <c r="K24" s="562">
        <v>4.91</v>
      </c>
      <c r="L24" s="65">
        <f>'OM Capacity Analysis Y1-Y5'!$B$28*2</f>
        <v>20</v>
      </c>
      <c r="M24" s="588">
        <f t="shared" si="2"/>
        <v>98.2</v>
      </c>
      <c r="N24" s="65">
        <f>2*('OM Capacity Analysis Y1-Y5'!$C$28-'OM Capacity Analysis Y1-Y5'!$B$28)+'OM Capacity Analysis Y1-Y5'!$B$28</f>
        <v>22</v>
      </c>
      <c r="O24" s="588">
        <f t="shared" si="3"/>
        <v>108.02000000000001</v>
      </c>
      <c r="P24" s="65">
        <f>2*('OM Capacity Analysis Y1-Y5'!$D$28-'OM Capacity Analysis Y1-Y5'!$C$28)+'OM Capacity Analysis Y1-Y5'!$C$28</f>
        <v>28</v>
      </c>
      <c r="Q24" s="588">
        <f t="shared" si="4"/>
        <v>137.48000000000002</v>
      </c>
      <c r="R24" s="65">
        <f>2*('OM Capacity Analysis Y1-Y5'!$E$28-'OM Capacity Analysis Y1-Y5'!$D$28)+'OM Capacity Analysis Y1-Y5'!$D$28</f>
        <v>30</v>
      </c>
      <c r="S24" s="588">
        <f t="shared" si="5"/>
        <v>147.30000000000001</v>
      </c>
      <c r="T24" s="65">
        <f>2*('OM Capacity Analysis Y1-Y5'!$F$28-'OM Capacity Analysis Y1-Y5'!$E$28)+'OM Capacity Analysis Y1-Y5'!$E$28</f>
        <v>40</v>
      </c>
      <c r="U24" s="590">
        <f t="shared" si="6"/>
        <v>196.4</v>
      </c>
      <c r="V24" s="65"/>
      <c r="W24" s="65"/>
      <c r="X24" s="65"/>
      <c r="Y24" s="65"/>
    </row>
    <row r="25" spans="1:26">
      <c r="A25" s="449" t="s">
        <v>687</v>
      </c>
      <c r="B25" s="450">
        <f>ROUND((B23*'OM Assumptions'!$B$38),0)</f>
        <v>50055</v>
      </c>
      <c r="C25" s="450">
        <f>ROUND((C23*'OM Assumptions'!$B$38),0)</f>
        <v>102955</v>
      </c>
      <c r="D25" s="450">
        <f>ROUND((D23*'OM Assumptions'!$B$38),0)</f>
        <v>138419</v>
      </c>
      <c r="E25" s="450">
        <f>ROUND((E23*'OM Assumptions'!$B$38),0)</f>
        <v>176605</v>
      </c>
      <c r="F25" s="443">
        <f>ROUND((F23*'OM Assumptions'!$B$38),0)</f>
        <v>218096</v>
      </c>
      <c r="G25" s="65"/>
      <c r="H25" s="65"/>
      <c r="I25" s="442" t="s">
        <v>688</v>
      </c>
      <c r="J25" s="65" t="s">
        <v>689</v>
      </c>
      <c r="K25" s="562">
        <v>5.9</v>
      </c>
      <c r="L25" s="65">
        <f>'OM Capacity Analysis Y1-Y5'!$B$28*2</f>
        <v>20</v>
      </c>
      <c r="M25" s="589">
        <f t="shared" si="2"/>
        <v>118</v>
      </c>
      <c r="N25" s="65">
        <f>2*('OM Capacity Analysis Y1-Y5'!$C$28-'OM Capacity Analysis Y1-Y5'!$B$28)+'OM Capacity Analysis Y1-Y5'!$B$28</f>
        <v>22</v>
      </c>
      <c r="O25" s="588">
        <f t="shared" si="3"/>
        <v>129.80000000000001</v>
      </c>
      <c r="P25" s="65">
        <f>2*('OM Capacity Analysis Y1-Y5'!$D$28-'OM Capacity Analysis Y1-Y5'!$C$28)+'OM Capacity Analysis Y1-Y5'!$C$28</f>
        <v>28</v>
      </c>
      <c r="Q25" s="588">
        <f t="shared" si="4"/>
        <v>165.20000000000002</v>
      </c>
      <c r="R25" s="65">
        <f>2*('OM Capacity Analysis Y1-Y5'!$E$28-'OM Capacity Analysis Y1-Y5'!$D$28)+'OM Capacity Analysis Y1-Y5'!$D$28</f>
        <v>30</v>
      </c>
      <c r="S25" s="589">
        <f t="shared" si="5"/>
        <v>177</v>
      </c>
      <c r="T25" s="65">
        <f>2*('OM Capacity Analysis Y1-Y5'!$F$28-'OM Capacity Analysis Y1-Y5'!$E$28)+'OM Capacity Analysis Y1-Y5'!$E$28</f>
        <v>40</v>
      </c>
      <c r="U25" s="591">
        <f t="shared" si="6"/>
        <v>236</v>
      </c>
      <c r="V25" s="65"/>
      <c r="W25" s="65"/>
      <c r="X25" s="65"/>
      <c r="Y25" s="65"/>
    </row>
    <row r="26" spans="1:26">
      <c r="A26" s="449" t="s">
        <v>690</v>
      </c>
      <c r="B26" s="450">
        <f>(B25+(B24)+(4*B23))/6</f>
        <v>108452.62800000003</v>
      </c>
      <c r="C26" s="450">
        <f>(C25+(C24)+(4*C23))/6</f>
        <v>223069.54011598392</v>
      </c>
      <c r="D26" s="450">
        <f>(D25+(D24)+(4*D23))/6</f>
        <v>299907.81240929262</v>
      </c>
      <c r="E26" s="450">
        <f>(E25+(E24)+(4*E23))/6</f>
        <v>382645.02480043657</v>
      </c>
      <c r="F26" s="443">
        <f>(F25+(F24)+(4*F23))/6</f>
        <v>472540.77624305902</v>
      </c>
      <c r="G26" s="65"/>
      <c r="H26" s="65"/>
      <c r="I26" s="442" t="s">
        <v>691</v>
      </c>
      <c r="J26" s="65" t="s">
        <v>692</v>
      </c>
      <c r="K26" s="562">
        <v>89.97</v>
      </c>
      <c r="L26" s="65">
        <v>2</v>
      </c>
      <c r="M26" s="588">
        <f t="shared" si="2"/>
        <v>179.94</v>
      </c>
      <c r="N26" s="65">
        <v>1</v>
      </c>
      <c r="O26" s="588">
        <f t="shared" si="3"/>
        <v>89.97</v>
      </c>
      <c r="P26" s="65">
        <v>1</v>
      </c>
      <c r="Q26" s="588">
        <f t="shared" si="4"/>
        <v>89.97</v>
      </c>
      <c r="R26" s="65">
        <v>1</v>
      </c>
      <c r="S26" s="588">
        <f t="shared" si="5"/>
        <v>89.97</v>
      </c>
      <c r="T26" s="65">
        <v>1</v>
      </c>
      <c r="U26" s="590">
        <f t="shared" si="6"/>
        <v>89.97</v>
      </c>
      <c r="V26" s="65"/>
      <c r="W26" s="65"/>
      <c r="X26" s="65"/>
      <c r="Y26" s="65"/>
    </row>
    <row r="27" spans="1:26">
      <c r="A27" s="449" t="s">
        <v>693</v>
      </c>
      <c r="B27" s="450">
        <f>ROUND(B26/'OM Assumptions'!$B$28,0)</f>
        <v>2086</v>
      </c>
      <c r="C27" s="450">
        <f>ROUND(C26/'OM Assumptions'!$B$28,0)</f>
        <v>4290</v>
      </c>
      <c r="D27" s="450">
        <f>ROUND(D26/'OM Assumptions'!$B$28,0)</f>
        <v>5767</v>
      </c>
      <c r="E27" s="450">
        <f>ROUND(E26/'OM Assumptions'!$B$28,0)</f>
        <v>7359</v>
      </c>
      <c r="F27" s="443">
        <f>ROUND(F26/'OM Assumptions'!$B$28,0)</f>
        <v>9087</v>
      </c>
      <c r="G27" s="65"/>
      <c r="H27" s="65"/>
      <c r="I27" s="442" t="s">
        <v>694</v>
      </c>
      <c r="J27" s="65" t="s">
        <v>695</v>
      </c>
      <c r="K27" s="587">
        <v>329</v>
      </c>
      <c r="L27" s="65">
        <v>2</v>
      </c>
      <c r="M27" s="589">
        <f t="shared" si="2"/>
        <v>658</v>
      </c>
      <c r="N27" s="65">
        <v>1</v>
      </c>
      <c r="O27" s="589">
        <f>K27*N27</f>
        <v>329</v>
      </c>
      <c r="P27" s="65">
        <v>1</v>
      </c>
      <c r="Q27" s="589">
        <f t="shared" si="4"/>
        <v>329</v>
      </c>
      <c r="R27" s="65">
        <v>1</v>
      </c>
      <c r="S27" s="589">
        <f t="shared" si="5"/>
        <v>329</v>
      </c>
      <c r="T27" s="65">
        <v>1</v>
      </c>
      <c r="U27" s="591">
        <f t="shared" si="6"/>
        <v>329</v>
      </c>
      <c r="V27" s="65"/>
      <c r="W27" s="65"/>
      <c r="X27" s="65"/>
      <c r="Y27" s="65"/>
    </row>
    <row r="28" spans="1:26">
      <c r="A28" s="449" t="s">
        <v>696</v>
      </c>
      <c r="B28" s="450">
        <f>ROUND(((B24-B25)/6),0)</f>
        <v>25028</v>
      </c>
      <c r="C28" s="450">
        <f>ROUND(((C24-C25)/6),0)</f>
        <v>51478</v>
      </c>
      <c r="D28" s="450">
        <f>ROUND(((D24-D25)/6),0)</f>
        <v>69210</v>
      </c>
      <c r="E28" s="450">
        <f>ROUND(((E24-E25)/6),0)</f>
        <v>88303</v>
      </c>
      <c r="F28" s="443">
        <f>ROUND(((F24-F25)/6),0)</f>
        <v>109048</v>
      </c>
      <c r="G28" s="65"/>
      <c r="H28" s="65"/>
      <c r="I28" s="442" t="s">
        <v>697</v>
      </c>
      <c r="J28" s="65" t="s">
        <v>698</v>
      </c>
      <c r="K28" s="562">
        <v>24.99</v>
      </c>
      <c r="L28" s="65">
        <v>1</v>
      </c>
      <c r="M28" s="588">
        <f t="shared" si="2"/>
        <v>24.99</v>
      </c>
      <c r="N28" s="65">
        <v>1</v>
      </c>
      <c r="O28" s="588">
        <f>K28*N28</f>
        <v>24.99</v>
      </c>
      <c r="P28" s="65">
        <v>1</v>
      </c>
      <c r="Q28" s="588">
        <f t="shared" si="4"/>
        <v>24.99</v>
      </c>
      <c r="R28" s="65">
        <v>1</v>
      </c>
      <c r="S28" s="588">
        <f>K28*R28</f>
        <v>24.99</v>
      </c>
      <c r="T28" s="65">
        <v>1</v>
      </c>
      <c r="U28" s="590">
        <f>K28*T28</f>
        <v>24.99</v>
      </c>
      <c r="V28" s="65"/>
      <c r="W28" s="65"/>
      <c r="X28" s="65"/>
      <c r="Y28" s="65"/>
    </row>
    <row r="29" spans="1:26">
      <c r="A29" s="449" t="s">
        <v>699</v>
      </c>
      <c r="B29" s="450">
        <f>ROUND((B28/'OM Assumptions'!$B$28),0)</f>
        <v>481</v>
      </c>
      <c r="C29" s="450">
        <f>ROUND((C28/'OM Assumptions'!$B$28),0)</f>
        <v>990</v>
      </c>
      <c r="D29" s="450">
        <f>ROUND((D28/'OM Assumptions'!$B$28),0)</f>
        <v>1331</v>
      </c>
      <c r="E29" s="450">
        <f>ROUND((E28/'OM Assumptions'!$B$28),0)</f>
        <v>1698</v>
      </c>
      <c r="F29" s="443">
        <f>ROUND((F28/'OM Assumptions'!$B$28),0)</f>
        <v>2097</v>
      </c>
      <c r="G29" s="65"/>
      <c r="H29" s="65"/>
      <c r="I29" s="442" t="s">
        <v>580</v>
      </c>
      <c r="J29" s="65" t="s">
        <v>700</v>
      </c>
      <c r="K29" s="562">
        <v>115.15</v>
      </c>
      <c r="L29" s="522">
        <f>6</f>
        <v>6</v>
      </c>
      <c r="M29" s="588">
        <f>L29*$K$29</f>
        <v>690.90000000000009</v>
      </c>
      <c r="N29" s="65">
        <v>6</v>
      </c>
      <c r="O29" s="588">
        <f>N29*$K$29</f>
        <v>690.90000000000009</v>
      </c>
      <c r="P29" s="65">
        <v>6</v>
      </c>
      <c r="Q29" s="588">
        <f>P29*$K$29</f>
        <v>690.90000000000009</v>
      </c>
      <c r="R29" s="65">
        <v>6</v>
      </c>
      <c r="S29" s="588">
        <f>R29*$K$29</f>
        <v>690.90000000000009</v>
      </c>
      <c r="T29" s="65">
        <v>6</v>
      </c>
      <c r="U29" s="590">
        <f>T29*$K$29</f>
        <v>690.90000000000009</v>
      </c>
      <c r="V29" s="65"/>
      <c r="W29" s="65"/>
      <c r="X29" s="65"/>
      <c r="Y29" s="65"/>
    </row>
    <row r="30" spans="1:26" ht="39" customHeight="1">
      <c r="A30" s="449" t="s">
        <v>701</v>
      </c>
      <c r="B30" s="558">
        <f>B17/(B17+B18)</f>
        <v>0.94067732226296963</v>
      </c>
      <c r="C30" s="605">
        <f>C17/(C17+C18)</f>
        <v>0.95083613429959846</v>
      </c>
      <c r="D30" s="558">
        <f>D17/(D17+D18)</f>
        <v>0.94699402963415291</v>
      </c>
      <c r="E30" s="558">
        <f>E17/(E17+E18)</f>
        <v>0.94270026980189836</v>
      </c>
      <c r="F30" s="559">
        <f>F17/(F17+F18)</f>
        <v>0.94081773012110914</v>
      </c>
      <c r="G30" s="65"/>
      <c r="H30" s="65"/>
      <c r="I30" s="533" t="s">
        <v>115</v>
      </c>
      <c r="J30" s="544" t="s">
        <v>42</v>
      </c>
      <c r="K30" s="586">
        <f>SUM(K21:K28)</f>
        <v>489.20000000000005</v>
      </c>
      <c r="L30" s="545">
        <f t="shared" ref="L30:U30" si="7">SUM(L21:L29)</f>
        <v>111</v>
      </c>
      <c r="M30" s="586">
        <f t="shared" si="7"/>
        <v>2458.63</v>
      </c>
      <c r="N30" s="545">
        <f t="shared" si="7"/>
        <v>119</v>
      </c>
      <c r="O30" s="586">
        <f t="shared" si="7"/>
        <v>2130.1400000000003</v>
      </c>
      <c r="P30" s="545">
        <f t="shared" si="7"/>
        <v>149</v>
      </c>
      <c r="Q30" s="586">
        <f t="shared" si="7"/>
        <v>2401.58</v>
      </c>
      <c r="R30" s="545">
        <f t="shared" si="7"/>
        <v>159</v>
      </c>
      <c r="S30" s="586">
        <f t="shared" si="7"/>
        <v>2492.06</v>
      </c>
      <c r="T30" s="545">
        <f t="shared" si="7"/>
        <v>209</v>
      </c>
      <c r="U30" s="592">
        <f t="shared" si="7"/>
        <v>2944.4599999999996</v>
      </c>
      <c r="V30" s="65"/>
      <c r="W30" s="65"/>
      <c r="X30" s="65"/>
      <c r="Y30" s="65"/>
    </row>
    <row r="31" spans="1:26">
      <c r="A31" s="526" t="s">
        <v>702</v>
      </c>
      <c r="B31" s="638">
        <f>'OM Assumptions'!B48</f>
        <v>0.05</v>
      </c>
      <c r="C31" s="636">
        <f>'OM Assumptions'!$B$49</f>
        <v>1.4999999999999999E-2</v>
      </c>
      <c r="D31" s="636">
        <f>'OM Assumptions'!$B$49</f>
        <v>1.4999999999999999E-2</v>
      </c>
      <c r="E31" s="636">
        <f>'OM Assumptions'!$B$49</f>
        <v>1.4999999999999999E-2</v>
      </c>
      <c r="F31" s="637">
        <f>'OM Assumptions'!$B$49</f>
        <v>1.4999999999999999E-2</v>
      </c>
      <c r="G31" s="65"/>
      <c r="H31" s="65"/>
      <c r="I31" s="547" t="s">
        <v>80</v>
      </c>
      <c r="J31" s="65"/>
      <c r="K31" s="65"/>
      <c r="L31" s="65"/>
      <c r="M31" s="65"/>
      <c r="N31" s="65"/>
      <c r="O31" s="65"/>
      <c r="P31" s="65"/>
      <c r="Q31" s="65"/>
      <c r="R31" s="65"/>
      <c r="S31" s="65"/>
      <c r="T31" s="65"/>
      <c r="U31" s="65"/>
      <c r="V31" s="65"/>
      <c r="W31" s="65"/>
      <c r="X31" s="65"/>
      <c r="Y31" s="65"/>
    </row>
    <row r="32" spans="1:26" ht="51">
      <c r="A32" s="857" t="s">
        <v>703</v>
      </c>
      <c r="B32" s="940" t="s">
        <v>704</v>
      </c>
      <c r="C32" s="65"/>
      <c r="D32" s="65"/>
      <c r="E32" s="65"/>
      <c r="F32" s="65"/>
      <c r="G32" s="65"/>
      <c r="H32" s="65"/>
      <c r="I32" s="543" t="s">
        <v>705</v>
      </c>
      <c r="J32" s="543" t="s">
        <v>706</v>
      </c>
      <c r="K32" s="519" t="s">
        <v>707</v>
      </c>
      <c r="L32" s="519" t="s">
        <v>708</v>
      </c>
      <c r="M32" s="519" t="s">
        <v>709</v>
      </c>
      <c r="N32" s="519" t="s">
        <v>699</v>
      </c>
      <c r="O32" s="642" t="s">
        <v>710</v>
      </c>
      <c r="P32" s="519" t="s">
        <v>711</v>
      </c>
      <c r="Q32" s="519" t="s">
        <v>712</v>
      </c>
      <c r="R32" s="519" t="s">
        <v>705</v>
      </c>
      <c r="S32" s="520" t="s">
        <v>713</v>
      </c>
      <c r="T32" s="65"/>
      <c r="U32" s="65"/>
      <c r="V32" s="65"/>
      <c r="W32" s="65"/>
      <c r="X32" s="65"/>
      <c r="Y32" s="65"/>
    </row>
    <row r="33" spans="1:25">
      <c r="A33" s="533" t="s">
        <v>80</v>
      </c>
      <c r="B33" s="517" t="s">
        <v>714</v>
      </c>
      <c r="C33" s="518" t="s">
        <v>715</v>
      </c>
      <c r="D33" s="518" t="s">
        <v>716</v>
      </c>
      <c r="E33" s="518" t="s">
        <v>717</v>
      </c>
      <c r="F33" s="518" t="s">
        <v>718</v>
      </c>
      <c r="G33" s="537" t="s">
        <v>719</v>
      </c>
      <c r="H33" s="65"/>
      <c r="I33" s="362" t="s">
        <v>629</v>
      </c>
      <c r="J33" s="643">
        <f>$B$26*'OM Assumptions'!B43</f>
        <v>460923.66900000011</v>
      </c>
      <c r="K33" s="643">
        <f>ROUND(SQRT((2*J33*'OM Assumptions'!B44)/((SUM(F6:F8)/'OM Assumptions'!B43)*'OM Assumptions'!B45))*(1+'OM Assumptions'!B49),0)</f>
        <v>18340</v>
      </c>
      <c r="L33" s="643">
        <f>($B$20*SQRT((O33*((B29*'OM Assumptions'!B43)^2))+((('OM Inventory Y1-Y5'!B27*'OM Assumptions'!B43)^2))))*(P33^2)</f>
        <v>1083.3602701606642</v>
      </c>
      <c r="M33" s="644">
        <f>SUM(F6:F8)/3</f>
        <v>0.19999999999999998</v>
      </c>
      <c r="N33" s="643">
        <f>B29*'OM Assumptions'!B43</f>
        <v>2044.25</v>
      </c>
      <c r="O33" s="644">
        <f>($J$16+($J$17)*4+$J$18)/6</f>
        <v>4</v>
      </c>
      <c r="P33" s="645">
        <f>($J$18-$J$16)/6</f>
        <v>0.26666666666666661</v>
      </c>
      <c r="Q33" s="646">
        <f>M33*L33</f>
        <v>216.67205403213282</v>
      </c>
      <c r="R33" s="646">
        <f>(M33*K33)/2</f>
        <v>1833.9999999999998</v>
      </c>
      <c r="S33" s="648">
        <f>(B26*'OM Assumptions'!B43*'OM Inventory Y1-Y5'!J17)+('OM Inventory Y1-Y5'!B20*'OM Inventory Y1-Y5'!B28*'OM Assumptions'!B43*SQRT('OM Inventory Y1-Y5'!J17))</f>
        <v>2175669.0947319851</v>
      </c>
      <c r="T33" s="522"/>
      <c r="U33" s="65"/>
      <c r="V33" s="65"/>
      <c r="W33" s="65"/>
      <c r="X33" s="65"/>
      <c r="Y33" s="65"/>
    </row>
    <row r="34" spans="1:25">
      <c r="A34" s="449" t="s">
        <v>720</v>
      </c>
      <c r="B34" s="450">
        <f>B26</f>
        <v>108452.62800000003</v>
      </c>
      <c r="C34" s="561">
        <f>B27</f>
        <v>2086</v>
      </c>
      <c r="D34" s="549" t="s">
        <v>42</v>
      </c>
      <c r="E34" s="562">
        <f>'OM Final COGS Y1-Y5'!$C$10</f>
        <v>6.0065629320299365</v>
      </c>
      <c r="F34" s="606"/>
      <c r="G34" s="563">
        <f>(E34*C34)/2</f>
        <v>6264.8451381072236</v>
      </c>
      <c r="H34" s="65"/>
      <c r="I34" s="362" t="s">
        <v>380</v>
      </c>
      <c r="J34" s="643">
        <f>D8*$B$26</f>
        <v>216905.25600000005</v>
      </c>
      <c r="K34" s="643">
        <f>ROUND(SQRT((8*J34*'OM Assumptions'!$B$44)/('OM Inventory Y1-Y5'!F9*'OM Assumptions'!$B$45))*(1+'OM Assumptions'!B49),0)</f>
        <v>11142</v>
      </c>
      <c r="L34" s="643">
        <f>$B$20*(SQRT((O34*(($B$29)^2))+((($B$27)^2)*(P34)^2)))</f>
        <v>1734.088780947229</v>
      </c>
      <c r="M34" s="644">
        <f>F9</f>
        <v>0.72</v>
      </c>
      <c r="N34" s="643">
        <f>$B$29</f>
        <v>481</v>
      </c>
      <c r="O34" s="644">
        <f>($J$16+($J$17)*4+$J$18)/6</f>
        <v>4</v>
      </c>
      <c r="P34" s="645">
        <f>($J$18-$J$16)/6</f>
        <v>0.26666666666666661</v>
      </c>
      <c r="Q34" s="646">
        <f>L34*M34</f>
        <v>1248.5439222820048</v>
      </c>
      <c r="R34" s="646">
        <f>(M34*K34)/2</f>
        <v>4011.12</v>
      </c>
      <c r="S34" s="648">
        <f>J34-((J34*(J17/52))+(B20*B28*SQRT(J17/52)))</f>
        <v>189388.10247166952</v>
      </c>
      <c r="T34" s="65"/>
      <c r="U34" s="65"/>
      <c r="V34" s="65"/>
      <c r="W34" s="65"/>
      <c r="X34" s="65"/>
      <c r="Y34" s="65"/>
    </row>
    <row r="35" spans="1:25">
      <c r="A35" s="449" t="s">
        <v>721</v>
      </c>
      <c r="B35" s="550" t="s">
        <v>42</v>
      </c>
      <c r="C35" s="549" t="s">
        <v>42</v>
      </c>
      <c r="D35" s="561">
        <f>$B$29*$B$20*$B$19</f>
        <v>814.85920853559708</v>
      </c>
      <c r="E35" s="562">
        <f>'OM Final COGS Y1-Y5'!$C$10</f>
        <v>6.0065629320299365</v>
      </c>
      <c r="F35" s="562"/>
      <c r="G35" s="563">
        <f>E35*D35</f>
        <v>4894.5031168131691</v>
      </c>
      <c r="H35" s="65"/>
      <c r="I35" s="362" t="s">
        <v>633</v>
      </c>
      <c r="J35" s="643">
        <f>D9*$B$26</f>
        <v>216905.25600000005</v>
      </c>
      <c r="K35" s="643">
        <f>ROUND(SQRT((4*J35*'OM Assumptions'!$B$44)/('OM Inventory Y1-Y5'!F10*'OM Assumptions'!$B$45))*(1+'OM Assumptions'!B49),0)</f>
        <v>14949</v>
      </c>
      <c r="L35" s="643">
        <f>$B$20*(SQRT((O35*(($B$29)^2))+((($B$27)^2)*(P35)^2)))</f>
        <v>500.10281982919872</v>
      </c>
      <c r="M35" s="644">
        <f>F10</f>
        <v>0.2</v>
      </c>
      <c r="N35" s="643">
        <f>$B$29</f>
        <v>481</v>
      </c>
      <c r="O35" s="647">
        <f>($K$16+(4*$K$17)+$K$18)/6</f>
        <v>0.42857142857142855</v>
      </c>
      <c r="P35" s="645">
        <f>($K$18-$K$16)/6</f>
        <v>2.8571428571428564E-2</v>
      </c>
      <c r="Q35" s="646">
        <f>L35*M35</f>
        <v>100.02056396583976</v>
      </c>
      <c r="R35" s="646">
        <f>(M35*K35)/2</f>
        <v>1494.9</v>
      </c>
      <c r="S35" s="648">
        <f>(B$26*K$17)+(B$20*B$28*SQRT(K$17))</f>
        <v>72047.729691231681</v>
      </c>
      <c r="T35" s="65"/>
      <c r="U35" s="65"/>
      <c r="V35" s="65"/>
      <c r="W35" s="65"/>
      <c r="X35" s="65"/>
      <c r="Y35" s="65"/>
    </row>
    <row r="36" spans="1:25">
      <c r="A36" s="449" t="s">
        <v>722</v>
      </c>
      <c r="B36" s="550" t="s">
        <v>42</v>
      </c>
      <c r="C36" s="561">
        <f>ROUND((C34*L17),0)</f>
        <v>2459</v>
      </c>
      <c r="D36" s="549" t="s">
        <v>42</v>
      </c>
      <c r="E36" s="562">
        <f>'OM Final COGS Y1-Y5'!$C$10</f>
        <v>6.0065629320299365</v>
      </c>
      <c r="F36" s="562">
        <f>F12</f>
        <v>2.08</v>
      </c>
      <c r="G36" s="563">
        <f>(C36*(E36+F36))/2</f>
        <v>9942.4291249308062</v>
      </c>
      <c r="H36" s="65"/>
      <c r="I36" s="649" t="s">
        <v>382</v>
      </c>
      <c r="J36" s="650">
        <f>D10*$B$26</f>
        <v>216905.25600000005</v>
      </c>
      <c r="K36" s="650">
        <f>ROUND(SQRT((4*J36*'OM Assumptions'!$B$44)/('OM Inventory Y1-Y5'!F11*'OM Assumptions'!$B$45))*(1+'OM Assumptions'!B49),0)</f>
        <v>8934</v>
      </c>
      <c r="L36" s="650">
        <f>$B$20*(SQRT((O36*(($B$29)^2))+((($B$27)^2)*(P36)^2)))</f>
        <v>500.10281982919872</v>
      </c>
      <c r="M36" s="651">
        <f>F11</f>
        <v>0.56000000000000005</v>
      </c>
      <c r="N36" s="650">
        <f>$B$29</f>
        <v>481</v>
      </c>
      <c r="O36" s="652">
        <f>($K$16+(4*$K$17)+$K$18)/6</f>
        <v>0.42857142857142855</v>
      </c>
      <c r="P36" s="654">
        <f>($K$18-$K$16)/6</f>
        <v>2.8571428571428564E-2</v>
      </c>
      <c r="Q36" s="655">
        <f>L36*M36</f>
        <v>280.0575791043513</v>
      </c>
      <c r="R36" s="655">
        <f>(M36*K36)/2</f>
        <v>2501.5200000000004</v>
      </c>
      <c r="S36" s="653">
        <f>(B$26*K$17)+(B$20*B$28*SQRT(K$17))</f>
        <v>72047.729691231681</v>
      </c>
      <c r="T36" s="65"/>
      <c r="U36" s="65"/>
      <c r="V36" s="65"/>
      <c r="W36" s="65"/>
      <c r="X36" s="65"/>
      <c r="Y36" s="65"/>
    </row>
    <row r="37" spans="1:25">
      <c r="A37" s="551" t="s">
        <v>723</v>
      </c>
      <c r="B37" s="552" t="s">
        <v>42</v>
      </c>
      <c r="C37" s="552" t="s">
        <v>42</v>
      </c>
      <c r="D37" s="552" t="s">
        <v>42</v>
      </c>
      <c r="E37" s="564">
        <f>'OM Final COGS Y1-Y5'!$C$10</f>
        <v>6.0065629320299365</v>
      </c>
      <c r="F37" s="529" t="s">
        <v>42</v>
      </c>
      <c r="G37" s="607">
        <f>(E37*'OM Assumptions'!B53)/2</f>
        <v>3003.2814660149684</v>
      </c>
      <c r="H37" s="65"/>
      <c r="I37" s="65"/>
      <c r="J37" s="65"/>
      <c r="K37" s="65"/>
      <c r="L37" s="65"/>
      <c r="M37" s="65"/>
      <c r="N37" s="65"/>
      <c r="O37" s="65"/>
      <c r="P37" s="528" t="s">
        <v>724</v>
      </c>
      <c r="Q37" s="618">
        <f>SUM(Q33:Q36)</f>
        <v>1845.2941193843287</v>
      </c>
      <c r="R37" s="613">
        <f>R33+R34+R35+R36</f>
        <v>9841.5400000000009</v>
      </c>
      <c r="S37" s="587" t="s">
        <v>42</v>
      </c>
      <c r="T37" s="65"/>
      <c r="U37" s="65"/>
      <c r="V37" s="65"/>
      <c r="W37" s="65"/>
      <c r="X37" s="65"/>
      <c r="Y37" s="65"/>
    </row>
    <row r="38" spans="1:25">
      <c r="A38" s="65"/>
      <c r="B38" s="65"/>
      <c r="C38" s="65"/>
      <c r="D38" s="65"/>
      <c r="E38" s="65"/>
      <c r="F38" s="526" t="s">
        <v>725</v>
      </c>
      <c r="G38" s="557">
        <f>SUM(G34:G37)</f>
        <v>24105.058845866166</v>
      </c>
      <c r="H38" s="65"/>
      <c r="I38" s="532" t="s">
        <v>93</v>
      </c>
      <c r="J38" s="65"/>
      <c r="K38" s="65"/>
      <c r="L38" s="65"/>
      <c r="M38" s="65"/>
      <c r="N38" s="65"/>
      <c r="O38" s="65"/>
      <c r="P38" s="65"/>
      <c r="Q38" s="65"/>
      <c r="R38" s="65"/>
      <c r="S38" s="561"/>
      <c r="T38" s="65"/>
      <c r="U38" s="65"/>
      <c r="V38" s="65"/>
      <c r="W38" s="65"/>
      <c r="X38" s="65"/>
      <c r="Y38" s="65"/>
    </row>
    <row r="39" spans="1:25" ht="51">
      <c r="A39" s="513" t="s">
        <v>80</v>
      </c>
      <c r="B39" s="518" t="s">
        <v>726</v>
      </c>
      <c r="C39" s="518" t="s">
        <v>722</v>
      </c>
      <c r="D39" s="518" t="s">
        <v>727</v>
      </c>
      <c r="E39" s="537" t="s">
        <v>725</v>
      </c>
      <c r="F39" s="65"/>
      <c r="G39" s="553" t="s">
        <v>728</v>
      </c>
      <c r="H39" s="65"/>
      <c r="I39" s="533" t="s">
        <v>705</v>
      </c>
      <c r="J39" s="533" t="s">
        <v>706</v>
      </c>
      <c r="K39" s="518" t="s">
        <v>707</v>
      </c>
      <c r="L39" s="518" t="s">
        <v>729</v>
      </c>
      <c r="M39" s="518" t="s">
        <v>709</v>
      </c>
      <c r="N39" s="518" t="s">
        <v>699</v>
      </c>
      <c r="O39" s="548" t="s">
        <v>730</v>
      </c>
      <c r="P39" s="518" t="s">
        <v>711</v>
      </c>
      <c r="Q39" s="518" t="s">
        <v>731</v>
      </c>
      <c r="R39" s="518" t="s">
        <v>705</v>
      </c>
      <c r="S39" s="641" t="s">
        <v>713</v>
      </c>
      <c r="T39" s="65"/>
      <c r="U39" s="65"/>
      <c r="V39" s="65"/>
      <c r="W39" s="65"/>
      <c r="X39" s="65"/>
      <c r="Y39" s="65"/>
    </row>
    <row r="40" spans="1:25">
      <c r="A40" s="442" t="s">
        <v>732</v>
      </c>
      <c r="B40" s="561">
        <f>R37</f>
        <v>9841.5400000000009</v>
      </c>
      <c r="C40" s="562">
        <f>G36</f>
        <v>9942.4291249308062</v>
      </c>
      <c r="D40" s="561">
        <f>G34</f>
        <v>6264.8451381072236</v>
      </c>
      <c r="E40" s="855">
        <f>SUM(B40:D40)</f>
        <v>26048.814263038032</v>
      </c>
      <c r="F40" s="65"/>
      <c r="G40" s="582">
        <f>ROUND((B$26*L$17)+(B$20*B$28*SQRT(L$17)),0)</f>
        <v>170219</v>
      </c>
      <c r="H40" s="65"/>
      <c r="I40" s="449" t="s">
        <v>629</v>
      </c>
      <c r="J40" s="450">
        <f>C26*'OM Assumptions'!B43</f>
        <v>948045.54549293173</v>
      </c>
      <c r="K40" s="561">
        <f>ROUND(SQRT((2*J40*'OM Assumptions'!B44)/((SUM(F6:F8)/'OM Assumptions'!B43)*'OM Assumptions'!B45))*(1+'OM Assumptions'!B49),0)</f>
        <v>26303</v>
      </c>
      <c r="L40" s="561">
        <f>($C$20*SQRT((O40*(($C29*'OM Assumptions'!B43)^2))+((('OM Inventory Y1-Y5'!$C$27*'OM Assumptions'!B$43)^2))))*(P40^2)</f>
        <v>2360.4465029506373</v>
      </c>
      <c r="M40" s="65">
        <f>SUM($F$6:$F$8)/3</f>
        <v>0.19999999999999998</v>
      </c>
      <c r="N40" s="561">
        <f>C29*'OM Assumptions'!B43</f>
        <v>4207.5</v>
      </c>
      <c r="O40" s="65">
        <f>($J$16+($J$17)*4+$J$18)/6</f>
        <v>4</v>
      </c>
      <c r="P40" s="571">
        <f>($J$18-$J$16)/6</f>
        <v>0.26666666666666661</v>
      </c>
      <c r="Q40" s="587">
        <f>M40*L40</f>
        <v>472.08930059012744</v>
      </c>
      <c r="R40" s="587">
        <f>(M40*K40)/2</f>
        <v>2630.2999999999997</v>
      </c>
      <c r="S40" s="614">
        <f>(C26*'OM Assumptions'!B43*'OM Inventory Y1-Y5'!J17)+('OM Inventory Y1-Y5'!C20*'OM Inventory Y1-Y5'!C28*'OM Assumptions'!B43*SQRT('OM Inventory Y1-Y5'!J17))</f>
        <v>4515480.5551733831</v>
      </c>
      <c r="T40" s="65"/>
      <c r="U40" s="65"/>
      <c r="V40" s="65"/>
      <c r="W40" s="65"/>
      <c r="X40" s="65"/>
      <c r="Y40" s="65"/>
    </row>
    <row r="41" spans="1:25">
      <c r="A41" s="442" t="s">
        <v>733</v>
      </c>
      <c r="B41" s="561">
        <f>Q37</f>
        <v>1845.2941193843287</v>
      </c>
      <c r="C41" s="65" t="s">
        <v>89</v>
      </c>
      <c r="D41" s="561">
        <f>G35</f>
        <v>4894.5031168131691</v>
      </c>
      <c r="E41" s="855">
        <f>SUM(B41:D41)</f>
        <v>6739.797236197498</v>
      </c>
      <c r="F41" s="65"/>
      <c r="G41" s="553" t="s">
        <v>42</v>
      </c>
      <c r="H41" s="65"/>
      <c r="I41" s="449" t="s">
        <v>380</v>
      </c>
      <c r="J41" s="450">
        <f>$C$26*D8</f>
        <v>446139.08023196785</v>
      </c>
      <c r="K41" s="561">
        <f>SQRT((8*J41*'OM Assumptions'!$B$44)/(F9*'OM Assumptions'!$B$45))*(1+'OM Assumptions'!B49)</f>
        <v>15979.563926951947</v>
      </c>
      <c r="L41" s="561">
        <f>$C$20*(SQRT((O41*(($C$29)^2))+((($C$27)^2)*(P41)^2)))</f>
        <v>3780.0005726298314</v>
      </c>
      <c r="M41" s="65">
        <f>$F$9</f>
        <v>0.72</v>
      </c>
      <c r="N41" s="561">
        <f>$C$29</f>
        <v>990</v>
      </c>
      <c r="O41" s="65">
        <f>($J$16+($J$17)*4+$J$18)/6</f>
        <v>4</v>
      </c>
      <c r="P41" s="571">
        <f>($J$18-$J$16)/6</f>
        <v>0.26666666666666661</v>
      </c>
      <c r="Q41" s="587">
        <f>M41*L41</f>
        <v>2721.6004122934783</v>
      </c>
      <c r="R41" s="587">
        <f>(M41*K41)/2</f>
        <v>5752.643013702701</v>
      </c>
      <c r="S41" s="614">
        <f>J41-(((J17/52))+($C$20*$C$28*SQRT(J17/52)))</f>
        <v>422538.19451216457</v>
      </c>
      <c r="T41" s="65"/>
      <c r="U41" s="65"/>
      <c r="V41" s="65"/>
      <c r="W41" s="65"/>
      <c r="X41" s="65"/>
      <c r="Y41" s="65"/>
    </row>
    <row r="42" spans="1:25">
      <c r="A42" s="551" t="s">
        <v>725</v>
      </c>
      <c r="B42" s="853">
        <f>SUM(B40:B41)</f>
        <v>11686.83411938433</v>
      </c>
      <c r="C42" s="564">
        <f>SUM(C40:C41)</f>
        <v>9942.4291249308062</v>
      </c>
      <c r="D42" s="854">
        <f>SUM(D40:D41)</f>
        <v>11159.348254920393</v>
      </c>
      <c r="E42" s="856">
        <f>SUM(E40:E41)</f>
        <v>32788.611499235529</v>
      </c>
      <c r="F42" s="65"/>
      <c r="G42" s="65"/>
      <c r="H42" s="65"/>
      <c r="I42" s="449" t="s">
        <v>633</v>
      </c>
      <c r="J42" s="450">
        <f>$C$26*D9</f>
        <v>446139.08023196785</v>
      </c>
      <c r="K42" s="561">
        <f>SQRT((4*J42*'OM Assumptions'!$B$44)/(F10*'OM Assumptions'!$B$45))*(1+'OM Assumptions'!B49)</f>
        <v>21438.834714880817</v>
      </c>
      <c r="L42" s="561">
        <f>$C$20*(SQRT((O42*(($B$29)^2))+((($C$27)^2)*(P42)^2)))</f>
        <v>558.55893762960761</v>
      </c>
      <c r="M42" s="65">
        <f>$F$10</f>
        <v>0.2</v>
      </c>
      <c r="N42" s="561">
        <f>$C$29</f>
        <v>990</v>
      </c>
      <c r="O42" s="569">
        <f>($K$16+(4*$K$17)+$K$18)/6</f>
        <v>0.42857142857142855</v>
      </c>
      <c r="P42" s="571">
        <f>($K$18-$K$16)/6</f>
        <v>2.8571428571428564E-2</v>
      </c>
      <c r="Q42" s="587">
        <f>M42*L42</f>
        <v>111.71178752592152</v>
      </c>
      <c r="R42" s="587">
        <f>(M42*K42)/2</f>
        <v>2143.8834714880818</v>
      </c>
      <c r="S42" s="614">
        <f>(J42*K$17)+($C$20*$C$28*SQRT(K$17))</f>
        <v>246909.51413697793</v>
      </c>
      <c r="T42" s="65"/>
      <c r="U42" s="65"/>
      <c r="V42" s="65"/>
      <c r="W42" s="65"/>
      <c r="X42" s="65"/>
      <c r="Y42" s="65"/>
    </row>
    <row r="43" spans="1:25">
      <c r="A43" s="449" t="s">
        <v>42</v>
      </c>
      <c r="B43" s="65"/>
      <c r="C43" s="65"/>
      <c r="D43" s="65"/>
      <c r="E43" s="65"/>
      <c r="F43" s="65"/>
      <c r="G43" s="65"/>
      <c r="H43" s="65"/>
      <c r="I43" s="526" t="s">
        <v>382</v>
      </c>
      <c r="J43" s="579">
        <f>$C$26*D10</f>
        <v>446139.08023196785</v>
      </c>
      <c r="K43" s="567">
        <f>SQRT((4*J43*'OM Assumptions'!$B$44)/(F11*'OM Assumptions'!$B$45))*(1+'OM Assumptions'!B49)</f>
        <v>12812.154301008461</v>
      </c>
      <c r="L43" s="567">
        <f>$C$20*(SQRT((O43*(($B$29)^2))+((($C$27)^2)*(P43)^2)))</f>
        <v>558.55893762960761</v>
      </c>
      <c r="M43" s="530">
        <f>$F$11</f>
        <v>0.56000000000000005</v>
      </c>
      <c r="N43" s="567">
        <f>$C$29</f>
        <v>990</v>
      </c>
      <c r="O43" s="570">
        <f>($K$16+(4*$K$17)+$K$18)/6</f>
        <v>0.42857142857142855</v>
      </c>
      <c r="P43" s="571">
        <f>($K$18-$K$16)/6</f>
        <v>2.8571428571428564E-2</v>
      </c>
      <c r="Q43" s="587">
        <f>M43*L43</f>
        <v>312.79300507258029</v>
      </c>
      <c r="R43" s="587">
        <f>(M43*K43)/2</f>
        <v>3587.4032042823692</v>
      </c>
      <c r="S43" s="635">
        <f>(J43*K$17)+($C$20*$C$28*SQRT(K$17))</f>
        <v>246909.51413697793</v>
      </c>
      <c r="T43" s="65"/>
      <c r="U43" s="65"/>
      <c r="V43" s="65"/>
      <c r="W43" s="65"/>
      <c r="X43" s="65"/>
      <c r="Y43" s="65"/>
    </row>
    <row r="44" spans="1:25">
      <c r="A44" s="449" t="s">
        <v>42</v>
      </c>
      <c r="B44" s="65"/>
      <c r="C44" s="65"/>
      <c r="D44" s="65"/>
      <c r="E44" s="65"/>
      <c r="F44" s="65"/>
      <c r="G44" s="65"/>
      <c r="H44" s="65"/>
      <c r="I44" s="65"/>
      <c r="J44" s="65"/>
      <c r="K44" s="65"/>
      <c r="L44" s="65"/>
      <c r="M44" s="65"/>
      <c r="N44" s="65"/>
      <c r="O44" s="65"/>
      <c r="P44" s="656" t="s">
        <v>734</v>
      </c>
      <c r="Q44" s="612">
        <f>SUM(Q40:Q43)</f>
        <v>3618.1945054821076</v>
      </c>
      <c r="R44" s="607">
        <f>SUM(R40:R43)</f>
        <v>14114.229689473152</v>
      </c>
      <c r="S44" s="587"/>
      <c r="T44" s="65"/>
      <c r="U44" s="65"/>
      <c r="V44" s="65"/>
      <c r="W44" s="65"/>
      <c r="X44" s="65"/>
      <c r="Y44" s="65"/>
    </row>
    <row r="45" spans="1:25">
      <c r="A45" s="533" t="s">
        <v>93</v>
      </c>
      <c r="B45" s="533" t="s">
        <v>714</v>
      </c>
      <c r="C45" s="518" t="s">
        <v>715</v>
      </c>
      <c r="D45" s="518" t="s">
        <v>716</v>
      </c>
      <c r="E45" s="518" t="s">
        <v>717</v>
      </c>
      <c r="F45" s="518" t="s">
        <v>718</v>
      </c>
      <c r="G45" s="537" t="s">
        <v>719</v>
      </c>
      <c r="H45" s="65"/>
      <c r="I45" s="513" t="s">
        <v>94</v>
      </c>
      <c r="J45" s="65"/>
      <c r="K45" s="65"/>
      <c r="L45" s="65"/>
      <c r="M45" s="65"/>
      <c r="N45" s="65"/>
      <c r="O45" s="65"/>
      <c r="P45" s="65"/>
      <c r="Q45" s="65"/>
      <c r="R45" s="65"/>
      <c r="S45" s="561"/>
      <c r="T45" s="65"/>
      <c r="U45" s="65"/>
      <c r="V45" s="65"/>
      <c r="W45" s="65"/>
      <c r="X45" s="65"/>
      <c r="Y45" s="65"/>
    </row>
    <row r="46" spans="1:25" ht="51">
      <c r="A46" s="449" t="s">
        <v>720</v>
      </c>
      <c r="B46" s="450">
        <f>C26</f>
        <v>223069.54011598392</v>
      </c>
      <c r="C46" s="561">
        <f>C27</f>
        <v>4290</v>
      </c>
      <c r="D46" s="549" t="s">
        <v>42</v>
      </c>
      <c r="E46" s="562">
        <f>'OM Final COGS Y1-Y5'!D10</f>
        <v>5.3662284955633481</v>
      </c>
      <c r="F46" s="226"/>
      <c r="G46" s="563">
        <f>(E46*C46)/2</f>
        <v>11510.560122983381</v>
      </c>
      <c r="H46" s="65"/>
      <c r="I46" s="517" t="s">
        <v>705</v>
      </c>
      <c r="J46" s="533" t="s">
        <v>706</v>
      </c>
      <c r="K46" s="518" t="s">
        <v>707</v>
      </c>
      <c r="L46" s="518" t="s">
        <v>729</v>
      </c>
      <c r="M46" s="518" t="s">
        <v>709</v>
      </c>
      <c r="N46" s="518" t="s">
        <v>699</v>
      </c>
      <c r="O46" s="548" t="s">
        <v>730</v>
      </c>
      <c r="P46" s="518" t="s">
        <v>711</v>
      </c>
      <c r="Q46" s="518" t="s">
        <v>731</v>
      </c>
      <c r="R46" s="518" t="s">
        <v>705</v>
      </c>
      <c r="S46" s="641" t="s">
        <v>713</v>
      </c>
      <c r="T46" s="65"/>
      <c r="U46" s="65"/>
      <c r="V46" s="65"/>
      <c r="W46" s="65"/>
      <c r="X46" s="65"/>
      <c r="Y46" s="65"/>
    </row>
    <row r="47" spans="1:25">
      <c r="A47" s="449" t="s">
        <v>721</v>
      </c>
      <c r="B47" s="550" t="s">
        <v>42</v>
      </c>
      <c r="C47" s="549" t="s">
        <v>42</v>
      </c>
      <c r="D47" s="561">
        <f>$C$29*$C$20*$C$19</f>
        <v>1776.6015877962745</v>
      </c>
      <c r="E47" s="562">
        <f>'OM Final COGS Y1-Y5'!D10</f>
        <v>5.3662284955633481</v>
      </c>
      <c r="F47" s="65"/>
      <c r="G47" s="563">
        <f>E47*D47</f>
        <v>9533.6500656954577</v>
      </c>
      <c r="H47" s="65"/>
      <c r="I47" s="449" t="s">
        <v>629</v>
      </c>
      <c r="J47" s="577">
        <f>D26*'OM Assumptions'!B43</f>
        <v>1274608.2027394937</v>
      </c>
      <c r="K47" s="565">
        <f>SQRT((2*J47*'OM Assumptions'!$B$44)/((SUM(F6:F8)/'OM Assumptions'!B43)*'OM Assumptions'!$B$45))*(1+'OM Assumptions'!B49)</f>
        <v>30498.13177771715</v>
      </c>
      <c r="L47" s="561">
        <f>($D$20*SQRT((O47*((D$29*'OM Assumptions'!B$43)^2))+((('OM Inventory Y1-Y5'!D$27*'OM Assumptions'!B$43)^2))))*(P47^2)</f>
        <v>3102.8623259818924</v>
      </c>
      <c r="M47" s="65">
        <f>SUM($F$6:$F$8)/3</f>
        <v>0.19999999999999998</v>
      </c>
      <c r="N47" s="561">
        <f>$D$29*'OM Assumptions'!B43</f>
        <v>5656.75</v>
      </c>
      <c r="O47" s="65">
        <f>($J$16+($J$17)*4+$J$18)/6</f>
        <v>4</v>
      </c>
      <c r="P47" s="571">
        <f>($J$18-$J$16)/6</f>
        <v>0.26666666666666661</v>
      </c>
      <c r="Q47" s="587">
        <f>L47*M47</f>
        <v>620.5724651963784</v>
      </c>
      <c r="R47" s="587">
        <f>(K47*M47)/2</f>
        <v>3049.8131777717149</v>
      </c>
      <c r="S47" s="614">
        <f>(D26*'OM Assumptions'!B43*'OM Inventory Y1-Y5'!J17)+('OM Inventory Y1-Y5'!D20*'OM Inventory Y1-Y5'!D28*'OM Assumptions'!B43*SQRT(J17))</f>
        <v>6049325.5701135909</v>
      </c>
      <c r="T47" s="65"/>
      <c r="U47" s="65"/>
      <c r="V47" s="65"/>
      <c r="W47" s="65"/>
      <c r="X47" s="65"/>
      <c r="Y47" s="65"/>
    </row>
    <row r="48" spans="1:25">
      <c r="A48" s="449" t="s">
        <v>722</v>
      </c>
      <c r="B48" s="550" t="s">
        <v>42</v>
      </c>
      <c r="C48" s="561">
        <f>C46*L17</f>
        <v>5056.0714285714284</v>
      </c>
      <c r="D48" s="549" t="s">
        <v>42</v>
      </c>
      <c r="E48" s="562">
        <f>'OM Final COGS Y1-Y5'!D10</f>
        <v>5.3662284955633481</v>
      </c>
      <c r="F48" s="562">
        <f>'OM Final COGS Y1-Y5'!D13</f>
        <v>2.2880000000000003</v>
      </c>
      <c r="G48" s="563">
        <f>C48*(E48+F48)/2</f>
        <v>19350.163002087556</v>
      </c>
      <c r="H48" s="65"/>
      <c r="I48" s="449" t="s">
        <v>380</v>
      </c>
      <c r="J48" s="577">
        <f>$D$26*D9</f>
        <v>599815.62481858523</v>
      </c>
      <c r="K48" s="561">
        <f>SQRT((8*J48*'OM Assumptions'!$B$44)/((F9)*'OM Assumptions'!$B$45))*(1+'OM Assumptions'!B49)</f>
        <v>18528.43238675101</v>
      </c>
      <c r="L48" s="561">
        <f>$D$20*(SQRT((O48*(($D$29)^2))+((($D$27)^2)*(P48)^2)))</f>
        <v>4969.2292348673946</v>
      </c>
      <c r="M48" s="65">
        <f>$F$9</f>
        <v>0.72</v>
      </c>
      <c r="N48" s="561">
        <f>$D$29</f>
        <v>1331</v>
      </c>
      <c r="O48" s="65">
        <f>($J$16+($J$17)*4+$J$18)/6</f>
        <v>4</v>
      </c>
      <c r="P48" s="571">
        <f>($J$18-$J$16)/6</f>
        <v>0.26666666666666661</v>
      </c>
      <c r="Q48" s="587">
        <f>L48*M48</f>
        <v>3577.8450491045242</v>
      </c>
      <c r="R48" s="587">
        <f>(K48*M48)/2</f>
        <v>6670.2356592303631</v>
      </c>
      <c r="S48" s="614">
        <f>J48-(((J17/52))+($D$20*$D$28*SQRT(J17/52)))</f>
        <v>568788.46553711011</v>
      </c>
      <c r="T48" s="65"/>
      <c r="U48" s="65"/>
      <c r="V48" s="65"/>
      <c r="W48" s="65"/>
      <c r="X48" s="65"/>
      <c r="Y48" s="65"/>
    </row>
    <row r="49" spans="1:25">
      <c r="A49" s="551" t="s">
        <v>723</v>
      </c>
      <c r="B49" s="554" t="s">
        <v>42</v>
      </c>
      <c r="C49" s="552" t="s">
        <v>42</v>
      </c>
      <c r="D49" s="555" t="s">
        <v>42</v>
      </c>
      <c r="E49" s="562">
        <f>'OM Final COGS Y1-Y5'!D10</f>
        <v>5.3662284955633481</v>
      </c>
      <c r="F49" s="529" t="s">
        <v>42</v>
      </c>
      <c r="G49" s="581">
        <f>(E49*'OM Assumptions'!B53)/2</f>
        <v>2683.1142477816738</v>
      </c>
      <c r="H49" s="65"/>
      <c r="I49" s="449" t="s">
        <v>633</v>
      </c>
      <c r="J49" s="577">
        <f>$D$26*D10</f>
        <v>599815.62481858523</v>
      </c>
      <c r="K49" s="561">
        <f>SQRT((4*J49*'OM Assumptions'!$B$44)/((F10)*'OM Assumptions'!$B$45))*(1+'OM Assumptions'!B49)</f>
        <v>24858.500599970361</v>
      </c>
      <c r="L49" s="561">
        <f>$D$20*(SQRT((O49*(($D$29)^2))+((($D$27)^2)*(P49)^2)))</f>
        <v>1433.3847212943181</v>
      </c>
      <c r="M49" s="65">
        <f>$F$10</f>
        <v>0.2</v>
      </c>
      <c r="N49" s="561">
        <f>$D$29</f>
        <v>1331</v>
      </c>
      <c r="O49" s="569">
        <f>($K$16+(4*$K$17)+$K$18)/6</f>
        <v>0.42857142857142855</v>
      </c>
      <c r="P49" s="571">
        <f>($K$18-$K$16)/6</f>
        <v>2.8571428571428564E-2</v>
      </c>
      <c r="Q49" s="587">
        <f>L49*M49</f>
        <v>286.67694425886361</v>
      </c>
      <c r="R49" s="587">
        <f>(K49*M49)/2</f>
        <v>2485.8500599970362</v>
      </c>
      <c r="S49" s="614">
        <f>(J49*K$17)+($D$20*$D$28*SQRT(K$17))</f>
        <v>330299.7727645369</v>
      </c>
      <c r="T49" s="65"/>
      <c r="U49" s="65"/>
      <c r="V49" s="65"/>
      <c r="W49" s="65"/>
      <c r="X49" s="65"/>
      <c r="Y49" s="65"/>
    </row>
    <row r="50" spans="1:25">
      <c r="A50" s="65"/>
      <c r="B50" s="65"/>
      <c r="C50" s="65"/>
      <c r="D50" s="65"/>
      <c r="E50" s="65"/>
      <c r="F50" s="526" t="s">
        <v>725</v>
      </c>
      <c r="G50" s="557">
        <f>SUM(G46:G49)</f>
        <v>43077.487438548065</v>
      </c>
      <c r="H50" s="65"/>
      <c r="I50" s="526" t="s">
        <v>382</v>
      </c>
      <c r="J50" s="578">
        <f>$D$26*D11</f>
        <v>599815.62481858523</v>
      </c>
      <c r="K50" s="567">
        <f>SQRT((4*J50*'OM Assumptions'!$B$44)/((F11)*'OM Assumptions'!$B$45))*(1+'OM Assumptions'!B49)</f>
        <v>14855.795551120382</v>
      </c>
      <c r="L50" s="567">
        <f>$D$20*(SQRT((O50*(($D$29)^2))+((($D$27)^2)*(P50)^2)))</f>
        <v>1433.3847212943181</v>
      </c>
      <c r="M50" s="530">
        <f>$F$11</f>
        <v>0.56000000000000005</v>
      </c>
      <c r="N50" s="567">
        <f>$D$29</f>
        <v>1331</v>
      </c>
      <c r="O50" s="570">
        <f>($K$16+(4*$K$17)+$K$18)/6</f>
        <v>0.42857142857142855</v>
      </c>
      <c r="P50" s="571">
        <f>($K$18-$K$16)/6</f>
        <v>2.8571428571428564E-2</v>
      </c>
      <c r="Q50" s="587">
        <f>L50*M50</f>
        <v>802.69544392481816</v>
      </c>
      <c r="R50" s="587">
        <f>(K50*M50)/2</f>
        <v>4159.6227543137074</v>
      </c>
      <c r="S50" s="635">
        <f>(J50*K$17)+($D$20*$D$28*SQRT(K$17))</f>
        <v>330299.7727645369</v>
      </c>
      <c r="T50" s="65"/>
      <c r="U50" s="65"/>
      <c r="V50" s="65"/>
      <c r="W50" s="65"/>
      <c r="X50" s="65"/>
      <c r="Y50" s="65"/>
    </row>
    <row r="51" spans="1:25">
      <c r="A51" s="513" t="s">
        <v>93</v>
      </c>
      <c r="B51" s="518" t="s">
        <v>726</v>
      </c>
      <c r="C51" s="518" t="s">
        <v>722</v>
      </c>
      <c r="D51" s="518" t="s">
        <v>727</v>
      </c>
      <c r="E51" s="537" t="s">
        <v>725</v>
      </c>
      <c r="F51" s="65"/>
      <c r="G51" s="553" t="s">
        <v>728</v>
      </c>
      <c r="H51" s="65"/>
      <c r="I51" s="65"/>
      <c r="J51" s="65"/>
      <c r="K51" s="65"/>
      <c r="L51" s="65"/>
      <c r="M51" s="65"/>
      <c r="N51" s="65"/>
      <c r="O51" s="65"/>
      <c r="P51" s="551" t="s">
        <v>724</v>
      </c>
      <c r="Q51" s="612">
        <f>Q47+Q48+Q49+Q50</f>
        <v>5287.7899024845847</v>
      </c>
      <c r="R51" s="607">
        <f>SUM(R47:R50)</f>
        <v>16365.521651312822</v>
      </c>
      <c r="S51" s="587"/>
      <c r="T51" s="65"/>
      <c r="U51" s="65"/>
      <c r="V51" s="65"/>
      <c r="W51" s="65"/>
      <c r="X51" s="65"/>
      <c r="Y51" s="65"/>
    </row>
    <row r="52" spans="1:25">
      <c r="A52" s="442" t="s">
        <v>732</v>
      </c>
      <c r="B52" s="562">
        <f>R44</f>
        <v>14114.229689473152</v>
      </c>
      <c r="C52" s="562">
        <f>G48</f>
        <v>19350.163002087556</v>
      </c>
      <c r="D52" s="562">
        <f>G46</f>
        <v>11510.560122983381</v>
      </c>
      <c r="E52" s="563">
        <f>SUM(B52:D52)</f>
        <v>44974.952814544085</v>
      </c>
      <c r="F52" s="65"/>
      <c r="G52" s="610">
        <f>ROUND((C$26*L$17)+(C$20*C$28*SQRT(L$17)),0)</f>
        <v>355283</v>
      </c>
      <c r="H52" s="65"/>
      <c r="I52" s="532" t="s">
        <v>95</v>
      </c>
      <c r="J52" s="65"/>
      <c r="K52" s="65"/>
      <c r="L52" s="65"/>
      <c r="M52" s="65"/>
      <c r="N52" s="65"/>
      <c r="O52" s="65"/>
      <c r="P52" s="65"/>
      <c r="Q52" s="65"/>
      <c r="R52" s="65"/>
      <c r="S52" s="561"/>
      <c r="T52" s="65"/>
      <c r="U52" s="65"/>
      <c r="V52" s="65"/>
      <c r="W52" s="65"/>
      <c r="X52" s="65"/>
      <c r="Y52" s="65"/>
    </row>
    <row r="53" spans="1:25" ht="51">
      <c r="A53" s="442" t="s">
        <v>733</v>
      </c>
      <c r="B53" s="562">
        <f>Q44</f>
        <v>3618.1945054821076</v>
      </c>
      <c r="C53" s="556" t="s">
        <v>42</v>
      </c>
      <c r="D53" s="562">
        <f>G47</f>
        <v>9533.6500656954577</v>
      </c>
      <c r="E53" s="563">
        <f>SUM(B53:D53)</f>
        <v>13151.844571177566</v>
      </c>
      <c r="F53" s="65"/>
      <c r="G53" s="553" t="s">
        <v>42</v>
      </c>
      <c r="H53" s="65"/>
      <c r="I53" s="533" t="s">
        <v>705</v>
      </c>
      <c r="J53" s="533" t="s">
        <v>706</v>
      </c>
      <c r="K53" s="518" t="s">
        <v>707</v>
      </c>
      <c r="L53" s="518" t="s">
        <v>729</v>
      </c>
      <c r="M53" s="518" t="s">
        <v>709</v>
      </c>
      <c r="N53" s="518" t="s">
        <v>699</v>
      </c>
      <c r="O53" s="548" t="s">
        <v>730</v>
      </c>
      <c r="P53" s="518" t="s">
        <v>711</v>
      </c>
      <c r="Q53" s="518" t="s">
        <v>731</v>
      </c>
      <c r="R53" s="518" t="s">
        <v>705</v>
      </c>
      <c r="S53" s="641" t="s">
        <v>713</v>
      </c>
      <c r="T53" s="65"/>
      <c r="U53" s="65"/>
      <c r="V53" s="65"/>
      <c r="W53" s="65"/>
      <c r="X53" s="65"/>
      <c r="Y53" s="65"/>
    </row>
    <row r="54" spans="1:25">
      <c r="A54" s="528" t="s">
        <v>725</v>
      </c>
      <c r="B54" s="564">
        <f>SUM(B52:B53)</f>
        <v>17732.42419495526</v>
      </c>
      <c r="C54" s="564">
        <f>SUM(C52:C53)</f>
        <v>19350.163002087556</v>
      </c>
      <c r="D54" s="564">
        <f>SUM(D52:D53)</f>
        <v>21044.210188678837</v>
      </c>
      <c r="E54" s="581">
        <f>SUM(E52:E53)</f>
        <v>58126.797385721649</v>
      </c>
      <c r="F54" s="65"/>
      <c r="G54" s="65"/>
      <c r="H54" s="65"/>
      <c r="I54" s="449" t="s">
        <v>629</v>
      </c>
      <c r="J54" s="577">
        <f>E26*'OM Assumptions'!B43</f>
        <v>1626241.3554018554</v>
      </c>
      <c r="K54" s="565">
        <f>SQRT((2*J54*'OM Assumptions'!$B$44)/((SUM(F6:F8)/'OM Assumptions'!B43)*'OM Assumptions'!$B$45))*(1+'OM Assumptions'!B49)</f>
        <v>34449.060525573426</v>
      </c>
      <c r="L54" s="565">
        <f>($E$20*SQRT((O54*((E$29*'OM Assumptions'!B$43)^2))+((('OM Inventory Y1-Y5'!E$27*'OM Assumptions'!B$43)^2))))*(P54^2)</f>
        <v>3864.8697437533529</v>
      </c>
      <c r="M54" s="574">
        <f>SUM($F$6:$F$8)/3</f>
        <v>0.19999999999999998</v>
      </c>
      <c r="N54" s="565">
        <f>$E$29*'OM Assumptions'!B43</f>
        <v>7216.5</v>
      </c>
      <c r="O54" s="522">
        <f>($J$16+($J$17)*4+$J$18)/6</f>
        <v>4</v>
      </c>
      <c r="P54" s="574">
        <f>($J$18-$J$16)/6</f>
        <v>0.26666666666666661</v>
      </c>
      <c r="Q54" s="587">
        <f>L54*M54</f>
        <v>772.9739487506705</v>
      </c>
      <c r="R54" s="587">
        <f>(K54*M54)/2</f>
        <v>3444.9060525573423</v>
      </c>
      <c r="S54" s="614">
        <f>(E26*'OM Assumptions'!B43*'OM Inventory Y1-Y5'!J17)+('OM Inventory Y1-Y5'!E20*'OM Inventory Y1-Y5'!E28*'OM Assumptions'!B43*SQRT(J17))</f>
        <v>7689262.9784687767</v>
      </c>
      <c r="T54" s="65"/>
      <c r="U54" s="65"/>
      <c r="V54" s="65"/>
      <c r="W54" s="65"/>
      <c r="X54" s="65"/>
      <c r="Y54" s="65"/>
    </row>
    <row r="55" spans="1:25">
      <c r="A55" s="449" t="s">
        <v>42</v>
      </c>
      <c r="B55" s="65"/>
      <c r="C55" s="65"/>
      <c r="D55" s="65"/>
      <c r="E55" s="65"/>
      <c r="F55" s="65"/>
      <c r="G55" s="65"/>
      <c r="H55" s="65"/>
      <c r="I55" s="449" t="s">
        <v>380</v>
      </c>
      <c r="J55" s="577">
        <f>$E$26*D9</f>
        <v>765290.04960087314</v>
      </c>
      <c r="K55" s="565">
        <f>SQRT((8*J55*'OM Assumptions'!$B$44)/(F9*'OM Assumptions'!$B$45))*(1+'OM Assumptions'!B49)</f>
        <v>20928.727483613671</v>
      </c>
      <c r="L55" s="565">
        <f>$E$20*SQRT((O55*(($E$29)^2))+((('OM Inventory Y1-Y5'!$E$27)^2)*(P55^2)))</f>
        <v>6188.6893293209532</v>
      </c>
      <c r="M55" s="522">
        <f>$F$9</f>
        <v>0.72</v>
      </c>
      <c r="N55" s="565">
        <f>$E$29</f>
        <v>1698</v>
      </c>
      <c r="O55" s="522">
        <f>($J$16+($J$17)*4+$J$18)/6</f>
        <v>4</v>
      </c>
      <c r="P55" s="574">
        <f>($J$18-$J$16)/6</f>
        <v>0.26666666666666661</v>
      </c>
      <c r="Q55" s="587">
        <f>L55*M55</f>
        <v>4455.8563171110864</v>
      </c>
      <c r="R55" s="587">
        <f>(K55*M55)/2</f>
        <v>7534.3418941009213</v>
      </c>
      <c r="S55" s="614">
        <f>J55-(((J17/52))+($E$20*$E$28*SQRT(J17/52)))</f>
        <v>726647.0263730872</v>
      </c>
      <c r="T55" s="65"/>
      <c r="U55" s="65"/>
      <c r="V55" s="65"/>
      <c r="W55" s="65"/>
      <c r="X55" s="65"/>
      <c r="Y55" s="65"/>
    </row>
    <row r="56" spans="1:25">
      <c r="A56" s="533" t="s">
        <v>94</v>
      </c>
      <c r="B56" s="533" t="s">
        <v>714</v>
      </c>
      <c r="C56" s="518" t="s">
        <v>715</v>
      </c>
      <c r="D56" s="518" t="s">
        <v>716</v>
      </c>
      <c r="E56" s="518" t="s">
        <v>717</v>
      </c>
      <c r="F56" s="518" t="s">
        <v>718</v>
      </c>
      <c r="G56" s="537" t="s">
        <v>719</v>
      </c>
      <c r="H56" s="65"/>
      <c r="I56" s="449" t="s">
        <v>633</v>
      </c>
      <c r="J56" s="577">
        <f>$E$26*D10</f>
        <v>765290.04960087314</v>
      </c>
      <c r="K56" s="565">
        <f>SQRT((4*J56*'OM Assumptions'!$B$44)/(F10*'OM Assumptions'!$B$45))*(1+'OM Assumptions'!B49)</f>
        <v>28078.834401556975</v>
      </c>
      <c r="L56" s="565">
        <f>$E$20*(SQRT((O56*(($E$29)^2))+((($E$27)^2)*(P56)^2)))</f>
        <v>1785.043717157032</v>
      </c>
      <c r="M56" s="574">
        <f>$F$10</f>
        <v>0.2</v>
      </c>
      <c r="N56" s="565">
        <f>$E$29</f>
        <v>1698</v>
      </c>
      <c r="O56" s="575">
        <f>($K$16+(4*$K$17)+$K$18)/6</f>
        <v>0.42857142857142855</v>
      </c>
      <c r="P56" s="574">
        <f>($K$18-$K$16)/6</f>
        <v>2.8571428571428564E-2</v>
      </c>
      <c r="Q56" s="587">
        <f>L56*M56</f>
        <v>357.0087434314064</v>
      </c>
      <c r="R56" s="587">
        <f>(K56*M56)/2</f>
        <v>2807.8834401556978</v>
      </c>
      <c r="S56" s="614">
        <f>(J56*K$17)+($E$20*$E$28*SQRT(K$17))</f>
        <v>419193.7725124486</v>
      </c>
      <c r="T56" s="65"/>
      <c r="U56" s="65"/>
      <c r="V56" s="65"/>
      <c r="W56" s="65"/>
      <c r="X56" s="65"/>
      <c r="Y56" s="65"/>
    </row>
    <row r="57" spans="1:25">
      <c r="A57" s="449" t="s">
        <v>720</v>
      </c>
      <c r="B57" s="450">
        <f>D26</f>
        <v>299907.81240929262</v>
      </c>
      <c r="C57" s="561">
        <f>D27</f>
        <v>5767</v>
      </c>
      <c r="D57" s="549" t="s">
        <v>42</v>
      </c>
      <c r="E57" s="562">
        <f>'OM Final COGS Y1-Y5'!$E$10</f>
        <v>5.3847650777542571</v>
      </c>
      <c r="F57" s="226"/>
      <c r="G57" s="563">
        <f>(E57*C57)/2</f>
        <v>15526.970101704401</v>
      </c>
      <c r="H57" s="65"/>
      <c r="I57" s="526" t="s">
        <v>382</v>
      </c>
      <c r="J57" s="578">
        <f>$E$26*D11</f>
        <v>765290.04960087314</v>
      </c>
      <c r="K57" s="566">
        <f>SQRT((4*J57*'OM Assumptions'!$B$44)/(F11*'OM Assumptions'!$B$45))*(1+'OM Assumptions'!B49)</f>
        <v>16780.313096751834</v>
      </c>
      <c r="L57" s="566">
        <f>$E$20*(SQRT((O57*(($E$29)^2))+((($E$27)^2)*(P57)^2)))</f>
        <v>1785.043717157032</v>
      </c>
      <c r="M57" s="531">
        <f>$F$11</f>
        <v>0.56000000000000005</v>
      </c>
      <c r="N57" s="566">
        <f>$E$29</f>
        <v>1698</v>
      </c>
      <c r="O57" s="576">
        <f>($K$16+(4*$K$17)+$K$18)/6</f>
        <v>0.42857142857142855</v>
      </c>
      <c r="P57" s="574">
        <f>($K$18-$K$16)/6</f>
        <v>2.8571428571428564E-2</v>
      </c>
      <c r="Q57" s="587">
        <f>L57*M57</f>
        <v>999.62448160793804</v>
      </c>
      <c r="R57" s="587">
        <f>(K57*M57)/2</f>
        <v>4698.4876670905142</v>
      </c>
      <c r="S57" s="635">
        <f>(J57*K$17)+($E$20*$E$28*SQRT(K$17))</f>
        <v>419193.7725124486</v>
      </c>
      <c r="T57" s="65"/>
      <c r="U57" s="65"/>
      <c r="V57" s="65"/>
      <c r="W57" s="65"/>
      <c r="X57" s="65"/>
      <c r="Y57" s="65"/>
    </row>
    <row r="58" spans="1:25">
      <c r="A58" s="449" t="s">
        <v>721</v>
      </c>
      <c r="B58" s="550" t="s">
        <v>42</v>
      </c>
      <c r="C58" s="549" t="s">
        <v>42</v>
      </c>
      <c r="D58" s="565">
        <f>$D$29*$D$20*$D$19</f>
        <v>2335.6070373374218</v>
      </c>
      <c r="E58" s="562">
        <f>'OM Final COGS Y1-Y5'!$E$10</f>
        <v>5.3847650777542571</v>
      </c>
      <c r="F58" s="65"/>
      <c r="G58" s="563">
        <f>D58*E58</f>
        <v>12576.695210011632</v>
      </c>
      <c r="H58" s="65"/>
      <c r="I58" s="65"/>
      <c r="J58" s="65"/>
      <c r="K58" s="561"/>
      <c r="L58" s="65"/>
      <c r="M58" s="65"/>
      <c r="N58" s="65"/>
      <c r="O58" s="65"/>
      <c r="P58" s="551" t="s">
        <v>734</v>
      </c>
      <c r="Q58" s="612">
        <f>Q54+Q55+Q56+Q57</f>
        <v>6585.4634909011011</v>
      </c>
      <c r="R58" s="607">
        <f>SUM(R54:R57)</f>
        <v>18485.619053904476</v>
      </c>
      <c r="S58" s="587"/>
      <c r="T58" s="65"/>
      <c r="U58" s="65"/>
      <c r="V58" s="65"/>
      <c r="W58" s="65"/>
      <c r="X58" s="65"/>
      <c r="Y58" s="65"/>
    </row>
    <row r="59" spans="1:25">
      <c r="A59" s="449" t="s">
        <v>722</v>
      </c>
      <c r="B59" s="550" t="s">
        <v>42</v>
      </c>
      <c r="C59" s="561">
        <f>C57*L17</f>
        <v>6796.8214285714284</v>
      </c>
      <c r="D59" s="549" t="s">
        <v>42</v>
      </c>
      <c r="E59" s="562">
        <f>'OM Final COGS Y1-Y5'!E10</f>
        <v>5.3847650777542571</v>
      </c>
      <c r="F59" s="562">
        <f>F12</f>
        <v>2.08</v>
      </c>
      <c r="G59" s="563">
        <f>(C59*(E59+F59))/2</f>
        <v>25368.337619865899</v>
      </c>
      <c r="H59" s="65"/>
      <c r="I59" s="532" t="s">
        <v>96</v>
      </c>
      <c r="J59" s="65"/>
      <c r="K59" s="561"/>
      <c r="L59" s="65"/>
      <c r="M59" s="65"/>
      <c r="N59" s="65"/>
      <c r="O59" s="65"/>
      <c r="P59" s="65"/>
      <c r="Q59" s="65"/>
      <c r="R59" s="65"/>
      <c r="S59" s="561"/>
      <c r="T59" s="65"/>
      <c r="U59" s="65"/>
      <c r="V59" s="65"/>
      <c r="W59" s="65"/>
      <c r="X59" s="65"/>
      <c r="Y59" s="65"/>
    </row>
    <row r="60" spans="1:25" ht="51">
      <c r="A60" s="551" t="s">
        <v>723</v>
      </c>
      <c r="B60" s="552" t="s">
        <v>42</v>
      </c>
      <c r="C60" s="552" t="s">
        <v>42</v>
      </c>
      <c r="D60" s="552" t="s">
        <v>42</v>
      </c>
      <c r="E60" s="562">
        <f>'OM Final COGS Y1-Y5'!$E$10</f>
        <v>5.3847650777542571</v>
      </c>
      <c r="F60" s="529" t="s">
        <v>42</v>
      </c>
      <c r="G60" s="581">
        <f>(E60*'OM Assumptions'!B53)/2</f>
        <v>2692.3825388771284</v>
      </c>
      <c r="H60" s="65"/>
      <c r="I60" s="533" t="s">
        <v>705</v>
      </c>
      <c r="J60" s="533" t="s">
        <v>706</v>
      </c>
      <c r="K60" s="657" t="s">
        <v>707</v>
      </c>
      <c r="L60" s="518" t="s">
        <v>729</v>
      </c>
      <c r="M60" s="518" t="s">
        <v>709</v>
      </c>
      <c r="N60" s="518" t="s">
        <v>699</v>
      </c>
      <c r="O60" s="548" t="s">
        <v>730</v>
      </c>
      <c r="P60" s="518" t="s">
        <v>711</v>
      </c>
      <c r="Q60" s="518" t="s">
        <v>731</v>
      </c>
      <c r="R60" s="518" t="s">
        <v>705</v>
      </c>
      <c r="S60" s="641" t="s">
        <v>713</v>
      </c>
      <c r="T60" s="65"/>
      <c r="U60" s="65"/>
      <c r="V60" s="65"/>
      <c r="W60" s="65"/>
      <c r="X60" s="65"/>
      <c r="Y60" s="65"/>
    </row>
    <row r="61" spans="1:25">
      <c r="A61" s="65"/>
      <c r="B61" s="65"/>
      <c r="C61" s="65"/>
      <c r="D61" s="65"/>
      <c r="E61" s="65"/>
      <c r="F61" s="526" t="s">
        <v>725</v>
      </c>
      <c r="G61" s="557">
        <f>SUM(G57:G60)</f>
        <v>56164.385470459056</v>
      </c>
      <c r="H61" s="65"/>
      <c r="I61" s="449" t="s">
        <v>629</v>
      </c>
      <c r="J61" s="450">
        <f>F26*'OM Assumptions'!B43</f>
        <v>2008298.2990330008</v>
      </c>
      <c r="K61" s="561">
        <f>SQRT((2*J61*'OM Assumptions'!$B$44)/((SUM(F$6:F$8)/'OM Assumptions'!B43)*'OM Assumptions'!$B$45))*(1+'OM Assumptions'!B49)</f>
        <v>38282.385504009129</v>
      </c>
      <c r="L61" s="561">
        <f>($F$20*SQRT((O61*((F$29*'OM Assumptions'!B$43)^2))+((('OM Inventory Y1-Y5'!F$27*'OM Assumptions'!B$43)^2))))*(P61^2)</f>
        <v>4723.5791381538156</v>
      </c>
      <c r="M61" s="571">
        <f>SUM($F$6:$F$8)/3</f>
        <v>0.19999999999999998</v>
      </c>
      <c r="N61" s="561">
        <f>$F$29*'OM Assumptions'!B43</f>
        <v>8912.25</v>
      </c>
      <c r="O61" s="65">
        <f>($J$16+($J$17)*4+$J$18)/6</f>
        <v>4</v>
      </c>
      <c r="P61" s="571">
        <f>($J$18-$J$16)/6</f>
        <v>0.26666666666666661</v>
      </c>
      <c r="Q61" s="587">
        <f>L61*M61</f>
        <v>944.7158276307631</v>
      </c>
      <c r="R61" s="587">
        <f>(K61*M61)/2</f>
        <v>3828.2385504009126</v>
      </c>
      <c r="S61" s="614">
        <f>(F26*'OM Assumptions'!B43*'OM Inventory Y1-Y5'!J17)+('OM Inventory Y1-Y5'!F20*'OM Inventory Y1-Y5'!F28*'OM Assumptions'!B43*SQRT(K24))</f>
        <v>9636948.3900560215</v>
      </c>
      <c r="T61" s="65"/>
      <c r="U61" s="65"/>
      <c r="V61" s="65"/>
      <c r="W61" s="65"/>
      <c r="X61" s="65"/>
      <c r="Y61" s="65"/>
    </row>
    <row r="62" spans="1:25">
      <c r="A62" s="513" t="s">
        <v>94</v>
      </c>
      <c r="B62" s="518" t="s">
        <v>726</v>
      </c>
      <c r="C62" s="518" t="s">
        <v>722</v>
      </c>
      <c r="D62" s="518" t="s">
        <v>727</v>
      </c>
      <c r="E62" s="537" t="s">
        <v>725</v>
      </c>
      <c r="F62" s="65"/>
      <c r="G62" s="553" t="s">
        <v>728</v>
      </c>
      <c r="H62" s="65"/>
      <c r="I62" s="449" t="s">
        <v>380</v>
      </c>
      <c r="J62" s="450">
        <f>$F$26*D9</f>
        <v>945081.55248611805</v>
      </c>
      <c r="K62" s="561">
        <f>SQRT((8*J62*'OM Assumptions'!$B$44)/(F9*'OM Assumptions'!$B$45))*(1+'OM Assumptions'!B49)</f>
        <v>23257.575138842287</v>
      </c>
      <c r="L62" s="561">
        <f>$F$20*SQRT((O62*(($F$29)^2))+((('OM Inventory Y1-Y5'!$E$27)^2)*(P62^2)))</f>
        <v>7231.1882260485327</v>
      </c>
      <c r="M62" s="65">
        <f>$F$9</f>
        <v>0.72</v>
      </c>
      <c r="N62" s="561">
        <f>'OM Inventory Y1-Y5'!F$29</f>
        <v>2097</v>
      </c>
      <c r="O62" s="65">
        <f>($J$16+($J$17)*4+$J$18)/6</f>
        <v>4</v>
      </c>
      <c r="P62" s="571">
        <f>($J$18-$J$16)/6</f>
        <v>0.26666666666666661</v>
      </c>
      <c r="Q62" s="587">
        <f>L62*M62</f>
        <v>5206.4555227549436</v>
      </c>
      <c r="R62" s="587">
        <f>(K62*M62)/2</f>
        <v>8372.727049983223</v>
      </c>
      <c r="S62" s="614">
        <f>J62-(((J17/52))+($E$20*$E$28*SQRT(J17/52)))</f>
        <v>906438.5292583321</v>
      </c>
      <c r="T62" s="65"/>
      <c r="U62" s="65"/>
      <c r="V62" s="65"/>
      <c r="W62" s="65"/>
      <c r="X62" s="65"/>
      <c r="Y62" s="65"/>
    </row>
    <row r="63" spans="1:25">
      <c r="A63" s="442" t="s">
        <v>732</v>
      </c>
      <c r="B63" s="562">
        <f>R51</f>
        <v>16365.521651312822</v>
      </c>
      <c r="C63" s="562">
        <f>G59</f>
        <v>25368.337619865899</v>
      </c>
      <c r="D63" s="562">
        <f>G57</f>
        <v>15526.970101704401</v>
      </c>
      <c r="E63" s="563">
        <f>SUM(B63:D63)</f>
        <v>57260.82937288312</v>
      </c>
      <c r="F63" s="65"/>
      <c r="G63" s="610">
        <f>ROUND((D$26*L$17)+(D$20*D$28*SQRT(L$17)),0)</f>
        <v>474911</v>
      </c>
      <c r="H63" s="65"/>
      <c r="I63" s="449" t="s">
        <v>633</v>
      </c>
      <c r="J63" s="450">
        <f>$F$26*D10</f>
        <v>945081.55248611805</v>
      </c>
      <c r="K63" s="561">
        <f>SQRT((4*J63*'OM Assumptions'!$B$44)/(F10*'OM Assumptions'!$B$45))*(1+'OM Assumptions'!B49)</f>
        <v>31203.311401356281</v>
      </c>
      <c r="L63" s="561">
        <f>$F$20*SQRT((O63*(($F$29)^2))+((('OM Inventory Y1-Y5'!$E$27)^2)*(P63^2)))</f>
        <v>2168.8805594243413</v>
      </c>
      <c r="M63" s="571">
        <f>$F$10</f>
        <v>0.2</v>
      </c>
      <c r="N63" s="561">
        <f>'OM Inventory Y1-Y5'!F$29</f>
        <v>2097</v>
      </c>
      <c r="O63" s="569">
        <f>($K$16+(4*$K$17)+$K$18)/6</f>
        <v>0.42857142857142855</v>
      </c>
      <c r="P63" s="571">
        <f>($K$18-$K$16)/6</f>
        <v>2.8571428571428564E-2</v>
      </c>
      <c r="Q63" s="587">
        <f>L63*M63</f>
        <v>433.77611188486827</v>
      </c>
      <c r="R63" s="587">
        <f>(K63*M63)/2</f>
        <v>3120.3311401356282</v>
      </c>
      <c r="S63" s="614">
        <f>(J63*K$17)+($F$20*$F$28*SQRT(K$17))</f>
        <v>516520.86723080376</v>
      </c>
      <c r="T63" s="65"/>
      <c r="U63" s="65"/>
      <c r="V63" s="65"/>
      <c r="W63" s="65"/>
      <c r="X63" s="65"/>
      <c r="Y63" s="65"/>
    </row>
    <row r="64" spans="1:25">
      <c r="A64" s="442" t="s">
        <v>733</v>
      </c>
      <c r="B64" s="562">
        <f>Q51</f>
        <v>5287.7899024845847</v>
      </c>
      <c r="C64" s="562" t="s">
        <v>89</v>
      </c>
      <c r="D64" s="562">
        <f>G58</f>
        <v>12576.695210011632</v>
      </c>
      <c r="E64" s="563">
        <f>SUM(B64:D64)</f>
        <v>17864.485112496215</v>
      </c>
      <c r="F64" s="65"/>
      <c r="G64" s="553" t="s">
        <v>42</v>
      </c>
      <c r="H64" s="65"/>
      <c r="I64" s="526" t="s">
        <v>382</v>
      </c>
      <c r="J64" s="579">
        <f>$F$26*D11</f>
        <v>945081.55248611805</v>
      </c>
      <c r="K64" s="567">
        <f>SQRT((4*J64*'OM Assumptions'!$B$44)/(F11*'OM Assumptions'!$B$45))*(1+'OM Assumptions'!B49)</f>
        <v>18647.545246435544</v>
      </c>
      <c r="L64" s="567">
        <f>$F$20*SQRT((O64*(($F$29)^2))+((('OM Inventory Y1-Y5'!$E$27)^2)*(P64^2)))</f>
        <v>2168.8805594243413</v>
      </c>
      <c r="M64" s="530">
        <f>$F$11</f>
        <v>0.56000000000000005</v>
      </c>
      <c r="N64" s="567">
        <f>'OM Inventory Y1-Y5'!F$29</f>
        <v>2097</v>
      </c>
      <c r="O64" s="570">
        <f>($K$16+(4*$K$17)+$K$18)/6</f>
        <v>0.42857142857142855</v>
      </c>
      <c r="P64" s="572">
        <f>($K$18-$K$16)/6</f>
        <v>2.8571428571428564E-2</v>
      </c>
      <c r="Q64" s="596">
        <f>L64*M64</f>
        <v>1214.5731132776311</v>
      </c>
      <c r="R64" s="596">
        <f>(K64*M64)/2</f>
        <v>5221.3126690019526</v>
      </c>
      <c r="S64" s="635">
        <f>(J64*K$17)+($F$20*$F$28*SQRT(K$17))</f>
        <v>516520.86723080376</v>
      </c>
      <c r="T64" s="65"/>
      <c r="U64" s="65"/>
      <c r="V64" s="65"/>
      <c r="W64" s="65"/>
      <c r="X64" s="65"/>
      <c r="Y64" s="65"/>
    </row>
    <row r="65" spans="1:25">
      <c r="A65" s="528" t="s">
        <v>725</v>
      </c>
      <c r="B65" s="564">
        <f>SUM(B63:B64)</f>
        <v>21653.311553797408</v>
      </c>
      <c r="C65" s="564">
        <f>SUM(C63:C64)</f>
        <v>25368.337619865899</v>
      </c>
      <c r="D65" s="564">
        <f>SUM(D63:D64)</f>
        <v>28103.665311716031</v>
      </c>
      <c r="E65" s="581">
        <f>SUM(E63:E64)</f>
        <v>75125.314485379335</v>
      </c>
      <c r="F65" s="65"/>
      <c r="G65" s="65"/>
      <c r="H65" s="65"/>
      <c r="I65" s="65"/>
      <c r="J65" s="65"/>
      <c r="K65" s="65"/>
      <c r="L65" s="65"/>
      <c r="M65" s="65"/>
      <c r="N65" s="65"/>
      <c r="O65" s="65"/>
      <c r="P65" s="526" t="s">
        <v>734</v>
      </c>
      <c r="Q65" s="596">
        <f>Q61+Q62+Q63+Q64</f>
        <v>7799.5205755482057</v>
      </c>
      <c r="R65" s="635">
        <f>SUM(R61:R64)</f>
        <v>20542.609409521716</v>
      </c>
      <c r="S65" s="587"/>
      <c r="T65" s="65"/>
      <c r="U65" s="65"/>
      <c r="V65" s="65"/>
      <c r="W65" s="65"/>
      <c r="X65" s="65"/>
      <c r="Y65" s="65"/>
    </row>
    <row r="66" spans="1:25">
      <c r="A66" s="449" t="s">
        <v>42</v>
      </c>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c r="A67" s="533" t="s">
        <v>95</v>
      </c>
      <c r="B67" s="533" t="s">
        <v>714</v>
      </c>
      <c r="C67" s="518" t="s">
        <v>715</v>
      </c>
      <c r="D67" s="518" t="s">
        <v>716</v>
      </c>
      <c r="E67" s="518" t="s">
        <v>717</v>
      </c>
      <c r="F67" s="518" t="s">
        <v>718</v>
      </c>
      <c r="G67" s="537" t="s">
        <v>719</v>
      </c>
    </row>
    <row r="68" spans="1:25">
      <c r="A68" s="449" t="s">
        <v>720</v>
      </c>
      <c r="B68" s="577">
        <f>E26</f>
        <v>382645.02480043657</v>
      </c>
      <c r="C68" s="565">
        <f>E27</f>
        <v>7359</v>
      </c>
      <c r="D68" s="549" t="s">
        <v>42</v>
      </c>
      <c r="E68" s="562">
        <f>'OM Final COGS Y1-Y5'!$F$10</f>
        <v>5.2911789335671049</v>
      </c>
      <c r="F68" s="226"/>
      <c r="G68" s="590">
        <f>(E68*C68)/2</f>
        <v>19468.892886060163</v>
      </c>
    </row>
    <row r="69" spans="1:25">
      <c r="A69" s="449" t="s">
        <v>721</v>
      </c>
      <c r="B69" s="550" t="s">
        <v>42</v>
      </c>
      <c r="C69" s="549" t="s">
        <v>42</v>
      </c>
      <c r="D69" s="565">
        <f>$E$29*$E$20*$E$19</f>
        <v>2908.5872049387203</v>
      </c>
      <c r="E69" s="562">
        <f>'OM Final COGS Y1-Y5'!$F$10</f>
        <v>5.2911789335671049</v>
      </c>
      <c r="F69" s="65"/>
      <c r="G69" s="590">
        <f>D69*E69</f>
        <v>15389.855345214584</v>
      </c>
    </row>
    <row r="70" spans="1:25">
      <c r="A70" s="449" t="s">
        <v>722</v>
      </c>
      <c r="B70" s="550" t="s">
        <v>42</v>
      </c>
      <c r="C70" s="565">
        <f>C68*L17</f>
        <v>8673.1071428571431</v>
      </c>
      <c r="D70" s="549" t="s">
        <v>42</v>
      </c>
      <c r="E70" s="562">
        <f>'OM Final COGS Y1-Y5'!$F$10</f>
        <v>5.2911789335671049</v>
      </c>
      <c r="F70" s="562">
        <f>F12</f>
        <v>2.08</v>
      </c>
      <c r="G70" s="590">
        <f>(C70*(E70+F70))/2</f>
        <v>31965.512329999478</v>
      </c>
    </row>
    <row r="71" spans="1:25">
      <c r="A71" s="551" t="s">
        <v>723</v>
      </c>
      <c r="B71" s="552" t="s">
        <v>42</v>
      </c>
      <c r="C71" s="552" t="s">
        <v>42</v>
      </c>
      <c r="D71" s="552" t="s">
        <v>42</v>
      </c>
      <c r="E71" s="562">
        <f>'OM Final COGS Y1-Y5'!$F$10</f>
        <v>5.2911789335671049</v>
      </c>
      <c r="F71" s="529" t="s">
        <v>42</v>
      </c>
      <c r="G71" s="592">
        <f>(E71*'OM Assumptions'!B53)/2</f>
        <v>2645.5894667835523</v>
      </c>
    </row>
    <row r="72" spans="1:25">
      <c r="A72" s="65"/>
      <c r="B72" s="65"/>
      <c r="C72" s="65"/>
      <c r="D72" s="65"/>
      <c r="E72" s="562"/>
      <c r="F72" s="526" t="s">
        <v>725</v>
      </c>
      <c r="G72" s="594">
        <f>SUM(G68:G71)</f>
        <v>69469.850028057772</v>
      </c>
    </row>
    <row r="73" spans="1:25">
      <c r="A73" s="513" t="s">
        <v>95</v>
      </c>
      <c r="B73" s="518" t="s">
        <v>726</v>
      </c>
      <c r="C73" s="518" t="s">
        <v>722</v>
      </c>
      <c r="D73" s="518" t="s">
        <v>727</v>
      </c>
      <c r="E73" s="537" t="s">
        <v>725</v>
      </c>
      <c r="F73" s="65"/>
      <c r="G73" s="553" t="s">
        <v>728</v>
      </c>
    </row>
    <row r="74" spans="1:25">
      <c r="A74" s="442" t="s">
        <v>732</v>
      </c>
      <c r="B74" s="587">
        <f>R58</f>
        <v>18485.619053904476</v>
      </c>
      <c r="C74" s="589">
        <f>G70</f>
        <v>31965.512329999478</v>
      </c>
      <c r="D74" s="587">
        <f>G68</f>
        <v>19468.892886060163</v>
      </c>
      <c r="E74" s="591">
        <f>SUM(B74:D74)</f>
        <v>69920.024269964109</v>
      </c>
      <c r="F74" s="65"/>
      <c r="G74" s="611">
        <f>ROUND((E$26*L$17)+(E$20*E$28*SQRT(L$17)),0)</f>
        <v>602233</v>
      </c>
    </row>
    <row r="75" spans="1:25">
      <c r="A75" s="442" t="s">
        <v>733</v>
      </c>
      <c r="B75" s="587">
        <f>Q58</f>
        <v>6585.4634909011011</v>
      </c>
      <c r="C75" s="587" t="s">
        <v>89</v>
      </c>
      <c r="D75" s="587">
        <f>G69</f>
        <v>15389.855345214584</v>
      </c>
      <c r="E75" s="614">
        <f>SUM(B75:D75)</f>
        <v>21975.318836115686</v>
      </c>
      <c r="F75" s="65"/>
      <c r="G75" s="553" t="s">
        <v>42</v>
      </c>
    </row>
    <row r="76" spans="1:25">
      <c r="A76" s="528" t="s">
        <v>725</v>
      </c>
      <c r="B76" s="612">
        <f>SUM(B74:B75)</f>
        <v>25071.082544805577</v>
      </c>
      <c r="C76" s="612">
        <f>SUM(C74:C75)</f>
        <v>31965.512329999478</v>
      </c>
      <c r="D76" s="612">
        <f>SUM(D74:D75)</f>
        <v>34858.748231274745</v>
      </c>
      <c r="E76" s="613">
        <f>SUM(E74:E75)</f>
        <v>91895.343106079788</v>
      </c>
      <c r="F76" s="65"/>
      <c r="G76" s="65"/>
    </row>
    <row r="77" spans="1:25">
      <c r="A77" s="449" t="s">
        <v>42</v>
      </c>
      <c r="B77" s="65"/>
      <c r="C77" s="65"/>
      <c r="D77" s="65"/>
      <c r="E77" s="65"/>
      <c r="F77" s="65"/>
      <c r="G77" s="65"/>
    </row>
    <row r="78" spans="1:25">
      <c r="A78" s="533" t="s">
        <v>96</v>
      </c>
      <c r="B78" s="533" t="s">
        <v>714</v>
      </c>
      <c r="C78" s="518" t="s">
        <v>715</v>
      </c>
      <c r="D78" s="518" t="s">
        <v>716</v>
      </c>
      <c r="E78" s="518" t="s">
        <v>717</v>
      </c>
      <c r="F78" s="518" t="s">
        <v>718</v>
      </c>
      <c r="G78" s="537" t="s">
        <v>719</v>
      </c>
    </row>
    <row r="79" spans="1:25">
      <c r="A79" s="449" t="s">
        <v>720</v>
      </c>
      <c r="B79" s="450">
        <f>F26</f>
        <v>472540.77624305902</v>
      </c>
      <c r="C79" s="561">
        <f>F27</f>
        <v>9087</v>
      </c>
      <c r="D79" s="549" t="s">
        <v>42</v>
      </c>
      <c r="E79" s="562">
        <f>'OM Final COGS Y1-Y5'!$G$10</f>
        <v>5.1362252989415857</v>
      </c>
      <c r="F79" s="226"/>
      <c r="G79" s="563">
        <f>(E79*C79)/2</f>
        <v>23336.439645741095</v>
      </c>
    </row>
    <row r="80" spans="1:25">
      <c r="A80" s="449" t="s">
        <v>721</v>
      </c>
      <c r="B80" s="550" t="s">
        <v>42</v>
      </c>
      <c r="C80" s="549" t="s">
        <v>42</v>
      </c>
      <c r="D80" s="561">
        <f>$F$29*$F$20*$F$19</f>
        <v>3555.2249061502766</v>
      </c>
      <c r="E80" s="562">
        <f>'OM Final COGS Y1-Y5'!$G$10</f>
        <v>5.1362252989415857</v>
      </c>
      <c r="F80" s="65"/>
      <c r="G80" s="563">
        <f>D80*E80</f>
        <v>18260.436106396275</v>
      </c>
    </row>
    <row r="81" spans="1:7">
      <c r="A81" s="449" t="s">
        <v>722</v>
      </c>
      <c r="B81" s="550" t="s">
        <v>42</v>
      </c>
      <c r="C81" s="561">
        <f>C79*L17</f>
        <v>10709.678571428572</v>
      </c>
      <c r="D81" s="549" t="s">
        <v>42</v>
      </c>
      <c r="E81" s="562">
        <f>'OM Final COGS Y1-Y5'!$G$10</f>
        <v>5.1362252989415857</v>
      </c>
      <c r="F81" s="562">
        <f>F12</f>
        <v>2.08</v>
      </c>
      <c r="G81" s="563">
        <f>(C81*(E81+F81))/2</f>
        <v>38641.726725337721</v>
      </c>
    </row>
    <row r="82" spans="1:7">
      <c r="A82" s="551" t="s">
        <v>723</v>
      </c>
      <c r="B82" s="552" t="s">
        <v>42</v>
      </c>
      <c r="C82" s="552" t="s">
        <v>42</v>
      </c>
      <c r="D82" s="552" t="s">
        <v>42</v>
      </c>
      <c r="E82" s="562">
        <f>'OM Final COGS Y1-Y5'!$G$10</f>
        <v>5.1362252989415857</v>
      </c>
      <c r="F82" s="529" t="s">
        <v>42</v>
      </c>
      <c r="G82" s="581">
        <f>(E82*'OM Assumptions'!B53)/2</f>
        <v>2568.1126494707928</v>
      </c>
    </row>
    <row r="83" spans="1:7">
      <c r="A83" s="65"/>
      <c r="B83" s="65"/>
      <c r="C83" s="65"/>
      <c r="D83" s="65"/>
      <c r="E83" s="65"/>
      <c r="F83" s="526" t="s">
        <v>725</v>
      </c>
      <c r="G83" s="557">
        <f>SUM(G79:G82)</f>
        <v>82806.715126945885</v>
      </c>
    </row>
    <row r="84" spans="1:7">
      <c r="A84" s="513" t="s">
        <v>96</v>
      </c>
      <c r="B84" s="518" t="s">
        <v>726</v>
      </c>
      <c r="C84" s="518" t="s">
        <v>722</v>
      </c>
      <c r="D84" s="518" t="s">
        <v>727</v>
      </c>
      <c r="E84" s="537" t="s">
        <v>725</v>
      </c>
      <c r="F84" s="65"/>
      <c r="G84" s="553" t="s">
        <v>728</v>
      </c>
    </row>
    <row r="85" spans="1:7">
      <c r="A85" s="442" t="s">
        <v>732</v>
      </c>
      <c r="B85" s="587">
        <f>R65</f>
        <v>20542.609409521716</v>
      </c>
      <c r="C85" s="587">
        <f>G81</f>
        <v>38641.726725337721</v>
      </c>
      <c r="D85" s="587">
        <f>G79</f>
        <v>23336.439645741095</v>
      </c>
      <c r="E85" s="614">
        <f>SUM(B85:D85)</f>
        <v>82520.775780600525</v>
      </c>
      <c r="F85" s="65"/>
      <c r="G85" s="610">
        <f>(F$26*L$17)+(F$20*F$28*SQRT(L$17))</f>
        <v>741801.53437973361</v>
      </c>
    </row>
    <row r="86" spans="1:7">
      <c r="A86" s="442" t="s">
        <v>733</v>
      </c>
      <c r="B86" s="587">
        <f>Q65</f>
        <v>7799.5205755482057</v>
      </c>
      <c r="C86" s="615" t="s">
        <v>42</v>
      </c>
      <c r="D86" s="587">
        <f>G80</f>
        <v>18260.436106396275</v>
      </c>
      <c r="E86" s="614">
        <f>SUM(B86:D86)</f>
        <v>26059.956681944481</v>
      </c>
      <c r="F86" s="65"/>
      <c r="G86" s="553" t="s">
        <v>42</v>
      </c>
    </row>
    <row r="87" spans="1:7">
      <c r="A87" s="528" t="s">
        <v>725</v>
      </c>
      <c r="B87" s="612">
        <f>SUM(B85:B86)</f>
        <v>28342.129985069922</v>
      </c>
      <c r="C87" s="612">
        <f>SUM(C85:C86)</f>
        <v>38641.726725337721</v>
      </c>
      <c r="D87" s="612">
        <f>SUM(D85:D86)</f>
        <v>41596.87575213737</v>
      </c>
      <c r="E87" s="607">
        <f>SUM(E85:E86)</f>
        <v>108580.73246254501</v>
      </c>
      <c r="F87" s="65"/>
      <c r="G87" s="65"/>
    </row>
    <row r="88" spans="1:7">
      <c r="A88" s="65"/>
      <c r="B88" s="65"/>
      <c r="C88" s="65"/>
      <c r="D88" s="65"/>
      <c r="E88" s="65"/>
      <c r="F88" s="65"/>
      <c r="G88" s="65"/>
    </row>
    <row r="89" spans="1:7">
      <c r="A89" s="65"/>
      <c r="B89" s="65"/>
      <c r="C89" s="65"/>
      <c r="D89" s="65"/>
      <c r="E89" s="65"/>
      <c r="F89" s="65"/>
      <c r="G89" s="65"/>
    </row>
    <row r="90" spans="1:7">
      <c r="A90" s="543" t="s">
        <v>735</v>
      </c>
      <c r="B90" s="519" t="s">
        <v>644</v>
      </c>
      <c r="C90" s="519" t="s">
        <v>645</v>
      </c>
      <c r="D90" s="519" t="s">
        <v>646</v>
      </c>
      <c r="E90" s="519" t="s">
        <v>647</v>
      </c>
      <c r="F90" s="520" t="s">
        <v>648</v>
      </c>
      <c r="G90" s="65"/>
    </row>
    <row r="91" spans="1:7">
      <c r="A91" s="568" t="s">
        <v>736</v>
      </c>
      <c r="B91" s="616">
        <f>('OM Inventory Y1-Y5'!D42)</f>
        <v>11159.348254920393</v>
      </c>
      <c r="C91" s="616">
        <f>('OM Inventory Y1-Y5'!D54)</f>
        <v>21044.210188678837</v>
      </c>
      <c r="D91" s="616">
        <f>('OM Inventory Y1-Y5'!D65)</f>
        <v>28103.665311716031</v>
      </c>
      <c r="E91" s="616">
        <f>('OM Inventory Y1-Y5'!D76)</f>
        <v>34858.748231274745</v>
      </c>
      <c r="F91" s="810">
        <f>('OM Inventory Y1-Y5'!D87)</f>
        <v>41596.87575213737</v>
      </c>
      <c r="G91" s="697"/>
    </row>
    <row r="92" spans="1:7">
      <c r="A92" s="449" t="s">
        <v>737</v>
      </c>
      <c r="B92" s="589">
        <f>'OM Inventory Y1-Y5'!B42</f>
        <v>11686.83411938433</v>
      </c>
      <c r="C92" s="587">
        <f>'OM Inventory Y1-Y5'!B54</f>
        <v>17732.42419495526</v>
      </c>
      <c r="D92" s="589">
        <f>'OM Inventory Y1-Y5'!B65</f>
        <v>21653.311553797408</v>
      </c>
      <c r="E92" s="589">
        <f>'OM Inventory Y1-Y5'!B76</f>
        <v>25071.082544805577</v>
      </c>
      <c r="F92" s="591">
        <f>'OM Inventory Y1-Y5'!B87</f>
        <v>28342.129985069922</v>
      </c>
      <c r="G92" s="65"/>
    </row>
    <row r="93" spans="1:7">
      <c r="A93" s="542" t="s">
        <v>738</v>
      </c>
      <c r="B93" s="617">
        <f>'OM Inventory Y1-Y5'!C42</f>
        <v>9942.4291249308062</v>
      </c>
      <c r="C93" s="617">
        <f>'OM Inventory Y1-Y5'!C54</f>
        <v>19350.163002087556</v>
      </c>
      <c r="D93" s="617">
        <f>'OM Inventory Y1-Y5'!C65</f>
        <v>25368.337619865899</v>
      </c>
      <c r="E93" s="617">
        <f>'OM Inventory Y1-Y5'!C76</f>
        <v>31965.512329999478</v>
      </c>
      <c r="F93" s="634">
        <f>'OM Inventory Y1-Y5'!C87</f>
        <v>38641.726725337721</v>
      </c>
      <c r="G93" s="697"/>
    </row>
    <row r="94" spans="1:7">
      <c r="A94" s="526" t="s">
        <v>725</v>
      </c>
      <c r="B94" s="595">
        <f>SUM(B91:B93)</f>
        <v>32788.611499235529</v>
      </c>
      <c r="C94" s="596">
        <f>SUM(C91:C93)</f>
        <v>58126.797385721657</v>
      </c>
      <c r="D94" s="595">
        <f>SUM(D91:D93)</f>
        <v>75125.314485379335</v>
      </c>
      <c r="E94" s="595">
        <f>SUM(E91:E93)</f>
        <v>91895.343106079803</v>
      </c>
      <c r="F94" s="597">
        <f>SUM(F91:F93)</f>
        <v>108580.73246254501</v>
      </c>
      <c r="G94" s="65"/>
    </row>
    <row r="95" spans="1:7">
      <c r="A95" s="65"/>
      <c r="B95" s="65"/>
      <c r="C95" s="65"/>
      <c r="D95" s="65"/>
      <c r="E95" s="65"/>
      <c r="F95" s="65"/>
      <c r="G95" s="65"/>
    </row>
    <row r="96" spans="1:7">
      <c r="A96" s="543" t="s">
        <v>126</v>
      </c>
      <c r="B96" s="519" t="s">
        <v>644</v>
      </c>
      <c r="C96" s="519" t="s">
        <v>645</v>
      </c>
      <c r="D96" s="519" t="s">
        <v>646</v>
      </c>
      <c r="E96" s="519" t="s">
        <v>647</v>
      </c>
      <c r="F96" s="520" t="s">
        <v>648</v>
      </c>
      <c r="G96" s="65"/>
    </row>
    <row r="97" spans="1:7">
      <c r="A97" s="449" t="s">
        <v>739</v>
      </c>
      <c r="B97" s="587">
        <f>'MK Bases Model (Base Case)'!B13</f>
        <v>100110.19200000004</v>
      </c>
      <c r="C97" s="589">
        <f>'MK Bases Model (Base Case)'!C13</f>
        <v>205910.31017397586</v>
      </c>
      <c r="D97" s="589">
        <f>'MK Bases Model (Base Case)'!D13</f>
        <v>276837.96861393895</v>
      </c>
      <c r="E97" s="589">
        <f>'MK Bases Model (Base Case)'!E13</f>
        <v>353210.78720065486</v>
      </c>
      <c r="F97" s="591">
        <f>'MK Bases Model (Base Case)'!F13</f>
        <v>436191.41436458856</v>
      </c>
      <c r="G97" s="65"/>
    </row>
    <row r="98" spans="1:7">
      <c r="A98" s="542" t="s">
        <v>740</v>
      </c>
      <c r="B98" s="584">
        <f>'OM Final COGS Y1-Y5'!C6</f>
        <v>13.149999999999999</v>
      </c>
      <c r="C98" s="584">
        <f>'OM Final COGS Y1-Y5'!D6</f>
        <v>13.149999999999999</v>
      </c>
      <c r="D98" s="584">
        <f>'OM Final COGS Y1-Y5'!E6</f>
        <v>12.6</v>
      </c>
      <c r="E98" s="584">
        <f>'OM Final COGS Y1-Y5'!F6</f>
        <v>11.819999999999999</v>
      </c>
      <c r="F98" s="557">
        <f>'OM Final COGS Y1-Y5'!G6</f>
        <v>11.26</v>
      </c>
      <c r="G98" s="65"/>
    </row>
    <row r="99" spans="1:7">
      <c r="A99" s="526" t="s">
        <v>741</v>
      </c>
      <c r="B99" s="596">
        <f>B97*B98</f>
        <v>1316449.0248000005</v>
      </c>
      <c r="C99" s="596">
        <f>C97*C98</f>
        <v>2707720.5787877822</v>
      </c>
      <c r="D99" s="596">
        <f>D97*D98</f>
        <v>3488158.4045356307</v>
      </c>
      <c r="E99" s="596">
        <f>E97*E98</f>
        <v>4174951.5047117397</v>
      </c>
      <c r="F99" s="635">
        <f>F97*F98</f>
        <v>4911515.3257452669</v>
      </c>
      <c r="G99" s="65"/>
    </row>
    <row r="100" spans="1:7">
      <c r="A100" s="65"/>
      <c r="B100" s="65"/>
      <c r="C100" s="65"/>
      <c r="D100" s="65"/>
      <c r="E100" s="65"/>
      <c r="F100" s="65"/>
      <c r="G100" s="65"/>
    </row>
    <row r="101" spans="1:7">
      <c r="A101" s="543" t="s">
        <v>742</v>
      </c>
      <c r="B101" s="519" t="s">
        <v>42</v>
      </c>
      <c r="C101" s="519" t="s">
        <v>42</v>
      </c>
      <c r="D101" s="519" t="s">
        <v>42</v>
      </c>
      <c r="E101" s="519" t="s">
        <v>42</v>
      </c>
      <c r="F101" s="520" t="s">
        <v>42</v>
      </c>
      <c r="G101" s="65"/>
    </row>
    <row r="102" spans="1:7">
      <c r="A102" s="449" t="s">
        <v>743</v>
      </c>
      <c r="B102" s="561">
        <f>B97/'OM Assumptions'!$B28</f>
        <v>1925.1960000000008</v>
      </c>
      <c r="C102" s="561">
        <f>C97/'OM Assumptions'!$B28</f>
        <v>3959.8136571918435</v>
      </c>
      <c r="D102" s="565">
        <f>D97/'OM Assumptions'!$B28</f>
        <v>5323.8070887295953</v>
      </c>
      <c r="E102" s="561">
        <f>E97/'OM Assumptions'!$B28</f>
        <v>6792.5151384741321</v>
      </c>
      <c r="F102" s="580">
        <f>F97/'OM Assumptions'!$B28</f>
        <v>8388.2964300882413</v>
      </c>
      <c r="G102" s="65"/>
    </row>
    <row r="103" spans="1:7">
      <c r="A103" s="449" t="s">
        <v>744</v>
      </c>
      <c r="B103" s="562">
        <f>'OM Final COGS Y1-Y5'!C10</f>
        <v>6.0065629320299365</v>
      </c>
      <c r="C103" s="562">
        <f>'OM Final COGS Y1-Y5'!D10</f>
        <v>5.3662284955633481</v>
      </c>
      <c r="D103" s="562">
        <f>'OM Final COGS Y1-Y5'!E10</f>
        <v>5.3847650777542571</v>
      </c>
      <c r="E103" s="562">
        <f>'OM Final COGS Y1-Y5'!F10</f>
        <v>5.2911789335671049</v>
      </c>
      <c r="F103" s="563">
        <f>'OM Final COGS Y1-Y5'!G10</f>
        <v>5.1362252989415857</v>
      </c>
      <c r="G103" s="65"/>
    </row>
    <row r="104" spans="1:7">
      <c r="A104" s="449" t="s">
        <v>745</v>
      </c>
      <c r="B104" s="573">
        <f>(B94/B102)/B103</f>
        <v>2.8354503282975765</v>
      </c>
      <c r="C104" s="573">
        <f>(C94/C102)/C103</f>
        <v>2.7354733305879591</v>
      </c>
      <c r="D104" s="573">
        <f>(D94/D102)/D103</f>
        <v>2.6205788514783936</v>
      </c>
      <c r="E104" s="573">
        <f>(E94/E102)/E103</f>
        <v>2.556880553629914</v>
      </c>
      <c r="F104" s="583">
        <f>(F94/F102)/F103</f>
        <v>2.5201995629855545</v>
      </c>
      <c r="G104" s="65"/>
    </row>
    <row r="105" spans="1:7">
      <c r="A105" s="551" t="s">
        <v>746</v>
      </c>
      <c r="B105" s="620">
        <f>B104*7</f>
        <v>19.848152298083036</v>
      </c>
      <c r="C105" s="620">
        <f>C104*7</f>
        <v>19.148313314115715</v>
      </c>
      <c r="D105" s="621">
        <f>D104*7</f>
        <v>18.344051960348757</v>
      </c>
      <c r="E105" s="620">
        <f>E104*7</f>
        <v>17.898163875409399</v>
      </c>
      <c r="F105" s="622">
        <f>F104*7</f>
        <v>17.641396940898883</v>
      </c>
      <c r="G105" s="65"/>
    </row>
  </sheetData>
  <hyperlinks>
    <hyperlink ref="A1" location="'Index'!A1" display="Back to Index" xr:uid="{D5CE9DC4-BC37-41C9-8CD7-EB7F6C8CA6B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695A9-93A4-4AF0-9EBA-07B82C5CC6F8}">
  <sheetPr>
    <tabColor rgb="FFFFF2CC"/>
  </sheetPr>
  <dimension ref="A1:M19"/>
  <sheetViews>
    <sheetView workbookViewId="0">
      <selection activeCell="E14" sqref="E14"/>
    </sheetView>
  </sheetViews>
  <sheetFormatPr defaultColWidth="8.875" defaultRowHeight="15.95"/>
  <cols>
    <col min="2" max="2" width="43.875" customWidth="1"/>
    <col min="3" max="3" width="11.875" customWidth="1"/>
    <col min="8" max="8" width="10" customWidth="1"/>
    <col min="10" max="10" width="9.375" bestFit="1" customWidth="1"/>
    <col min="13" max="13" width="31.125" bestFit="1" customWidth="1"/>
    <col min="15" max="15" width="31.125" bestFit="1" customWidth="1"/>
  </cols>
  <sheetData>
    <row r="1" spans="1:13">
      <c r="A1" s="44" t="s">
        <v>41</v>
      </c>
    </row>
    <row r="2" spans="1:13">
      <c r="A2" s="680" t="s">
        <v>747</v>
      </c>
    </row>
    <row r="3" spans="1:13">
      <c r="A3" s="375" t="s">
        <v>748</v>
      </c>
      <c r="B3" s="326"/>
      <c r="C3" s="375" t="s">
        <v>749</v>
      </c>
      <c r="D3" s="375" t="s">
        <v>750</v>
      </c>
      <c r="E3" s="375" t="s">
        <v>751</v>
      </c>
      <c r="F3" s="375" t="s">
        <v>752</v>
      </c>
      <c r="G3" s="375" t="s">
        <v>753</v>
      </c>
      <c r="H3" s="1" t="s">
        <v>64</v>
      </c>
    </row>
    <row r="4" spans="1:13">
      <c r="A4" s="1" t="s">
        <v>754</v>
      </c>
      <c r="B4" s="22"/>
      <c r="C4" s="22">
        <f>'MK Avg. Man. Selling Price'!E11</f>
        <v>24</v>
      </c>
      <c r="D4" s="22">
        <f>'MK Avg. Man. Selling Price'!E21</f>
        <v>24</v>
      </c>
      <c r="E4" s="22">
        <f>'MK Avg. Man. Selling Price'!E31</f>
        <v>23</v>
      </c>
      <c r="F4" s="22">
        <f>'MK Avg. Man. Selling Price'!E41</f>
        <v>21.2</v>
      </c>
      <c r="G4" s="22">
        <f>'MK Avg. Man. Selling Price'!E51</f>
        <v>20.2</v>
      </c>
    </row>
    <row r="5" spans="1:13">
      <c r="A5" s="504" t="s">
        <v>755</v>
      </c>
      <c r="B5" s="18"/>
      <c r="C5" s="22">
        <f>C4-C6</f>
        <v>10.850000000000001</v>
      </c>
      <c r="D5" s="22">
        <f>D4-D6</f>
        <v>10.850000000000001</v>
      </c>
      <c r="E5" s="22">
        <f>E4-E6</f>
        <v>10.4</v>
      </c>
      <c r="F5" s="22">
        <f>F4-F6</f>
        <v>9.3800000000000008</v>
      </c>
      <c r="G5" s="22">
        <f>G4-G6</f>
        <v>8.94</v>
      </c>
    </row>
    <row r="6" spans="1:13">
      <c r="A6" s="1" t="s">
        <v>756</v>
      </c>
      <c r="B6" s="22"/>
      <c r="C6" s="22">
        <f>'MK Avg. Man. Selling Price'!C10</f>
        <v>13.149999999999999</v>
      </c>
      <c r="D6" s="22">
        <f>'MK Avg. Man. Selling Price'!C20</f>
        <v>13.149999999999999</v>
      </c>
      <c r="E6" s="22">
        <f>'MK Avg. Man. Selling Price'!C30</f>
        <v>12.6</v>
      </c>
      <c r="F6" s="22">
        <f>'MK Avg. Man. Selling Price'!C40</f>
        <v>11.819999999999999</v>
      </c>
      <c r="G6" s="22">
        <f>'MK Avg. Man. Selling Price'!C50</f>
        <v>11.26</v>
      </c>
    </row>
    <row r="7" spans="1:13">
      <c r="A7" s="1" t="s">
        <v>757</v>
      </c>
      <c r="B7" s="18"/>
      <c r="C7" s="22">
        <f>('MK IMC Schedule Y1-Y5'!N28/'MK Bases Model (Base Case)'!B13)</f>
        <v>2.6696482611880308</v>
      </c>
      <c r="D7" s="22">
        <f>('MK IMC Schedule Y1-Y5'!AE34/'MK Bases Model (Base Case)'!C13)</f>
        <v>1.6857825123312891</v>
      </c>
      <c r="E7" s="22">
        <f>('MK IMC Schedule Y1-Y5'!AV33/'MK Bases Model (Base Case)'!D13)</f>
        <v>1.4054538904039966</v>
      </c>
      <c r="F7" s="22">
        <f>('MK IMC Schedule Y1-Y5'!BM34/'MK Bases Model (Base Case)'!E13)</f>
        <v>1.2231874440305854</v>
      </c>
      <c r="G7" s="22">
        <f>('MK IMC Schedule Y1-Y5'!CD34/'MK Bases Model (Base Case)'!F13)</f>
        <v>1.0836435207890542</v>
      </c>
      <c r="H7" s="18"/>
    </row>
    <row r="8" spans="1:13">
      <c r="A8" s="1" t="s">
        <v>758</v>
      </c>
      <c r="B8" s="18"/>
      <c r="C8" s="22">
        <f>('OM S&amp;M and G&amp;A Expenses Y1-Y5'!D9)</f>
        <v>4.5198557805183288</v>
      </c>
      <c r="D8" s="22">
        <f>('OM S&amp;M and G&amp;A Expenses Y1-Y5'!F9)</f>
        <v>2.281552291398449</v>
      </c>
      <c r="E8" s="22">
        <f>('OM S&amp;M and G&amp;A Expenses Y1-Y5'!H9)</f>
        <v>1.6970039996758794</v>
      </c>
      <c r="F8" s="22">
        <f>('OM S&amp;M and G&amp;A Expenses Y1-Y5'!J9)</f>
        <v>1.330070193278426</v>
      </c>
      <c r="G8" s="22">
        <f>('OM S&amp;M and G&amp;A Expenses Y1-Y5'!L9)</f>
        <v>1.0770389432913596</v>
      </c>
      <c r="H8" s="18"/>
    </row>
    <row r="9" spans="1:13">
      <c r="A9" s="504" t="s">
        <v>759</v>
      </c>
      <c r="B9" s="18"/>
      <c r="C9" s="22">
        <f>C6-C10-(C7+C8)</f>
        <v>-4.6066973736297534E-2</v>
      </c>
      <c r="D9" s="22">
        <f>D6-D10-(D7+D8)</f>
        <v>3.8164367007069124</v>
      </c>
      <c r="E9" s="22">
        <f>E6-E10-(E7+E8)</f>
        <v>4.1127770321658668</v>
      </c>
      <c r="F9" s="22">
        <f>F6-F10-(F7+F8)</f>
        <v>3.9755634291238824</v>
      </c>
      <c r="G9" s="22">
        <f>G6-G10-(G7+G8)</f>
        <v>3.9630922369780004</v>
      </c>
    </row>
    <row r="10" spans="1:13">
      <c r="A10" s="1" t="s">
        <v>760</v>
      </c>
      <c r="B10" s="22"/>
      <c r="C10" s="22">
        <f>SUM(C13:C16)</f>
        <v>6.0065629320299365</v>
      </c>
      <c r="D10" s="22">
        <f>SUM(D13:D16)</f>
        <v>5.3662284955633481</v>
      </c>
      <c r="E10" s="22">
        <f>SUM(E13:E16)</f>
        <v>5.3847650777542571</v>
      </c>
      <c r="F10" s="22">
        <f>SUM(F13:F16)</f>
        <v>5.2911789335671049</v>
      </c>
      <c r="G10" s="22">
        <f>SUM(G13:G16)</f>
        <v>5.1362252989415857</v>
      </c>
      <c r="H10" s="18"/>
    </row>
    <row r="11" spans="1:13">
      <c r="A11" s="1"/>
      <c r="B11" s="22"/>
    </row>
    <row r="12" spans="1:13">
      <c r="A12" s="1" t="s">
        <v>761</v>
      </c>
      <c r="B12" s="22"/>
      <c r="C12" s="22"/>
      <c r="D12" s="22"/>
      <c r="E12" s="22"/>
      <c r="F12" s="22"/>
      <c r="G12" s="22"/>
      <c r="H12" s="1" t="s">
        <v>64</v>
      </c>
      <c r="J12" s="22"/>
    </row>
    <row r="13" spans="1:13">
      <c r="A13" s="1" t="s">
        <v>762</v>
      </c>
      <c r="B13" s="22"/>
      <c r="C13" s="22">
        <f>('OM Bill of Materials List'!$E$24+'OM Logistics Y1-Y5'!C4)</f>
        <v>2.2880000000000003</v>
      </c>
      <c r="D13" s="22">
        <f>('OM Bill of Materials List'!$E$24+'OM Logistics Y1-Y5'!D4)</f>
        <v>2.2880000000000003</v>
      </c>
      <c r="E13" s="22">
        <f>('OM Bill of Materials List'!$E$24+'OM Logistics Y1-Y5'!E4)</f>
        <v>2.2880000000000003</v>
      </c>
      <c r="F13" s="22">
        <f>('OM Bill of Materials List'!$E$24+'OM Logistics Y1-Y5'!F4)</f>
        <v>2.2880000000000003</v>
      </c>
      <c r="G13" s="22">
        <f>('OM Bill of Materials List'!$E$24+'OM Logistics Y1-Y5'!G4)</f>
        <v>2.2880000000000003</v>
      </c>
      <c r="H13" s="18"/>
    </row>
    <row r="14" spans="1:13">
      <c r="A14" s="1" t="s">
        <v>763</v>
      </c>
      <c r="B14" s="22"/>
      <c r="C14" s="22">
        <f>(('OM Labor Y1-Y5'!E15+'OM Labor Y1-Y5'!E16+'OM Labor Y1-Y5'!E17+'OM Labor Y1-Y5'!E19)/'MK Bases Model (Base Case)'!B13)*$H$14</f>
        <v>2.6490809247474014</v>
      </c>
      <c r="D14" s="22">
        <f>(('OM Labor Y1-Y5'!G15+'OM Labor Y1-Y5'!G16+'OM Labor Y1-Y5'!G17+'OM Labor Y1-Y5'!G19)/'MK Bases Model (Base Case)'!C13)*H14</f>
        <v>2.099341211398134</v>
      </c>
      <c r="E14" s="22">
        <f>(('OM Labor Y1-Y5'!I15+'OM Labor Y1-Y5'!I16+'OM Labor Y1-Y5'!I17+'OM Labor Y1-Y5'!I19)/'MK Bases Model (Base Case)'!D13)*H14</f>
        <v>2.1830975101641816</v>
      </c>
      <c r="F14" s="22">
        <f>(('OM Labor Y1-Y5'!K15+'OM Labor Y1-Y5'!K16+'OM Labor Y1-Y5'!K17+'OM Labor Y1-Y5'!K19)/'MK Bases Model (Base Case)'!E13)*H14</f>
        <v>2.0627207174907292</v>
      </c>
      <c r="G14" s="22">
        <f>(('OM Labor Y1-Y5'!M15+'OM Labor Y1-Y5'!M16+'OM Labor Y1-Y5'!M17+'OM Labor Y1-Y5'!M19)/'MK Bases Model (Base Case)'!F13)*H14</f>
        <v>1.963616055808215</v>
      </c>
      <c r="H14" s="18">
        <v>1</v>
      </c>
      <c r="L14" s="334"/>
    </row>
    <row r="15" spans="1:13">
      <c r="A15" s="1" t="s">
        <v>764</v>
      </c>
      <c r="B15" s="22"/>
      <c r="C15" s="22">
        <f>('OM Manufacturing OH Y1-Y5'!C14)*$H$15</f>
        <v>0.31433992255254078</v>
      </c>
      <c r="D15" s="22">
        <f>('OM Manufacturing OH Y1-Y5'!D14)*$H$15</f>
        <v>0.28195742093218262</v>
      </c>
      <c r="E15" s="22">
        <f>('OM Manufacturing OH Y1-Y5'!E14)*$H$15</f>
        <v>0.21505256052150643</v>
      </c>
      <c r="F15" s="22">
        <f>('OM Manufacturing OH Y1-Y5'!F14)*$H$15</f>
        <v>0.25035104029754857</v>
      </c>
      <c r="G15" s="22">
        <f>('OM Manufacturing OH Y1-Y5'!G14)*$H$15</f>
        <v>0.20858876141140853</v>
      </c>
      <c r="H15" s="18">
        <v>1</v>
      </c>
      <c r="L15" s="334"/>
      <c r="M15" s="19"/>
    </row>
    <row r="16" spans="1:13">
      <c r="A16" s="1" t="s">
        <v>765</v>
      </c>
      <c r="B16" s="22"/>
      <c r="C16" s="22">
        <f>('OM Logistics Y1-Y5'!C3+'OM Assumptions'!B47)*H16</f>
        <v>0.75514208472999422</v>
      </c>
      <c r="D16" s="562">
        <f>((SUM(D13:D15)*'OM Assumptions'!$B$57)+'OM Assumptions'!$B$47)*$H$16</f>
        <v>0.69692986323303163</v>
      </c>
      <c r="E16" s="562">
        <f>((SUM(E13:E15)*'OM Assumptions'!$B$57)+'OM Assumptions'!$B$47)*$H$16</f>
        <v>0.69861500706856883</v>
      </c>
      <c r="F16" s="562">
        <f>((SUM(F13:F15)*'OM Assumptions'!$B$57)+'OM Assumptions'!$B$47)*$H$16</f>
        <v>0.69010717577882774</v>
      </c>
      <c r="G16" s="562">
        <f>((SUM(G13:G15)*'OM Assumptions'!$B$57)+'OM Assumptions'!$B$47)*$H$16</f>
        <v>0.67602048172196239</v>
      </c>
      <c r="H16" s="18">
        <v>1</v>
      </c>
    </row>
    <row r="18" spans="1:1">
      <c r="A18" s="334" t="s">
        <v>563</v>
      </c>
    </row>
    <row r="19" spans="1:1">
      <c r="A19" s="334" t="s">
        <v>564</v>
      </c>
    </row>
  </sheetData>
  <hyperlinks>
    <hyperlink ref="A1" location="'Index'!A1" display="Back to Index" xr:uid="{D255588C-0336-4245-B2F6-3100B24CD29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E1F39-0CED-487E-9EC8-3D5A6502A23F}">
  <sheetPr>
    <tabColor rgb="FFFFF2CC"/>
  </sheetPr>
  <dimension ref="B1:L27"/>
  <sheetViews>
    <sheetView topLeftCell="A4" workbookViewId="0">
      <selection activeCell="G25" sqref="G25"/>
    </sheetView>
  </sheetViews>
  <sheetFormatPr defaultColWidth="8.875" defaultRowHeight="15.95"/>
  <cols>
    <col min="2" max="2" width="35.625" bestFit="1" customWidth="1"/>
    <col min="3" max="3" width="25.125" bestFit="1" customWidth="1"/>
    <col min="4" max="4" width="15.625" bestFit="1" customWidth="1"/>
    <col min="5" max="5" width="17.375" bestFit="1" customWidth="1"/>
    <col min="6" max="6" width="12.625" bestFit="1" customWidth="1"/>
    <col min="7" max="7" width="21.125" bestFit="1" customWidth="1"/>
    <col min="9" max="9" width="18.625" bestFit="1" customWidth="1"/>
    <col min="10" max="10" width="11" bestFit="1" customWidth="1"/>
  </cols>
  <sheetData>
    <row r="1" spans="2:12">
      <c r="B1" s="44" t="s">
        <v>41</v>
      </c>
    </row>
    <row r="2" spans="2:12">
      <c r="B2" s="680" t="s">
        <v>766</v>
      </c>
      <c r="C2" s="70"/>
    </row>
    <row r="3" spans="2:12">
      <c r="B3" s="512" t="s">
        <v>767</v>
      </c>
      <c r="C3" s="26"/>
      <c r="D3" s="27"/>
      <c r="E3" s="27"/>
      <c r="F3" s="28"/>
    </row>
    <row r="4" spans="2:12" ht="33.950000000000003">
      <c r="B4" s="29" t="s">
        <v>768</v>
      </c>
      <c r="C4" s="30" t="s">
        <v>769</v>
      </c>
      <c r="D4" s="31" t="s">
        <v>770</v>
      </c>
      <c r="E4" s="31" t="s">
        <v>771</v>
      </c>
      <c r="F4" s="32"/>
      <c r="J4" s="21"/>
      <c r="L4" s="18"/>
    </row>
    <row r="5" spans="2:12">
      <c r="B5" s="33" t="s">
        <v>772</v>
      </c>
      <c r="C5" s="43">
        <f>('MK ACV Y1-Y5'!J28/SUM('MK ACV Y1-Y5'!J28:J31)*'MK Avg. Man. Selling Price'!B45)</f>
        <v>0.19625779442268965</v>
      </c>
      <c r="D5" s="752">
        <v>39.152859999999997</v>
      </c>
      <c r="E5" s="752">
        <v>-123.20453999999999</v>
      </c>
      <c r="F5" s="32"/>
      <c r="J5" s="21"/>
    </row>
    <row r="6" spans="2:12">
      <c r="B6" s="33" t="s">
        <v>773</v>
      </c>
      <c r="C6" s="43">
        <f>('MK ACV Y1-Y5'!J29/SUM('MK ACV Y1-Y5'!J28:J31)*'MK Avg. Man. Selling Price'!B45)</f>
        <v>5.9472058915966561E-2</v>
      </c>
      <c r="D6" s="753">
        <v>42.294750000000001</v>
      </c>
      <c r="E6" s="753">
        <v>-71.139070000000004</v>
      </c>
      <c r="F6" s="32"/>
      <c r="J6" s="21"/>
    </row>
    <row r="7" spans="2:12">
      <c r="B7" s="33" t="s">
        <v>774</v>
      </c>
      <c r="C7" s="43">
        <f>('MK ACV Y1-Y5'!J30/SUM('MK ACV Y1-Y5'!J28:J31)*'MK Avg. Man. Selling Price'!B45)</f>
        <v>5.9472058915966561E-2</v>
      </c>
      <c r="D7" s="753">
        <v>41.908430000000003</v>
      </c>
      <c r="E7" s="753">
        <v>-87.674040000000005</v>
      </c>
      <c r="F7" s="32"/>
      <c r="J7" s="21"/>
    </row>
    <row r="8" spans="2:12">
      <c r="B8" s="33" t="s">
        <v>775</v>
      </c>
      <c r="C8" s="43">
        <f>('MK ACV Y1-Y5'!J31/SUM('MK ACV Y1-Y5'!J28:J31)*'MK Avg. Man. Selling Price'!B45)</f>
        <v>5.828261773764723E-2</v>
      </c>
      <c r="D8" s="753">
        <v>34.150889999999997</v>
      </c>
      <c r="E8" s="753">
        <v>-118.44956000000001</v>
      </c>
      <c r="F8" s="32"/>
      <c r="J8" s="21"/>
    </row>
    <row r="9" spans="2:12">
      <c r="B9" s="33" t="s">
        <v>776</v>
      </c>
      <c r="C9" s="43">
        <f>'MK Avg. Man. Selling Price'!B46/2</f>
        <v>0.21008371728568093</v>
      </c>
      <c r="D9" s="753">
        <v>33.834319999999998</v>
      </c>
      <c r="E9" s="753">
        <v>-118.22777000000001</v>
      </c>
      <c r="F9" s="32"/>
      <c r="J9" s="21"/>
    </row>
    <row r="10" spans="2:12">
      <c r="B10" s="33" t="s">
        <v>777</v>
      </c>
      <c r="C10" s="43">
        <f>'MK Avg. Man. Selling Price'!B46/2</f>
        <v>0.21008371728568093</v>
      </c>
      <c r="D10" s="753">
        <v>40.619509999999998</v>
      </c>
      <c r="E10" s="753">
        <v>-74.186869999999999</v>
      </c>
      <c r="F10" s="32"/>
      <c r="J10" s="21"/>
    </row>
    <row r="11" spans="2:12">
      <c r="B11" s="33" t="s">
        <v>778</v>
      </c>
      <c r="C11" s="43">
        <f>'MK Avg. Man. Selling Price'!B48</f>
        <v>6.6527705489255642E-2</v>
      </c>
      <c r="D11" s="753">
        <v>36.263559999999998</v>
      </c>
      <c r="E11" s="753">
        <v>-115.03632</v>
      </c>
      <c r="F11" s="32"/>
    </row>
    <row r="12" spans="2:12">
      <c r="B12" s="33" t="s">
        <v>779</v>
      </c>
      <c r="C12" s="43">
        <f>'MK Avg. Man. Selling Price'!B47</f>
        <v>1.2728768843898862E-2</v>
      </c>
      <c r="D12" s="753">
        <v>34.721359999999997</v>
      </c>
      <c r="E12" s="753">
        <v>-118.17983</v>
      </c>
      <c r="F12" s="32"/>
      <c r="G12" t="s">
        <v>780</v>
      </c>
    </row>
    <row r="13" spans="2:12">
      <c r="B13" s="33" t="s">
        <v>781</v>
      </c>
      <c r="C13" s="43">
        <f>'MK Avg. Man. Selling Price'!B49</f>
        <v>0.1270915611032136</v>
      </c>
      <c r="D13" s="753">
        <v>32.436689999999999</v>
      </c>
      <c r="E13" s="753">
        <v>-97.058980000000005</v>
      </c>
      <c r="F13" s="32"/>
      <c r="G13" t="s">
        <v>782</v>
      </c>
    </row>
    <row r="14" spans="2:12">
      <c r="B14" s="36"/>
      <c r="C14" s="37" t="s">
        <v>783</v>
      </c>
      <c r="D14" s="35">
        <f>((D5*C5)+(D6*C6)+(D7*C7)+(D8*C8)+(D9*C9)+(D10*C10)+(D11*C11)+(D12*C12)+(D13*C13))/(SUM(C5:C13))</f>
        <v>37.300652244817421</v>
      </c>
      <c r="E14" s="35">
        <f>((E5*C5)+(E6*C6)+(E7*C7)+(E8*C8)+(E9*C9)+(E10*C10)+(E11*C11)+(E12*C12)+(E13*C13))/(SUM(C5:C13))</f>
        <v>-102.44429061876313</v>
      </c>
      <c r="F14" s="32"/>
    </row>
    <row r="15" spans="2:12">
      <c r="B15" s="38"/>
      <c r="C15" s="39" t="s">
        <v>784</v>
      </c>
      <c r="D15" s="1087" t="s">
        <v>785</v>
      </c>
      <c r="E15" s="1087"/>
      <c r="F15" s="1088"/>
    </row>
    <row r="16" spans="2:12">
      <c r="B16" s="74" t="s">
        <v>786</v>
      </c>
      <c r="C16" s="75"/>
      <c r="D16" s="76"/>
      <c r="E16" s="76"/>
      <c r="F16" s="76"/>
      <c r="G16" s="77"/>
    </row>
    <row r="17" spans="2:8">
      <c r="B17" s="78"/>
      <c r="C17" s="35"/>
      <c r="D17" s="1089" t="s">
        <v>787</v>
      </c>
      <c r="E17" s="1089"/>
      <c r="F17" s="1089"/>
      <c r="G17" s="1090"/>
    </row>
    <row r="18" spans="2:8">
      <c r="B18" s="79" t="s">
        <v>788</v>
      </c>
      <c r="C18" s="40" t="s">
        <v>789</v>
      </c>
      <c r="D18" s="41" t="s">
        <v>790</v>
      </c>
      <c r="E18" s="41" t="s">
        <v>791</v>
      </c>
      <c r="F18" s="41" t="s">
        <v>792</v>
      </c>
      <c r="G18" s="80" t="s">
        <v>793</v>
      </c>
    </row>
    <row r="19" spans="2:8">
      <c r="B19" s="81" t="s">
        <v>794</v>
      </c>
      <c r="C19" s="34">
        <v>0.3</v>
      </c>
      <c r="D19" s="35">
        <v>60</v>
      </c>
      <c r="E19" s="35">
        <v>80</v>
      </c>
      <c r="F19" s="35">
        <v>70</v>
      </c>
      <c r="G19" s="82">
        <v>60</v>
      </c>
      <c r="H19" t="s">
        <v>795</v>
      </c>
    </row>
    <row r="20" spans="2:8">
      <c r="B20" s="81" t="s">
        <v>796</v>
      </c>
      <c r="C20" s="34">
        <v>0.3</v>
      </c>
      <c r="D20" s="35">
        <v>80</v>
      </c>
      <c r="E20" s="35">
        <v>75</v>
      </c>
      <c r="F20" s="35">
        <v>80</v>
      </c>
      <c r="G20" s="82">
        <v>70</v>
      </c>
      <c r="H20" t="s">
        <v>797</v>
      </c>
    </row>
    <row r="21" spans="2:8">
      <c r="B21" s="81" t="s">
        <v>798</v>
      </c>
      <c r="C21" s="34">
        <v>0.15</v>
      </c>
      <c r="D21" s="35">
        <v>40</v>
      </c>
      <c r="E21" s="35">
        <v>40</v>
      </c>
      <c r="F21" s="35">
        <v>20</v>
      </c>
      <c r="G21" s="82">
        <v>20</v>
      </c>
    </row>
    <row r="22" spans="2:8">
      <c r="B22" s="81" t="s">
        <v>799</v>
      </c>
      <c r="C22" s="34">
        <v>0.1</v>
      </c>
      <c r="D22" s="35">
        <v>90</v>
      </c>
      <c r="E22" s="35">
        <v>80</v>
      </c>
      <c r="F22" s="35">
        <v>50</v>
      </c>
      <c r="G22" s="82">
        <v>60</v>
      </c>
    </row>
    <row r="23" spans="2:8">
      <c r="B23" s="81" t="s">
        <v>800</v>
      </c>
      <c r="C23" s="34">
        <v>0.1</v>
      </c>
      <c r="D23" s="35">
        <v>60</v>
      </c>
      <c r="E23" s="35">
        <v>20</v>
      </c>
      <c r="F23" s="35">
        <v>30</v>
      </c>
      <c r="G23" s="82">
        <v>75</v>
      </c>
    </row>
    <row r="24" spans="2:8">
      <c r="B24" s="81" t="s">
        <v>801</v>
      </c>
      <c r="C24" s="34">
        <v>0.05</v>
      </c>
      <c r="D24" s="35">
        <v>60</v>
      </c>
      <c r="E24" s="35">
        <v>40</v>
      </c>
      <c r="F24" s="35">
        <v>80</v>
      </c>
      <c r="G24" s="82">
        <v>80</v>
      </c>
    </row>
    <row r="25" spans="2:8">
      <c r="B25" s="83"/>
      <c r="C25" s="37" t="s">
        <v>802</v>
      </c>
      <c r="D25" s="71">
        <f>(D24*$C24)+(D23*$C23)+(D22*$C22)+(D21*$C21)+(D20*$C20)+(D19*$C19)</f>
        <v>66</v>
      </c>
      <c r="E25" s="35">
        <f>(E24*$C24)+(E23*$C23)+(E22*$C22)+(E21*$C21)+(E20*$C20)+(E19*$C19)</f>
        <v>64.5</v>
      </c>
      <c r="F25" s="35">
        <f>(F24*$C24)+(F23*$C23)+(F22*$C22)+(F21*$C21)+(F20*$C20)+(F19*$C19)</f>
        <v>60</v>
      </c>
      <c r="G25" s="82">
        <f>(G24*$C24)+(G23*$C23)+(G22*$C22)+(G21*$C21)+(G20*$C20)+(G19*$C19)</f>
        <v>59.5</v>
      </c>
    </row>
    <row r="26" spans="2:8">
      <c r="B26" s="1091" t="s">
        <v>803</v>
      </c>
      <c r="C26" s="1092"/>
      <c r="D26" s="73">
        <v>572864</v>
      </c>
      <c r="E26" s="42">
        <v>200478</v>
      </c>
      <c r="F26" s="42">
        <v>1119</v>
      </c>
      <c r="G26" s="84">
        <v>20635</v>
      </c>
    </row>
    <row r="27" spans="2:8">
      <c r="B27" s="85"/>
      <c r="C27" s="86" t="s">
        <v>804</v>
      </c>
      <c r="D27" s="87" t="s">
        <v>805</v>
      </c>
      <c r="E27" s="88" t="s">
        <v>806</v>
      </c>
      <c r="F27" s="88" t="s">
        <v>807</v>
      </c>
      <c r="G27" s="89" t="s">
        <v>808</v>
      </c>
    </row>
  </sheetData>
  <mergeCells count="3">
    <mergeCell ref="D15:F15"/>
    <mergeCell ref="D17:G17"/>
    <mergeCell ref="B26:C26"/>
  </mergeCells>
  <hyperlinks>
    <hyperlink ref="B1" location="'Index'!A1" display="Back to Index" xr:uid="{AEBDFAE1-3C6D-42BD-AA15-6A5C7BA3E6E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140E6-139E-4881-8BF7-5FD115799AC8}">
  <sheetPr>
    <tabColor rgb="FFFFF2CC"/>
  </sheetPr>
  <dimension ref="A1:E29"/>
  <sheetViews>
    <sheetView topLeftCell="A3" workbookViewId="0">
      <selection activeCell="G21" sqref="G21"/>
    </sheetView>
  </sheetViews>
  <sheetFormatPr defaultColWidth="8.875" defaultRowHeight="15.95"/>
  <cols>
    <col min="1" max="1" width="29" bestFit="1" customWidth="1"/>
    <col min="2" max="2" width="12" bestFit="1" customWidth="1"/>
    <col min="3" max="3" width="9" bestFit="1" customWidth="1"/>
    <col min="4" max="4" width="28.625" bestFit="1" customWidth="1"/>
    <col min="5" max="5" width="18.375" customWidth="1"/>
  </cols>
  <sheetData>
    <row r="1" spans="1:5">
      <c r="A1" s="44" t="s">
        <v>41</v>
      </c>
    </row>
    <row r="2" spans="1:5">
      <c r="A2" s="680" t="s">
        <v>809</v>
      </c>
    </row>
    <row r="3" spans="1:5">
      <c r="A3" s="737" t="s">
        <v>810</v>
      </c>
      <c r="B3" s="739" t="s">
        <v>42</v>
      </c>
      <c r="C3" s="65"/>
      <c r="D3" s="754" t="s">
        <v>811</v>
      </c>
      <c r="E3" s="755"/>
    </row>
    <row r="4" spans="1:5">
      <c r="A4" s="756" t="s">
        <v>812</v>
      </c>
      <c r="B4" s="682" t="s">
        <v>536</v>
      </c>
      <c r="C4" s="65"/>
      <c r="D4" s="523" t="s">
        <v>813</v>
      </c>
      <c r="E4" s="757">
        <f>B5</f>
        <v>126449.999999899</v>
      </c>
    </row>
    <row r="5" spans="1:5">
      <c r="A5" s="449" t="s">
        <v>814</v>
      </c>
      <c r="B5" s="758">
        <f>'OM Capital Expenditures Y1-Y5'!C31</f>
        <v>126449.999999899</v>
      </c>
      <c r="C5" s="65"/>
      <c r="D5" s="449" t="s">
        <v>815</v>
      </c>
      <c r="E5" s="759">
        <f>B10</f>
        <v>39700</v>
      </c>
    </row>
    <row r="6" spans="1:5">
      <c r="A6" s="449" t="s">
        <v>816</v>
      </c>
      <c r="B6" s="758">
        <f>'OM Inventory Y1-Y5'!B40*2</f>
        <v>19683.080000000002</v>
      </c>
      <c r="C6" s="65"/>
      <c r="D6" s="449" t="s">
        <v>817</v>
      </c>
      <c r="E6" s="759">
        <f>B9</f>
        <v>700000</v>
      </c>
    </row>
    <row r="7" spans="1:5">
      <c r="A7" s="449" t="s">
        <v>736</v>
      </c>
      <c r="B7" s="758">
        <f>'OM Inventory Y1-Y5'!D40*2</f>
        <v>12529.690276214447</v>
      </c>
      <c r="C7" s="65"/>
      <c r="D7" s="551" t="s">
        <v>552</v>
      </c>
      <c r="E7" s="760">
        <f>SUM(E4:E6)</f>
        <v>866149.99999989895</v>
      </c>
    </row>
    <row r="8" spans="1:5">
      <c r="A8" s="449" t="s">
        <v>314</v>
      </c>
      <c r="B8" s="758">
        <f>'OM Assumptions'!B16</f>
        <v>30000</v>
      </c>
      <c r="C8" s="65"/>
      <c r="D8" s="65"/>
      <c r="E8" s="65"/>
    </row>
    <row r="9" spans="1:5">
      <c r="A9" s="449" t="s">
        <v>818</v>
      </c>
      <c r="B9" s="758">
        <f>'OM Assumptions'!B66*'OM Assumptions'!B65</f>
        <v>700000</v>
      </c>
      <c r="C9" s="65"/>
      <c r="D9" s="884" t="s">
        <v>819</v>
      </c>
      <c r="E9" s="885" t="s">
        <v>42</v>
      </c>
    </row>
    <row r="10" spans="1:5">
      <c r="A10" s="449" t="s">
        <v>820</v>
      </c>
      <c r="B10" s="758">
        <f>'OM IS Expenses Y1-Y5'!C19</f>
        <v>39700</v>
      </c>
      <c r="C10" s="65"/>
      <c r="D10" s="449" t="s">
        <v>821</v>
      </c>
      <c r="E10" s="886">
        <f>B23</f>
        <v>2210</v>
      </c>
    </row>
    <row r="11" spans="1:5">
      <c r="A11" s="449" t="s">
        <v>822</v>
      </c>
      <c r="B11" s="758">
        <f>SUM(B5:B10)</f>
        <v>928362.77027611341</v>
      </c>
      <c r="C11" s="65"/>
      <c r="D11" s="449" t="s">
        <v>823</v>
      </c>
      <c r="E11" s="886">
        <f>B16</f>
        <v>39666.666666666664</v>
      </c>
    </row>
    <row r="12" spans="1:5">
      <c r="A12" s="756" t="s">
        <v>315</v>
      </c>
      <c r="B12" s="761" t="s">
        <v>42</v>
      </c>
      <c r="C12" s="65"/>
      <c r="D12" s="449" t="s">
        <v>600</v>
      </c>
      <c r="E12" s="886">
        <f>B17</f>
        <v>44200</v>
      </c>
    </row>
    <row r="13" spans="1:5">
      <c r="A13" s="449" t="s">
        <v>581</v>
      </c>
      <c r="B13" s="758">
        <f>'OM S&amp;M and G&amp;A Expenses Y1-Y5'!C5*'OM Assumptions'!B$64</f>
        <v>47600</v>
      </c>
      <c r="C13" s="65"/>
      <c r="D13" s="449" t="s">
        <v>385</v>
      </c>
      <c r="E13" s="886">
        <f>B20</f>
        <v>1825</v>
      </c>
    </row>
    <row r="14" spans="1:5">
      <c r="A14" s="449" t="s">
        <v>579</v>
      </c>
      <c r="B14" s="758">
        <f>'OM S&amp;M and G&amp;A Expenses Y1-Y5'!C6*'OM Assumptions'!B$64</f>
        <v>405</v>
      </c>
      <c r="C14" s="65"/>
      <c r="D14" s="449" t="s">
        <v>386</v>
      </c>
      <c r="E14" s="886">
        <f>B21</f>
        <v>800</v>
      </c>
    </row>
    <row r="15" spans="1:5">
      <c r="A15" s="449" t="s">
        <v>580</v>
      </c>
      <c r="B15" s="758">
        <f>'OM S&amp;M and G&amp;A Expenses Y1-Y5'!C7*'OM Assumptions'!B$64</f>
        <v>491.72600000000006</v>
      </c>
      <c r="C15" s="65"/>
      <c r="D15" s="449" t="s">
        <v>664</v>
      </c>
      <c r="E15" s="886">
        <f>B22</f>
        <v>2458.63</v>
      </c>
    </row>
    <row r="16" spans="1:5">
      <c r="A16" s="449" t="s">
        <v>824</v>
      </c>
      <c r="B16" s="758">
        <f>SUM('OM Labor Y1-Y5'!E4:E12)/6</f>
        <v>39666.666666666664</v>
      </c>
      <c r="C16" s="65"/>
      <c r="D16" s="449" t="s">
        <v>581</v>
      </c>
      <c r="E16" s="886">
        <f>B13</f>
        <v>47600</v>
      </c>
    </row>
    <row r="17" spans="1:5">
      <c r="A17" s="449" t="s">
        <v>600</v>
      </c>
      <c r="B17" s="758">
        <f>('OM Labor Y1-Y5'!E15+'OM Labor Y1-Y5'!E16+ 'OM Labor Y1-Y5'!E17+'OM Labor Y1-Y5'!E19)/6</f>
        <v>44200</v>
      </c>
      <c r="C17" s="65"/>
      <c r="D17" s="449" t="s">
        <v>579</v>
      </c>
      <c r="E17" s="886">
        <f>B14</f>
        <v>405</v>
      </c>
    </row>
    <row r="18" spans="1:5">
      <c r="A18" s="449" t="s">
        <v>825</v>
      </c>
      <c r="B18" s="758">
        <f>SUM(B13:B17)</f>
        <v>132363.39266666665</v>
      </c>
      <c r="C18" s="65"/>
      <c r="D18" s="449" t="s">
        <v>580</v>
      </c>
      <c r="E18" s="886">
        <f>B15</f>
        <v>491.72600000000006</v>
      </c>
    </row>
    <row r="19" spans="1:5">
      <c r="A19" s="756" t="s">
        <v>384</v>
      </c>
      <c r="B19" s="546" t="s">
        <v>42</v>
      </c>
      <c r="C19" s="65"/>
      <c r="D19" s="449" t="s">
        <v>826</v>
      </c>
      <c r="E19" s="886">
        <f>B27</f>
        <v>31900</v>
      </c>
    </row>
    <row r="20" spans="1:5">
      <c r="A20" s="449" t="s">
        <v>385</v>
      </c>
      <c r="B20" s="758">
        <f>'OM Manufacturing OH Y1-Y5'!B4/6</f>
        <v>1825</v>
      </c>
      <c r="C20" s="65"/>
      <c r="D20" s="449" t="s">
        <v>827</v>
      </c>
      <c r="E20" s="886">
        <f>B8</f>
        <v>30000</v>
      </c>
    </row>
    <row r="21" spans="1:5">
      <c r="A21" s="449" t="s">
        <v>386</v>
      </c>
      <c r="B21" s="758">
        <f>'OM Manufacturing OH Y1-Y5'!B5/6</f>
        <v>800</v>
      </c>
      <c r="C21" s="65"/>
      <c r="D21" s="449" t="s">
        <v>828</v>
      </c>
      <c r="E21" s="886">
        <f>'FE Assumptions'!B19</f>
        <v>40088.85</v>
      </c>
    </row>
    <row r="22" spans="1:5">
      <c r="A22" s="449" t="s">
        <v>664</v>
      </c>
      <c r="B22" s="758">
        <f>'OM Inventory Y1-Y5'!M30</f>
        <v>2458.63</v>
      </c>
      <c r="C22" s="65"/>
      <c r="D22" s="551" t="s">
        <v>829</v>
      </c>
      <c r="E22" s="887">
        <v>241646</v>
      </c>
    </row>
    <row r="23" spans="1:5">
      <c r="A23" s="449" t="s">
        <v>821</v>
      </c>
      <c r="B23" s="758">
        <f>('OM Labor Y1-Y5'!E14+'OM Labor Y1-Y5'!E18+'OM Labor Y1-Y5'!E20)/6</f>
        <v>2210</v>
      </c>
      <c r="C23" s="65"/>
    </row>
    <row r="24" spans="1:5">
      <c r="A24" s="449" t="s">
        <v>830</v>
      </c>
      <c r="B24" s="758">
        <f>SUM(B20:B23)</f>
        <v>7293.63</v>
      </c>
      <c r="C24" s="65"/>
    </row>
    <row r="25" spans="1:5">
      <c r="A25" s="756" t="s">
        <v>226</v>
      </c>
      <c r="B25" s="546" t="s">
        <v>42</v>
      </c>
      <c r="C25" s="65"/>
      <c r="D25" s="65"/>
      <c r="E25" s="65"/>
    </row>
    <row r="26" spans="1:5">
      <c r="A26" s="449" t="s">
        <v>831</v>
      </c>
      <c r="B26" s="758">
        <f>'MK Assumptions'!B6*'MK IMC Schedule Y1-Y5'!N28</f>
        <v>40088.85</v>
      </c>
      <c r="C26" s="65"/>
      <c r="D26" s="65"/>
      <c r="E26" s="65"/>
    </row>
    <row r="27" spans="1:5">
      <c r="A27" s="526" t="s">
        <v>826</v>
      </c>
      <c r="B27" s="888">
        <f>'OM IS Expenses Y1-Y5'!C10</f>
        <v>31900</v>
      </c>
      <c r="C27" s="65"/>
      <c r="D27" s="65"/>
      <c r="E27" s="65"/>
    </row>
    <row r="28" spans="1:5">
      <c r="B28" s="22"/>
    </row>
    <row r="29" spans="1:5">
      <c r="A29" s="1"/>
      <c r="B29" s="22"/>
    </row>
  </sheetData>
  <hyperlinks>
    <hyperlink ref="A1" location="'Index'!A1" display="Back to Index" xr:uid="{C5489A54-8A65-40A3-8820-173E1045A35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56D0B-FD44-4BEE-B7D8-6F9D0C062225}">
  <sheetPr>
    <tabColor rgb="FFA9D08E"/>
  </sheetPr>
  <dimension ref="A1:U89"/>
  <sheetViews>
    <sheetView topLeftCell="A8" workbookViewId="0">
      <selection activeCell="L71" sqref="L71"/>
    </sheetView>
  </sheetViews>
  <sheetFormatPr defaultColWidth="8.875" defaultRowHeight="15.95"/>
  <cols>
    <col min="1" max="1" width="68.125" customWidth="1"/>
    <col min="2" max="2" width="22.625" customWidth="1"/>
    <col min="3" max="3" width="20.5" customWidth="1"/>
    <col min="4" max="5" width="13.625" customWidth="1"/>
    <col min="6" max="6" width="14.125" customWidth="1"/>
    <col min="7" max="7" width="13.625" customWidth="1"/>
    <col min="10" max="10" width="33.625" bestFit="1" customWidth="1"/>
    <col min="12" max="12" width="9.375" bestFit="1" customWidth="1"/>
  </cols>
  <sheetData>
    <row r="1" spans="1:21">
      <c r="A1" s="44" t="s">
        <v>41</v>
      </c>
      <c r="K1" s="225"/>
      <c r="L1" s="225"/>
      <c r="M1" s="225"/>
      <c r="N1" s="225"/>
      <c r="O1" s="225"/>
      <c r="P1" s="225"/>
      <c r="Q1" s="225"/>
      <c r="R1" s="225"/>
      <c r="S1" s="225"/>
      <c r="T1" s="225"/>
      <c r="U1" s="225"/>
    </row>
    <row r="2" spans="1:21">
      <c r="K2" s="225"/>
      <c r="L2" s="225"/>
      <c r="M2" s="225"/>
      <c r="N2" s="225"/>
      <c r="O2" s="225"/>
      <c r="P2" s="225"/>
      <c r="Q2" s="225"/>
      <c r="R2" s="225"/>
      <c r="S2" s="225"/>
      <c r="T2" s="225"/>
      <c r="U2" s="225"/>
    </row>
    <row r="3" spans="1:21" ht="17.100000000000001">
      <c r="A3" s="116" t="s">
        <v>832</v>
      </c>
      <c r="B3" s="117" t="s">
        <v>833</v>
      </c>
      <c r="C3" s="120" t="s">
        <v>833</v>
      </c>
      <c r="D3" s="117"/>
      <c r="E3" s="117"/>
      <c r="F3" s="117"/>
      <c r="G3" s="117"/>
      <c r="H3" s="117"/>
      <c r="I3" s="117"/>
      <c r="J3" s="225"/>
      <c r="K3" s="225"/>
      <c r="L3" s="225"/>
      <c r="M3" s="225"/>
      <c r="N3" s="225"/>
      <c r="O3" s="225"/>
      <c r="P3" s="225"/>
      <c r="Q3" s="225"/>
      <c r="R3" s="225"/>
      <c r="S3" s="225"/>
      <c r="T3" s="225"/>
      <c r="U3" s="225"/>
    </row>
    <row r="4" spans="1:21">
      <c r="A4" s="120" t="s">
        <v>834</v>
      </c>
      <c r="B4" s="120" t="s">
        <v>835</v>
      </c>
      <c r="C4" s="120" t="s">
        <v>80</v>
      </c>
      <c r="D4" s="120" t="s">
        <v>93</v>
      </c>
      <c r="E4" s="120" t="s">
        <v>94</v>
      </c>
      <c r="F4" s="120" t="s">
        <v>95</v>
      </c>
      <c r="G4" s="120" t="s">
        <v>96</v>
      </c>
      <c r="H4" s="117"/>
      <c r="I4" s="120" t="s">
        <v>836</v>
      </c>
      <c r="J4" s="225"/>
      <c r="K4" s="225"/>
      <c r="L4" s="225"/>
      <c r="M4" s="225"/>
      <c r="N4" s="225"/>
      <c r="O4" s="225"/>
      <c r="P4" s="225"/>
      <c r="Q4" s="225"/>
      <c r="R4" s="225"/>
      <c r="S4" s="225"/>
      <c r="T4" s="225"/>
      <c r="U4" s="225"/>
    </row>
    <row r="5" spans="1:21" ht="17.100000000000001">
      <c r="A5" s="116" t="s">
        <v>833</v>
      </c>
      <c r="B5" s="117"/>
      <c r="C5" s="117"/>
      <c r="D5" s="117"/>
      <c r="E5" s="117"/>
      <c r="F5" s="117"/>
      <c r="G5" s="117"/>
      <c r="H5" s="117"/>
      <c r="I5" s="117"/>
      <c r="J5" s="225"/>
      <c r="K5" s="225"/>
      <c r="L5" s="225"/>
      <c r="M5" s="225"/>
      <c r="N5" s="225"/>
      <c r="O5" s="225"/>
      <c r="P5" s="225"/>
      <c r="Q5" s="225"/>
      <c r="R5" s="225"/>
      <c r="S5" s="225"/>
      <c r="T5" s="225"/>
      <c r="U5" s="225"/>
    </row>
    <row r="6" spans="1:21">
      <c r="A6" s="762"/>
      <c r="B6" s="117"/>
      <c r="C6" s="117"/>
      <c r="D6" s="117"/>
      <c r="E6" s="117"/>
      <c r="F6" s="117"/>
      <c r="G6" s="117"/>
      <c r="H6" s="117"/>
      <c r="I6" s="117"/>
      <c r="J6" s="225"/>
      <c r="K6" s="225"/>
      <c r="L6" s="225"/>
      <c r="M6" s="225"/>
      <c r="N6" s="225"/>
      <c r="O6" s="225"/>
      <c r="P6" s="225"/>
      <c r="Q6" s="225"/>
      <c r="R6" s="225"/>
      <c r="S6" s="225"/>
      <c r="T6" s="225"/>
      <c r="U6" s="225"/>
    </row>
    <row r="7" spans="1:21" ht="17.100000000000001">
      <c r="A7" s="609" t="s">
        <v>837</v>
      </c>
      <c r="B7" s="609"/>
      <c r="C7" s="609"/>
      <c r="D7" s="609"/>
      <c r="E7" s="609"/>
      <c r="F7" s="609"/>
      <c r="G7" s="609"/>
      <c r="H7" s="117"/>
      <c r="I7" s="117"/>
      <c r="J7" s="225"/>
      <c r="K7" s="225"/>
      <c r="L7" s="225"/>
      <c r="M7" s="225"/>
      <c r="N7" s="225"/>
      <c r="O7" s="225"/>
      <c r="P7" s="225"/>
      <c r="Q7" s="225"/>
      <c r="R7" s="225"/>
      <c r="S7" s="225"/>
      <c r="T7" s="225"/>
      <c r="U7" s="225"/>
    </row>
    <row r="8" spans="1:21" ht="31.5" customHeight="1">
      <c r="A8" s="763"/>
      <c r="B8" s="117"/>
      <c r="C8" s="117"/>
      <c r="D8" s="117"/>
      <c r="E8" s="117"/>
      <c r="F8" s="117"/>
      <c r="G8" s="117"/>
      <c r="H8" s="117"/>
      <c r="I8" s="117"/>
      <c r="J8" s="225"/>
      <c r="K8" s="225"/>
      <c r="L8" s="225"/>
      <c r="M8" s="225"/>
      <c r="N8" s="225"/>
      <c r="O8" s="225"/>
      <c r="P8" s="225"/>
      <c r="Q8" s="225"/>
      <c r="R8" s="225"/>
      <c r="S8" s="225"/>
      <c r="T8" s="225"/>
      <c r="U8" s="225"/>
    </row>
    <row r="9" spans="1:21" ht="17.100000000000001">
      <c r="A9" s="764" t="s">
        <v>838</v>
      </c>
      <c r="B9" s="117"/>
      <c r="C9" s="117"/>
      <c r="D9" s="117"/>
      <c r="E9" s="117"/>
      <c r="F9" s="117"/>
      <c r="G9" s="117"/>
      <c r="H9" s="117"/>
      <c r="I9" s="117"/>
      <c r="J9" s="225"/>
      <c r="K9" s="225"/>
      <c r="L9" s="225"/>
      <c r="M9" s="225"/>
      <c r="N9" s="225"/>
      <c r="O9" s="225"/>
      <c r="P9" s="225"/>
      <c r="Q9" s="225"/>
      <c r="R9" s="225"/>
      <c r="S9" s="225"/>
      <c r="T9" s="225"/>
      <c r="U9" s="225"/>
    </row>
    <row r="10" spans="1:21" ht="33.950000000000003">
      <c r="A10" s="763" t="s">
        <v>839</v>
      </c>
      <c r="B10" s="765">
        <f>'OM Y0 Initial Investment'!B5+'OM Y0 Initial Investment'!B9+'OM Y0 Initial Investment'!B10</f>
        <v>866149.99999989895</v>
      </c>
      <c r="C10" s="117"/>
      <c r="D10" s="117"/>
      <c r="E10" s="117"/>
      <c r="F10" s="117"/>
      <c r="G10" s="117"/>
      <c r="H10" s="117"/>
      <c r="I10" s="117" t="s">
        <v>1</v>
      </c>
      <c r="J10" s="225"/>
      <c r="K10" s="225"/>
      <c r="L10" s="225"/>
      <c r="M10" s="225"/>
      <c r="N10" s="225"/>
      <c r="O10" s="225"/>
      <c r="P10" s="225"/>
      <c r="Q10" s="225"/>
      <c r="R10" s="225"/>
      <c r="S10" s="225"/>
      <c r="T10" s="225"/>
      <c r="U10" s="225"/>
    </row>
    <row r="11" spans="1:21" ht="16.5" customHeight="1">
      <c r="A11" s="763"/>
      <c r="B11" s="65"/>
      <c r="C11" s="117"/>
      <c r="D11" s="117"/>
      <c r="E11" s="117"/>
      <c r="F11" s="117"/>
      <c r="G11" s="117"/>
      <c r="H11" s="117"/>
      <c r="I11" s="117"/>
      <c r="J11" s="225"/>
      <c r="K11" s="225"/>
      <c r="L11" s="225"/>
      <c r="M11" s="225"/>
      <c r="N11" s="225"/>
      <c r="O11" s="225"/>
      <c r="P11" s="225"/>
      <c r="Q11" s="225"/>
      <c r="R11" s="225"/>
      <c r="S11" s="225"/>
      <c r="T11" s="225"/>
      <c r="U11" s="225"/>
    </row>
    <row r="12" spans="1:21" ht="45.75" customHeight="1">
      <c r="A12" s="764" t="s">
        <v>840</v>
      </c>
      <c r="B12" s="65"/>
      <c r="C12" s="117"/>
      <c r="D12" s="117"/>
      <c r="E12" s="117"/>
      <c r="F12" s="117"/>
      <c r="G12" s="117"/>
      <c r="H12" s="117"/>
      <c r="I12" s="117"/>
      <c r="J12" s="225"/>
      <c r="K12" s="225"/>
      <c r="L12" s="225"/>
      <c r="M12" s="225"/>
      <c r="N12" s="225"/>
      <c r="O12" s="225"/>
      <c r="P12" s="225"/>
      <c r="Q12" s="225"/>
      <c r="R12" s="225"/>
      <c r="S12" s="225"/>
      <c r="T12" s="225"/>
      <c r="U12" s="225"/>
    </row>
    <row r="13" spans="1:21" ht="18" customHeight="1">
      <c r="A13" s="763" t="s">
        <v>841</v>
      </c>
      <c r="B13" s="670">
        <f>'FE Balance Sheet Y1-Y5'!B5</f>
        <v>10970.408540000004</v>
      </c>
      <c r="C13" s="117"/>
      <c r="D13" s="117"/>
      <c r="E13" s="117"/>
      <c r="F13" s="117"/>
      <c r="G13" s="117"/>
      <c r="H13" s="117"/>
      <c r="I13" s="117" t="s">
        <v>2</v>
      </c>
      <c r="J13" s="225"/>
      <c r="K13" s="225"/>
      <c r="L13" s="225"/>
      <c r="M13" s="225"/>
      <c r="N13" s="225"/>
      <c r="O13" s="225"/>
      <c r="P13" s="225"/>
      <c r="Q13" s="225"/>
      <c r="R13" s="225"/>
      <c r="S13" s="225"/>
      <c r="T13" s="225"/>
      <c r="U13" s="225"/>
    </row>
    <row r="14" spans="1:21" ht="33.950000000000003">
      <c r="A14" s="763" t="s">
        <v>842</v>
      </c>
      <c r="B14" s="765">
        <f>'OM Y0 Initial Investment'!B6</f>
        <v>19683.080000000002</v>
      </c>
      <c r="C14" s="117"/>
      <c r="D14" s="117"/>
      <c r="E14" s="117"/>
      <c r="F14" s="117"/>
      <c r="G14" s="117"/>
      <c r="H14" s="117"/>
      <c r="I14" s="117" t="s">
        <v>1</v>
      </c>
      <c r="J14" s="225"/>
      <c r="K14" s="225"/>
      <c r="L14" s="225"/>
      <c r="M14" s="225"/>
      <c r="N14" s="225"/>
      <c r="O14" s="225"/>
      <c r="P14" s="225"/>
      <c r="Q14" s="225"/>
      <c r="R14" s="225"/>
      <c r="S14" s="225"/>
      <c r="T14" s="225"/>
      <c r="U14" s="225"/>
    </row>
    <row r="15" spans="1:21" ht="17.100000000000001">
      <c r="A15" s="763" t="s">
        <v>843</v>
      </c>
      <c r="B15" s="765">
        <f>'OM Y0 Initial Investment'!B7</f>
        <v>12529.690276214447</v>
      </c>
      <c r="C15" s="670"/>
      <c r="D15" s="117"/>
      <c r="E15" s="117"/>
      <c r="F15" s="117"/>
      <c r="G15" s="117"/>
      <c r="H15" s="117"/>
      <c r="I15" s="117" t="s">
        <v>1</v>
      </c>
      <c r="J15" s="225"/>
      <c r="K15" s="225"/>
      <c r="L15" s="225"/>
      <c r="M15" s="225"/>
      <c r="N15" s="225"/>
      <c r="O15" s="225"/>
      <c r="P15" s="225"/>
      <c r="Q15" s="225"/>
      <c r="R15" s="225"/>
      <c r="S15" s="225"/>
      <c r="T15" s="225"/>
      <c r="U15" s="225"/>
    </row>
    <row r="16" spans="1:21">
      <c r="A16" s="763"/>
      <c r="B16" s="65"/>
      <c r="C16" s="117"/>
      <c r="D16" s="117"/>
      <c r="E16" s="117"/>
      <c r="F16" s="117"/>
      <c r="G16" s="117"/>
      <c r="H16" s="117"/>
      <c r="I16" s="117"/>
      <c r="J16" s="225"/>
      <c r="K16" s="225"/>
      <c r="L16" s="225"/>
      <c r="M16" s="225"/>
      <c r="N16" s="225"/>
      <c r="O16" s="225"/>
      <c r="P16" s="225"/>
      <c r="Q16" s="225"/>
      <c r="R16" s="225"/>
      <c r="S16" s="225"/>
      <c r="T16" s="225"/>
      <c r="U16" s="225"/>
    </row>
    <row r="17" spans="1:21" ht="30.75" customHeight="1">
      <c r="A17" s="764" t="s">
        <v>844</v>
      </c>
      <c r="B17" s="65"/>
      <c r="C17" s="117"/>
      <c r="D17" s="117"/>
      <c r="E17" s="117"/>
      <c r="F17" s="117"/>
      <c r="G17" s="117"/>
      <c r="H17" s="117"/>
      <c r="I17" s="117"/>
      <c r="J17" s="225"/>
      <c r="K17" s="225"/>
      <c r="L17" s="225"/>
      <c r="M17" s="225"/>
      <c r="N17" s="225"/>
      <c r="O17" s="225"/>
      <c r="P17" s="225"/>
      <c r="Q17" s="225"/>
      <c r="R17" s="225"/>
      <c r="S17" s="225"/>
      <c r="T17" s="225"/>
      <c r="U17" s="225"/>
    </row>
    <row r="18" spans="1:21" ht="15.75" customHeight="1">
      <c r="A18" s="763" t="s">
        <v>845</v>
      </c>
      <c r="B18" s="765">
        <f>'OM Y0 Initial Investment'!B8</f>
        <v>30000</v>
      </c>
      <c r="C18" s="117"/>
      <c r="D18" s="117"/>
      <c r="E18" s="117"/>
      <c r="F18" s="117"/>
      <c r="G18" s="117"/>
      <c r="H18" s="117"/>
      <c r="I18" s="117" t="s">
        <v>1</v>
      </c>
      <c r="J18" s="225"/>
      <c r="K18" s="225"/>
      <c r="L18" s="225"/>
      <c r="M18" s="225"/>
      <c r="N18" s="225"/>
      <c r="O18" s="225"/>
      <c r="P18" s="225"/>
      <c r="Q18" s="225"/>
      <c r="R18" s="225"/>
      <c r="S18" s="225"/>
      <c r="T18" s="225"/>
      <c r="U18" s="225"/>
    </row>
    <row r="19" spans="1:21" ht="33.950000000000003">
      <c r="A19" s="763" t="s">
        <v>846</v>
      </c>
      <c r="B19" s="765">
        <f>'OM Y0 Initial Investment'!B26</f>
        <v>40088.85</v>
      </c>
      <c r="C19" s="117"/>
      <c r="D19" s="117"/>
      <c r="E19" s="117"/>
      <c r="F19" s="117"/>
      <c r="G19" s="117"/>
      <c r="H19" s="117"/>
      <c r="I19" s="117" t="s">
        <v>0</v>
      </c>
      <c r="J19" s="225"/>
      <c r="K19" s="225"/>
      <c r="L19" s="225"/>
      <c r="M19" s="225"/>
      <c r="N19" s="225"/>
      <c r="O19" s="225"/>
      <c r="P19" s="225"/>
      <c r="Q19" s="225"/>
      <c r="R19" s="225"/>
      <c r="S19" s="225"/>
      <c r="T19" s="225"/>
      <c r="U19" s="225"/>
    </row>
    <row r="20" spans="1:21" ht="33.950000000000003">
      <c r="A20" s="763" t="s">
        <v>847</v>
      </c>
      <c r="B20" s="766">
        <f>('OM Y0 Initial Investment'!B23+'OM Y0 Initial Investment'!B16+'OM Y0 Initial Investment'!B17)+('OM Y0 Initial Investment'!B20+'OM Y0 Initial Investment'!B21+'OM Y0 Initial Investment'!B22)+('OM Y0 Initial Investment'!B13+'OM Y0 Initial Investment'!B14+'OM Y0 Initial Investment'!B15)+('OM IS Expenses Y1-Y5'!C9+'OM IS Expenses Y1-Y5'!C8 + 'OM IS Expenses Y1-Y5'!C7 +'OM IS Expenses Y1-Y5'!C5)</f>
        <v>171557.02266666666</v>
      </c>
      <c r="C20" s="117"/>
      <c r="D20" s="117"/>
      <c r="E20" s="117"/>
      <c r="F20" s="117"/>
      <c r="G20" s="117"/>
      <c r="H20" s="117"/>
      <c r="I20" s="117" t="s">
        <v>848</v>
      </c>
      <c r="J20" s="225"/>
      <c r="K20" s="225"/>
      <c r="L20" s="225"/>
      <c r="M20" s="225"/>
      <c r="N20" s="225"/>
      <c r="O20" s="225"/>
      <c r="P20" s="225"/>
      <c r="Q20" s="225"/>
      <c r="R20" s="225"/>
      <c r="S20" s="225"/>
      <c r="T20" s="225"/>
      <c r="U20" s="225"/>
    </row>
    <row r="21" spans="1:21" ht="17.100000000000001">
      <c r="A21" s="116" t="s">
        <v>849</v>
      </c>
      <c r="B21" s="587">
        <f>SUM(B18:B20)</f>
        <v>241645.87266666666</v>
      </c>
      <c r="C21" s="117"/>
      <c r="D21" s="117"/>
      <c r="E21" s="117"/>
      <c r="F21" s="117"/>
      <c r="G21" s="117"/>
      <c r="H21" s="117"/>
      <c r="I21" s="117"/>
      <c r="J21" s="225"/>
      <c r="K21" s="225"/>
      <c r="L21" s="225"/>
      <c r="M21" s="225"/>
      <c r="N21" s="225"/>
      <c r="O21" s="225"/>
      <c r="P21" s="225"/>
      <c r="Q21" s="225"/>
      <c r="R21" s="225"/>
      <c r="S21" s="225"/>
      <c r="T21" s="225"/>
      <c r="U21" s="225"/>
    </row>
    <row r="22" spans="1:21">
      <c r="A22" s="763"/>
      <c r="B22" s="670"/>
      <c r="C22" s="670"/>
      <c r="D22" s="117"/>
      <c r="E22" s="117"/>
      <c r="F22" s="117"/>
      <c r="G22" s="117"/>
      <c r="H22" s="117"/>
      <c r="I22" s="117"/>
      <c r="J22" s="225"/>
      <c r="K22" s="225"/>
      <c r="L22" s="225"/>
      <c r="M22" s="225"/>
      <c r="N22" s="225"/>
      <c r="O22" s="225"/>
      <c r="P22" s="225"/>
      <c r="Q22" s="225"/>
      <c r="R22" s="225"/>
      <c r="S22" s="225"/>
      <c r="T22" s="225"/>
      <c r="U22" s="225"/>
    </row>
    <row r="23" spans="1:21">
      <c r="A23" s="955" t="s">
        <v>850</v>
      </c>
      <c r="B23" s="955"/>
      <c r="C23" s="955"/>
      <c r="D23" s="955"/>
      <c r="E23" s="955"/>
      <c r="F23" s="955"/>
      <c r="G23" s="955"/>
      <c r="H23" s="117"/>
      <c r="I23" s="117"/>
      <c r="J23" s="225"/>
      <c r="K23" s="225"/>
      <c r="L23" s="225"/>
      <c r="M23" s="225"/>
      <c r="N23" s="225"/>
      <c r="O23" s="225"/>
      <c r="P23" s="225"/>
      <c r="Q23" s="225"/>
      <c r="R23" s="225"/>
      <c r="S23" s="225"/>
      <c r="T23" s="225"/>
      <c r="U23" s="225"/>
    </row>
    <row r="24" spans="1:21">
      <c r="A24" s="120"/>
      <c r="B24" s="120"/>
      <c r="C24" s="120"/>
      <c r="D24" s="120"/>
      <c r="E24" s="120"/>
      <c r="F24" s="120"/>
      <c r="G24" s="120"/>
      <c r="H24" s="117"/>
      <c r="I24" s="117"/>
      <c r="J24" s="225"/>
      <c r="K24" s="225"/>
      <c r="L24" s="225"/>
      <c r="M24" s="225"/>
      <c r="N24" s="225"/>
      <c r="O24" s="225"/>
      <c r="P24" s="225"/>
      <c r="Q24" s="225"/>
      <c r="R24" s="225"/>
      <c r="S24" s="225"/>
      <c r="T24" s="225"/>
      <c r="U24" s="225"/>
    </row>
    <row r="25" spans="1:21" ht="17.100000000000001">
      <c r="A25" s="764" t="s">
        <v>851</v>
      </c>
      <c r="B25" s="117"/>
      <c r="C25" s="117"/>
      <c r="D25" s="117"/>
      <c r="E25" s="117"/>
      <c r="F25" s="117"/>
      <c r="G25" s="117"/>
      <c r="H25" s="117"/>
      <c r="I25" s="117"/>
      <c r="J25" s="225"/>
      <c r="K25" s="225"/>
      <c r="L25" s="225"/>
      <c r="M25" s="225"/>
      <c r="N25" s="225"/>
      <c r="O25" s="225"/>
      <c r="P25" s="225"/>
      <c r="Q25" s="225"/>
      <c r="R25" s="225"/>
      <c r="S25" s="225"/>
      <c r="T25" s="225"/>
      <c r="U25" s="225"/>
    </row>
    <row r="26" spans="1:21" ht="17.100000000000001">
      <c r="A26" s="767" t="s">
        <v>852</v>
      </c>
      <c r="B26" s="768" t="s">
        <v>42</v>
      </c>
      <c r="C26" s="769">
        <f>'MK Avg. Man. Selling Price'!B5*'MK Bases Model (Base Case)'!B13</f>
        <v>22251.899886140935</v>
      </c>
      <c r="D26" s="769">
        <f>'MK Avg. Man. Selling Price'!B15*'MK Bases Model (Base Case)'!C13</f>
        <v>68911.498341985702</v>
      </c>
      <c r="E26" s="769">
        <f>'MK Avg. Man. Selling Price'!B25*'MK Bases Model (Base Case)'!D13</f>
        <v>109456.62229017098</v>
      </c>
      <c r="F26" s="769">
        <f>'MK Avg. Man. Selling Price'!B35*'MK Bases Model (Base Case)'!E13</f>
        <v>130185.64327196541</v>
      </c>
      <c r="G26" s="769">
        <f>'MK Avg. Man. Selling Price'!B45*'MK Bases Model (Base Case)'!F13</f>
        <v>162910.74538062184</v>
      </c>
      <c r="H26" s="117"/>
      <c r="I26" s="117" t="s">
        <v>0</v>
      </c>
      <c r="J26" s="225"/>
      <c r="K26" s="225"/>
      <c r="L26" s="225"/>
      <c r="M26" s="225"/>
      <c r="N26" s="225"/>
      <c r="O26" s="225"/>
      <c r="P26" s="225"/>
      <c r="Q26" s="225"/>
      <c r="R26" s="225"/>
      <c r="S26" s="225"/>
      <c r="T26" s="225"/>
      <c r="U26" s="225"/>
    </row>
    <row r="27" spans="1:21" ht="17.100000000000001">
      <c r="A27" s="770" t="s">
        <v>853</v>
      </c>
      <c r="B27" s="117"/>
      <c r="C27" s="771">
        <f>'MK Avg. Man. Selling Price'!B6*'MK Bases Model (Base Case)'!B13</f>
        <v>77858.292113859105</v>
      </c>
      <c r="D27" s="771">
        <f>'MK Avg. Man. Selling Price'!B16*'MK Bases Model (Base Case)'!C13</f>
        <v>136998.81183199014</v>
      </c>
      <c r="E27" s="771">
        <f>'MK Avg. Man. Selling Price'!B26*'MK Bases Model (Base Case)'!D13</f>
        <v>163836.10670375134</v>
      </c>
      <c r="F27" s="771">
        <f>'MK Avg. Man. Selling Price'!B36*'MK Bases Model (Base Case)'!E13</f>
        <v>164055.69216280128</v>
      </c>
      <c r="G27" s="771">
        <f>'MK Avg. Man. Selling Price'!B46*'MK Bases Model (Base Case)'!F13</f>
        <v>183273.42755562306</v>
      </c>
      <c r="H27" s="117"/>
      <c r="I27" s="117" t="s">
        <v>0</v>
      </c>
      <c r="J27" s="225"/>
      <c r="K27" s="225"/>
      <c r="L27" s="225"/>
      <c r="M27" s="225"/>
      <c r="N27" s="225"/>
      <c r="O27" s="225"/>
      <c r="P27" s="225"/>
      <c r="Q27" s="225"/>
      <c r="R27" s="225"/>
      <c r="S27" s="225"/>
      <c r="T27" s="225"/>
      <c r="U27" s="225"/>
    </row>
    <row r="28" spans="1:21" ht="17.100000000000001">
      <c r="A28" s="770" t="s">
        <v>854</v>
      </c>
      <c r="B28" s="117"/>
      <c r="C28" s="772" t="s">
        <v>89</v>
      </c>
      <c r="D28" s="772" t="s">
        <v>89</v>
      </c>
      <c r="E28" s="771">
        <f>'MK Avg. Man. Selling Price'!B27*'MK Bases Model (Base Case)'!D13</f>
        <v>3545.2396200166431</v>
      </c>
      <c r="F28" s="771">
        <f>('MK Avg. Man. Selling Price'!B37*'MK Bases Model (Base Case)'!E13) + ('MK Avg. Man. Selling Price'!B38*'MK Bases Model (Base Case)'!E13)</f>
        <v>23524.238553090403</v>
      </c>
      <c r="G28" s="771">
        <f>('MK Avg. Man. Selling Price'!B47*'MK Bases Model (Base Case)'!F13) + ('MK Avg. Man. Selling Price'!B48*'MK Bases Model (Base Case)'!F13)</f>
        <v>34570.993636929372</v>
      </c>
      <c r="H28" s="117"/>
      <c r="I28" s="117" t="s">
        <v>0</v>
      </c>
      <c r="J28" s="225"/>
      <c r="K28" s="225"/>
      <c r="L28" s="225"/>
      <c r="M28" s="225"/>
      <c r="N28" s="225"/>
      <c r="O28" s="225"/>
      <c r="P28" s="225"/>
      <c r="Q28" s="225"/>
      <c r="R28" s="225"/>
      <c r="S28" s="225"/>
      <c r="T28" s="225"/>
      <c r="U28" s="225"/>
    </row>
    <row r="29" spans="1:21" ht="17.100000000000001">
      <c r="A29" s="773" t="s">
        <v>855</v>
      </c>
      <c r="B29" s="774" t="s">
        <v>42</v>
      </c>
      <c r="C29" s="775" t="s">
        <v>89</v>
      </c>
      <c r="D29" s="775" t="s">
        <v>89</v>
      </c>
      <c r="E29" s="775" t="s">
        <v>89</v>
      </c>
      <c r="F29" s="776">
        <f>'MK Avg. Man. Selling Price'!B39*'MK Bases Model (Base Case)'!E13</f>
        <v>35445.213212797789</v>
      </c>
      <c r="G29" s="776">
        <f>'MK Avg. Man. Selling Price'!B49*'MK Bases Model (Base Case)'!F13</f>
        <v>55436.247791414266</v>
      </c>
      <c r="H29" s="117"/>
      <c r="I29" s="117" t="s">
        <v>0</v>
      </c>
      <c r="J29" s="225"/>
      <c r="K29" s="225"/>
      <c r="L29" s="225"/>
      <c r="M29" s="225"/>
      <c r="N29" s="225"/>
      <c r="O29" s="225"/>
      <c r="P29" s="225"/>
      <c r="Q29" s="225"/>
      <c r="R29" s="225"/>
      <c r="S29" s="225"/>
      <c r="T29" s="225"/>
      <c r="U29" s="225"/>
    </row>
    <row r="30" spans="1:21" ht="17.100000000000001">
      <c r="A30" s="777" t="s">
        <v>856</v>
      </c>
      <c r="B30" s="778" t="s">
        <v>833</v>
      </c>
      <c r="C30" s="779">
        <f>'MK Bases Model (Base Case)'!B13</f>
        <v>100110.19200000004</v>
      </c>
      <c r="D30" s="779">
        <f>'MK Bases Model (Base Case)'!C13</f>
        <v>205910.31017397586</v>
      </c>
      <c r="E30" s="779">
        <f>'MK Bases Model (Base Case)'!D13</f>
        <v>276837.96861393895</v>
      </c>
      <c r="F30" s="779">
        <f>'MK Bases Model (Base Case)'!E13</f>
        <v>353210.78720065486</v>
      </c>
      <c r="G30" s="779">
        <f>'MK Bases Model (Base Case)'!F13</f>
        <v>436191.41436458856</v>
      </c>
      <c r="H30" s="117" t="s">
        <v>833</v>
      </c>
      <c r="I30" s="117"/>
      <c r="J30" s="225"/>
      <c r="K30" s="225"/>
      <c r="L30" s="225"/>
      <c r="M30" s="225"/>
      <c r="N30" s="225"/>
      <c r="O30" s="225"/>
      <c r="P30" s="225"/>
      <c r="Q30" s="225"/>
      <c r="R30" s="225"/>
      <c r="S30" s="225"/>
      <c r="T30" s="225"/>
      <c r="U30" s="225"/>
    </row>
    <row r="31" spans="1:21">
      <c r="A31" s="116"/>
      <c r="B31" s="117"/>
      <c r="C31" s="117"/>
      <c r="D31" s="117"/>
      <c r="E31" s="780"/>
      <c r="F31" s="117"/>
      <c r="G31" s="117"/>
      <c r="H31" s="117"/>
      <c r="I31" s="117"/>
      <c r="J31" s="225"/>
      <c r="K31" s="225"/>
      <c r="L31" s="225"/>
      <c r="M31" s="225"/>
      <c r="N31" s="225"/>
      <c r="O31" s="225"/>
      <c r="P31" s="225"/>
      <c r="Q31" s="225"/>
      <c r="R31" s="225"/>
      <c r="S31" s="225"/>
      <c r="T31" s="225"/>
      <c r="U31" s="225"/>
    </row>
    <row r="32" spans="1:21" ht="17.100000000000001">
      <c r="A32" s="764" t="s">
        <v>857</v>
      </c>
      <c r="B32" s="117"/>
      <c r="C32" s="117"/>
      <c r="D32" s="117"/>
      <c r="E32" s="117"/>
      <c r="F32" s="117"/>
      <c r="G32" s="117"/>
      <c r="H32" s="117"/>
      <c r="I32" s="117"/>
      <c r="J32" s="225"/>
      <c r="K32" s="225"/>
      <c r="L32" s="225"/>
      <c r="M32" s="225"/>
      <c r="N32" s="225"/>
      <c r="O32" s="225"/>
      <c r="P32" s="225"/>
      <c r="Q32" s="225"/>
      <c r="R32" s="225"/>
      <c r="S32" s="225"/>
      <c r="T32" s="225"/>
      <c r="U32" s="225"/>
    </row>
    <row r="33" spans="1:21" ht="17.100000000000001">
      <c r="A33" s="767" t="s">
        <v>858</v>
      </c>
      <c r="B33" s="768" t="s">
        <v>42</v>
      </c>
      <c r="C33" s="781">
        <f>'MK Avg. Man. Selling Price'!C5</f>
        <v>12.5</v>
      </c>
      <c r="D33" s="781">
        <f>'MK Avg. Man. Selling Price'!C15</f>
        <v>12.5</v>
      </c>
      <c r="E33" s="781">
        <f>'MK Avg. Man. Selling Price'!C25</f>
        <v>12.5</v>
      </c>
      <c r="F33" s="782">
        <f>'MK Avg. Man. Selling Price'!C35</f>
        <v>12</v>
      </c>
      <c r="G33" s="782">
        <f>'MK Avg. Man. Selling Price'!C45</f>
        <v>11.5</v>
      </c>
      <c r="H33" s="117"/>
      <c r="I33" s="117" t="s">
        <v>0</v>
      </c>
      <c r="J33" s="225"/>
      <c r="K33" s="225"/>
      <c r="L33" s="225"/>
      <c r="M33" s="225"/>
      <c r="N33" s="225"/>
      <c r="O33" s="225"/>
      <c r="P33" s="225"/>
      <c r="Q33" s="225"/>
      <c r="R33" s="225"/>
      <c r="S33" s="225"/>
      <c r="T33" s="225"/>
      <c r="U33" s="225"/>
    </row>
    <row r="34" spans="1:21" ht="17.100000000000001">
      <c r="A34" s="770" t="s">
        <v>859</v>
      </c>
      <c r="B34" s="117"/>
      <c r="C34" s="783">
        <f>'MK Avg. Man. Selling Price'!C6</f>
        <v>13.799999999999999</v>
      </c>
      <c r="D34" s="783">
        <f>'MK Avg. Man. Selling Price'!C16</f>
        <v>13.799999999999999</v>
      </c>
      <c r="E34" s="783">
        <f>'MK Avg. Man. Selling Price'!C26</f>
        <v>13.2</v>
      </c>
      <c r="F34" s="783">
        <f>'MK Avg. Man. Selling Price'!C36</f>
        <v>12.6</v>
      </c>
      <c r="G34" s="784">
        <f>'MK Avg. Man. Selling Price'!C46</f>
        <v>12</v>
      </c>
      <c r="H34" s="117"/>
      <c r="I34" s="117" t="s">
        <v>0</v>
      </c>
      <c r="J34" s="225"/>
      <c r="K34" s="225"/>
      <c r="L34" s="225"/>
      <c r="M34" s="225"/>
      <c r="N34" s="225"/>
      <c r="O34" s="225"/>
      <c r="P34" s="225"/>
      <c r="Q34" s="225"/>
      <c r="R34" s="225"/>
      <c r="S34" s="225"/>
      <c r="T34" s="225"/>
      <c r="U34" s="225"/>
    </row>
    <row r="35" spans="1:21" ht="17.100000000000001">
      <c r="A35" s="770" t="s">
        <v>860</v>
      </c>
      <c r="B35" s="117"/>
      <c r="C35" s="785" t="s">
        <v>89</v>
      </c>
      <c r="D35" s="785" t="s">
        <v>89</v>
      </c>
      <c r="E35" s="783">
        <f>'MK Avg. Man. Selling Price'!C27</f>
        <v>12.1</v>
      </c>
      <c r="F35" s="783">
        <f>'MK Avg. Man. Selling Price'!C37</f>
        <v>11.549999999999999</v>
      </c>
      <c r="G35" s="784">
        <f>'MK Avg. Man. Selling Price'!C47</f>
        <v>11</v>
      </c>
      <c r="H35" s="117"/>
      <c r="I35" s="117" t="s">
        <v>0</v>
      </c>
      <c r="J35" s="225"/>
      <c r="K35" s="225"/>
      <c r="L35" s="225"/>
      <c r="M35" s="225"/>
      <c r="N35" s="225"/>
      <c r="O35" s="225"/>
      <c r="P35" s="225"/>
      <c r="Q35" s="225"/>
      <c r="R35" s="225"/>
      <c r="S35" s="225"/>
      <c r="T35" s="225"/>
      <c r="U35" s="225"/>
    </row>
    <row r="36" spans="1:21" ht="17.100000000000001">
      <c r="A36" s="773" t="s">
        <v>861</v>
      </c>
      <c r="B36" s="774" t="s">
        <v>42</v>
      </c>
      <c r="C36" s="786" t="s">
        <v>89</v>
      </c>
      <c r="D36" s="786" t="s">
        <v>89</v>
      </c>
      <c r="E36" s="786" t="s">
        <v>89</v>
      </c>
      <c r="F36" s="787">
        <f>'MK Avg. Man. Selling Price'!C39</f>
        <v>11.399999999999999</v>
      </c>
      <c r="G36" s="787">
        <f>'MK Avg. Man. Selling Price'!C49</f>
        <v>10.8</v>
      </c>
      <c r="H36" s="117"/>
      <c r="I36" s="117" t="s">
        <v>0</v>
      </c>
      <c r="J36" s="225"/>
      <c r="K36" s="225"/>
      <c r="L36" s="225"/>
      <c r="M36" s="225"/>
      <c r="N36" s="225"/>
      <c r="O36" s="225"/>
      <c r="P36" s="225"/>
      <c r="Q36" s="225"/>
      <c r="R36" s="225"/>
      <c r="S36" s="225"/>
      <c r="T36" s="225"/>
      <c r="U36" s="225"/>
    </row>
    <row r="37" spans="1:21" ht="17.100000000000001">
      <c r="A37" s="777" t="s">
        <v>862</v>
      </c>
      <c r="B37" s="778" t="s">
        <v>42</v>
      </c>
      <c r="C37" s="788">
        <f>'MK Bases Model (Base Case)'!B14</f>
        <v>13.149999999999999</v>
      </c>
      <c r="D37" s="788">
        <f>'MK Bases Model (Base Case)'!C14</f>
        <v>13.149999999999999</v>
      </c>
      <c r="E37" s="788">
        <f>'MK Bases Model (Base Case)'!D14</f>
        <v>12.6</v>
      </c>
      <c r="F37" s="788">
        <f>'MK Bases Model (Base Case)'!E14</f>
        <v>11.819999999999999</v>
      </c>
      <c r="G37" s="788">
        <f>'MK Bases Model (Base Case)'!F14</f>
        <v>11.26</v>
      </c>
      <c r="H37" s="117"/>
      <c r="I37" s="117"/>
      <c r="J37" s="225"/>
      <c r="K37" s="225"/>
      <c r="L37" s="225"/>
      <c r="M37" s="225"/>
      <c r="N37" s="225"/>
      <c r="O37" s="225"/>
      <c r="P37" s="225"/>
      <c r="Q37" s="225"/>
      <c r="R37" s="225"/>
      <c r="S37" s="225"/>
      <c r="T37" s="225"/>
      <c r="U37" s="225"/>
    </row>
    <row r="38" spans="1:21" ht="18" customHeight="1">
      <c r="A38" s="116"/>
      <c r="B38" s="117"/>
      <c r="C38" s="117"/>
      <c r="D38" s="117"/>
      <c r="E38" s="117"/>
      <c r="F38" s="117"/>
      <c r="G38" s="117"/>
      <c r="H38" s="117"/>
      <c r="I38" s="117"/>
      <c r="J38" s="225"/>
      <c r="K38" s="225"/>
      <c r="L38" s="225"/>
      <c r="M38" s="225"/>
      <c r="N38" s="225"/>
      <c r="O38" s="225"/>
      <c r="P38" s="225"/>
      <c r="Q38" s="225"/>
      <c r="R38" s="225"/>
      <c r="S38" s="225"/>
      <c r="T38" s="225"/>
      <c r="U38" s="225"/>
    </row>
    <row r="39" spans="1:21" ht="17.100000000000001">
      <c r="A39" s="764" t="s">
        <v>863</v>
      </c>
      <c r="B39" s="117"/>
      <c r="C39" s="117"/>
      <c r="D39" s="117"/>
      <c r="E39" s="117"/>
      <c r="F39" s="117"/>
      <c r="G39" s="117"/>
      <c r="H39" s="117"/>
      <c r="I39" s="117"/>
      <c r="J39" s="225"/>
      <c r="K39" s="225"/>
      <c r="L39" s="225"/>
      <c r="M39" s="225"/>
      <c r="N39" s="225"/>
      <c r="O39" s="225"/>
      <c r="P39" s="225"/>
      <c r="Q39" s="225"/>
      <c r="R39" s="225"/>
      <c r="S39" s="225"/>
      <c r="T39" s="225"/>
      <c r="U39" s="225"/>
    </row>
    <row r="40" spans="1:21">
      <c r="A40" s="789" t="s">
        <v>864</v>
      </c>
      <c r="B40" s="768" t="s">
        <v>42</v>
      </c>
      <c r="C40" s="659">
        <f>'OM Final COGS Y1-Y5'!C14+'OM Final COGS Y1-Y5'!C13</f>
        <v>4.9370809247474021</v>
      </c>
      <c r="D40" s="659">
        <f>'OM Final COGS Y1-Y5'!D14+'OM Final COGS Y1-Y5'!D13</f>
        <v>4.3873412113981338</v>
      </c>
      <c r="E40" s="659">
        <f>'OM Final COGS Y1-Y5'!E14+'OM Final COGS Y1-Y5'!E13</f>
        <v>4.4710975101641814</v>
      </c>
      <c r="F40" s="659">
        <f>'OM Final COGS Y1-Y5'!F14+'OM Final COGS Y1-Y5'!F13</f>
        <v>4.350720717490729</v>
      </c>
      <c r="G40" s="659">
        <f>'OM Final COGS Y1-Y5'!G14+'OM Final COGS Y1-Y5'!G13</f>
        <v>4.2516160558082152</v>
      </c>
      <c r="H40" s="117"/>
      <c r="I40" s="117" t="s">
        <v>1</v>
      </c>
      <c r="J40" s="225"/>
      <c r="K40" s="225"/>
      <c r="L40" s="225"/>
      <c r="M40" s="225"/>
      <c r="N40" s="225"/>
      <c r="O40" s="225"/>
      <c r="P40" s="225"/>
      <c r="Q40" s="225"/>
      <c r="R40" s="225"/>
      <c r="S40" s="225"/>
      <c r="T40" s="225"/>
      <c r="U40" s="225"/>
    </row>
    <row r="41" spans="1:21" ht="17.100000000000001">
      <c r="A41" s="226" t="s">
        <v>865</v>
      </c>
      <c r="B41" s="117"/>
      <c r="C41" s="660">
        <f>'OM Final COGS Y1-Y5'!C16*'MK Bases Model (Base Case)'!B13</f>
        <v>75597.419089600022</v>
      </c>
      <c r="D41" s="660">
        <f>'OM Final COGS Y1-Y5'!D16*'MK Bases Model (Base Case)'!C13</f>
        <v>143505.04430782012</v>
      </c>
      <c r="E41" s="660">
        <f>'OM Final COGS Y1-Y5'!E16*'MK Bases Model (Base Case)'!D13</f>
        <v>193403.15940007521</v>
      </c>
      <c r="F41" s="660">
        <f>'OM Final COGS Y1-Y5'!F16*'MK Bases Model (Base Case)'!E13</f>
        <v>243753.29880966045</v>
      </c>
      <c r="G41" s="660">
        <f>'OM Final COGS Y1-Y5'!G16*'MK Bases Model (Base Case)'!F13</f>
        <v>294874.33006173326</v>
      </c>
      <c r="H41" s="117"/>
      <c r="I41" s="117" t="s">
        <v>1</v>
      </c>
      <c r="J41" s="225"/>
      <c r="K41" s="225"/>
      <c r="L41" s="225"/>
      <c r="M41" s="225"/>
      <c r="N41" s="225"/>
      <c r="O41" s="225"/>
      <c r="P41" s="225"/>
      <c r="Q41" s="225"/>
      <c r="R41" s="225"/>
      <c r="S41" s="225"/>
      <c r="T41" s="225"/>
      <c r="U41" s="225"/>
    </row>
    <row r="42" spans="1:21" ht="17.100000000000001">
      <c r="A42" s="790" t="s">
        <v>866</v>
      </c>
      <c r="B42" s="117"/>
      <c r="C42" s="589">
        <f>(C40*'MK Bases Model (Base Case)'!B13)+'FE Assumptions'!C41</f>
        <v>569849.5383856002</v>
      </c>
      <c r="D42" s="589">
        <f>(D40*'MK Bases Model (Base Case)'!C13)+'FE Assumptions'!D41</f>
        <v>1046903.8339858769</v>
      </c>
      <c r="E42" s="589">
        <f>(E40*'MK Bases Model (Base Case)'!D13)+'FE Assumptions'!E41</f>
        <v>1431172.7115887674</v>
      </c>
      <c r="F42" s="589">
        <f>(F40*'MK Bases Model (Base Case)'!E13)+'FE Assumptions'!F41</f>
        <v>1780474.7883247586</v>
      </c>
      <c r="G42" s="589">
        <f>(G40*'MK Bases Model (Base Case)'!F13)+'FE Assumptions'!G41</f>
        <v>2149392.7507799119</v>
      </c>
      <c r="H42" s="117"/>
      <c r="I42" s="117"/>
      <c r="J42" s="225"/>
      <c r="K42" s="225"/>
      <c r="L42" s="225"/>
      <c r="M42" s="225"/>
      <c r="N42" s="225"/>
      <c r="O42" s="225"/>
      <c r="P42" s="225"/>
      <c r="Q42" s="225"/>
      <c r="R42" s="225"/>
      <c r="S42" s="225"/>
      <c r="T42" s="225"/>
      <c r="U42" s="225"/>
    </row>
    <row r="43" spans="1:21" ht="17.100000000000001">
      <c r="A43" s="773" t="s">
        <v>867</v>
      </c>
      <c r="B43" s="774" t="s">
        <v>42</v>
      </c>
      <c r="C43" s="791">
        <f>'OM Manufacturing OH Y1-Y5'!C13</f>
        <v>31468.63</v>
      </c>
      <c r="D43" s="791">
        <f>'OM Manufacturing OH Y1-Y5'!D13</f>
        <v>58057.94</v>
      </c>
      <c r="E43" s="791">
        <f>'OM Manufacturing OH Y1-Y5'!E13</f>
        <v>59534.714000000007</v>
      </c>
      <c r="F43" s="791">
        <f>'OM Manufacturing OH Y1-Y5'!F13</f>
        <v>88426.688020000001</v>
      </c>
      <c r="G43" s="791">
        <f>'OM Manufacturing OH Y1-Y5'!G13</f>
        <v>90984.626860600009</v>
      </c>
      <c r="H43" s="117"/>
      <c r="I43" s="117" t="s">
        <v>1</v>
      </c>
      <c r="J43" s="225"/>
      <c r="K43" s="225"/>
      <c r="L43" s="225"/>
      <c r="M43" s="225"/>
      <c r="N43" s="225"/>
      <c r="O43" s="225"/>
      <c r="P43" s="225"/>
      <c r="Q43" s="225"/>
      <c r="R43" s="225"/>
      <c r="S43" s="225"/>
      <c r="T43" s="225"/>
      <c r="U43" s="225"/>
    </row>
    <row r="44" spans="1:21" ht="17.100000000000001">
      <c r="A44" s="777" t="s">
        <v>868</v>
      </c>
      <c r="B44" s="778" t="s">
        <v>42</v>
      </c>
      <c r="C44" s="667">
        <f>C42+C43</f>
        <v>601318.16838560021</v>
      </c>
      <c r="D44" s="667">
        <f>D42+D43</f>
        <v>1104961.7739858769</v>
      </c>
      <c r="E44" s="667">
        <f>E42+E43</f>
        <v>1490707.4255887673</v>
      </c>
      <c r="F44" s="667">
        <f>F42+F43</f>
        <v>1868901.4763447586</v>
      </c>
      <c r="G44" s="667">
        <f>G42+G43</f>
        <v>2240377.3776405118</v>
      </c>
      <c r="H44" s="117"/>
      <c r="I44" s="117"/>
      <c r="J44" s="225"/>
      <c r="K44" s="225"/>
      <c r="L44" s="225"/>
      <c r="M44" s="225"/>
      <c r="N44" s="225"/>
      <c r="O44" s="225"/>
      <c r="P44" s="225"/>
      <c r="Q44" s="225"/>
      <c r="R44" s="225"/>
      <c r="S44" s="225"/>
      <c r="T44" s="225"/>
      <c r="U44" s="225"/>
    </row>
    <row r="45" spans="1:21" ht="17.25" customHeight="1">
      <c r="A45" s="763"/>
      <c r="B45" s="117"/>
      <c r="C45" s="65"/>
      <c r="D45" s="65"/>
      <c r="E45" s="65"/>
      <c r="F45" s="65"/>
      <c r="G45" s="65"/>
      <c r="H45" s="117"/>
      <c r="I45" s="117"/>
      <c r="J45" s="225"/>
      <c r="K45" s="225"/>
      <c r="L45" s="225"/>
      <c r="M45" s="225"/>
      <c r="N45" s="225"/>
      <c r="O45" s="225"/>
      <c r="P45" s="225"/>
      <c r="Q45" s="225"/>
      <c r="R45" s="225"/>
      <c r="S45" s="225"/>
      <c r="T45" s="225"/>
      <c r="U45" s="225"/>
    </row>
    <row r="46" spans="1:21" ht="17.100000000000001">
      <c r="A46" s="764" t="s">
        <v>869</v>
      </c>
      <c r="B46" s="117"/>
      <c r="C46" s="117"/>
      <c r="D46" s="117"/>
      <c r="E46" s="117"/>
      <c r="F46" s="117"/>
      <c r="G46" s="117"/>
      <c r="H46" s="117"/>
      <c r="I46" s="117"/>
      <c r="J46" s="225"/>
      <c r="K46" s="225"/>
      <c r="L46" s="225"/>
      <c r="M46" s="225"/>
      <c r="N46" s="225"/>
      <c r="O46" s="225"/>
      <c r="P46" s="225"/>
      <c r="Q46" s="225"/>
      <c r="R46" s="225"/>
      <c r="S46" s="225"/>
      <c r="T46" s="225"/>
      <c r="U46" s="225"/>
    </row>
    <row r="47" spans="1:21" ht="16.5" customHeight="1">
      <c r="A47" s="763" t="s">
        <v>870</v>
      </c>
      <c r="B47" s="117"/>
      <c r="C47" s="658">
        <v>0</v>
      </c>
      <c r="D47" s="658">
        <v>0</v>
      </c>
      <c r="E47" s="658">
        <v>0</v>
      </c>
      <c r="F47" s="658">
        <v>0</v>
      </c>
      <c r="G47" s="658">
        <v>0</v>
      </c>
      <c r="H47" s="117"/>
      <c r="I47" s="117" t="s">
        <v>1</v>
      </c>
      <c r="J47" s="225"/>
      <c r="K47" s="225"/>
      <c r="L47" s="225"/>
      <c r="M47" s="225"/>
      <c r="N47" s="225"/>
      <c r="O47" s="225"/>
      <c r="P47" s="225"/>
      <c r="Q47" s="225"/>
      <c r="R47" s="225"/>
      <c r="S47" s="225"/>
      <c r="T47" s="225"/>
      <c r="U47" s="225"/>
    </row>
    <row r="48" spans="1:21" ht="16.5" customHeight="1">
      <c r="A48" s="763" t="s">
        <v>871</v>
      </c>
      <c r="B48" s="117"/>
      <c r="C48" s="662">
        <f>SUM('OM S&amp;M and G&amp;A Expenses Y1-Y5'!C5:C8)</f>
        <v>452483.63</v>
      </c>
      <c r="D48" s="662">
        <f>SUM('OM S&amp;M and G&amp;A Expenses Y1-Y5'!E5:E8)</f>
        <v>469795.14</v>
      </c>
      <c r="E48" s="662">
        <f>SUM('OM S&amp;M and G&amp;A Expenses Y1-Y5'!G5:G8)</f>
        <v>753445.78</v>
      </c>
      <c r="F48" s="662">
        <f>SUM('OM S&amp;M and G&amp;A Expenses Y1-Y5'!I5:I8)</f>
        <v>881137.33600000013</v>
      </c>
      <c r="G48" s="662">
        <f>SUM('OM S&amp;M and G&amp;A Expenses Y1-Y5'!K5:K8)</f>
        <v>912750.36927999998</v>
      </c>
      <c r="H48" s="117"/>
      <c r="I48" s="117" t="s">
        <v>1</v>
      </c>
      <c r="J48" s="225"/>
      <c r="K48" s="225"/>
      <c r="L48" s="225"/>
      <c r="M48" s="225"/>
      <c r="N48" s="225"/>
      <c r="O48" s="225"/>
      <c r="P48" s="225"/>
      <c r="Q48" s="225"/>
      <c r="R48" s="225"/>
      <c r="S48" s="225"/>
      <c r="T48" s="225"/>
      <c r="U48" s="225"/>
    </row>
    <row r="49" spans="1:21" ht="17.100000000000001">
      <c r="A49" s="770" t="s">
        <v>872</v>
      </c>
      <c r="B49" s="117"/>
      <c r="C49" s="765">
        <f>'MK IMC Schedule Y1-Y5'!N28</f>
        <v>267259</v>
      </c>
      <c r="D49" s="765">
        <f>'MK IMC Schedule Y1-Y5'!AE34</f>
        <v>347120</v>
      </c>
      <c r="E49" s="765">
        <f>'MK IMC Schedule Y1-Y5'!AV33</f>
        <v>389083</v>
      </c>
      <c r="F49" s="765">
        <f>'MK IMC Schedule Y1-Y5'!BM34</f>
        <v>432043</v>
      </c>
      <c r="G49" s="765">
        <f>'MK IMC Schedule Y1-Y5'!CD34</f>
        <v>472676</v>
      </c>
      <c r="H49" s="117"/>
      <c r="I49" s="117" t="s">
        <v>0</v>
      </c>
      <c r="J49" s="225"/>
      <c r="K49" s="225"/>
      <c r="L49" s="225"/>
      <c r="M49" s="225"/>
      <c r="N49" s="225"/>
      <c r="O49" s="225"/>
      <c r="P49" s="225"/>
      <c r="Q49" s="225"/>
      <c r="R49" s="225"/>
      <c r="S49" s="225"/>
      <c r="T49" s="225"/>
      <c r="U49" s="225"/>
    </row>
    <row r="50" spans="1:21" ht="17.100000000000001">
      <c r="A50" s="770" t="s">
        <v>873</v>
      </c>
      <c r="B50" s="778" t="s">
        <v>42</v>
      </c>
      <c r="C50" s="765">
        <f>B69*(C26*C37)</f>
        <v>29261.248350275328</v>
      </c>
      <c r="D50" s="765">
        <f>B69*(D26*D37)</f>
        <v>90618.62031971119</v>
      </c>
      <c r="E50" s="765">
        <f>B69*((E26+E28)*E37)</f>
        <v>142382.34600683639</v>
      </c>
      <c r="F50" s="765">
        <f>B69*((F26+F28+F29)*F37)</f>
        <v>223581.32233474293</v>
      </c>
      <c r="G50" s="765">
        <f>B69*((G26+G28+G29)*G37)</f>
        <v>284785.65314689511</v>
      </c>
      <c r="H50" s="117"/>
      <c r="I50" s="117" t="s">
        <v>0</v>
      </c>
      <c r="J50" s="225"/>
      <c r="K50" s="225"/>
      <c r="L50" s="225"/>
      <c r="M50" s="225"/>
      <c r="N50" s="225"/>
      <c r="O50" s="225"/>
      <c r="P50" s="225"/>
      <c r="Q50" s="225"/>
      <c r="R50" s="225"/>
      <c r="S50" s="225"/>
      <c r="T50" s="225"/>
      <c r="U50" s="225"/>
    </row>
    <row r="51" spans="1:21" ht="17.100000000000001">
      <c r="A51" s="764" t="s">
        <v>874</v>
      </c>
      <c r="B51" s="117"/>
      <c r="C51" s="792">
        <f>'OM IS Expenses Y1-Y5'!D10+'OM IS Expenses Y1-Y5'!D14+'OM IS Expenses Y1-Y5'!D15</f>
        <v>4995</v>
      </c>
      <c r="D51" s="792">
        <f>'OM IS Expenses Y1-Y5'!E10+'OM IS Expenses Y1-Y5'!E14+'OM IS Expenses Y1-Y5'!E15</f>
        <v>4995</v>
      </c>
      <c r="E51" s="792">
        <f>'OM IS Expenses Y1-Y5'!F10+'OM IS Expenses Y1-Y5'!F14+'OM IS Expenses Y1-Y5'!F15</f>
        <v>8195</v>
      </c>
      <c r="F51" s="792">
        <f>'OM IS Expenses Y1-Y5'!G10+'OM IS Expenses Y1-Y5'!G14+'OM IS Expenses Y1-Y5'!G15</f>
        <v>9595</v>
      </c>
      <c r="G51" s="792">
        <f>'OM IS Expenses Y1-Y5'!H10+'OM IS Expenses Y1-Y5'!H14+'OM IS Expenses Y1-Y5'!H15</f>
        <v>9595</v>
      </c>
      <c r="H51" s="117"/>
      <c r="I51" s="117"/>
      <c r="J51" s="225"/>
      <c r="K51" s="225"/>
      <c r="L51" s="225"/>
      <c r="M51" s="225"/>
      <c r="N51" s="225"/>
      <c r="O51" s="225"/>
      <c r="P51" s="225"/>
      <c r="Q51" s="225"/>
      <c r="R51" s="225"/>
      <c r="S51" s="225"/>
      <c r="T51" s="225"/>
      <c r="U51" s="225"/>
    </row>
    <row r="52" spans="1:21" ht="17.100000000000001">
      <c r="A52" s="793" t="s">
        <v>875</v>
      </c>
      <c r="B52" s="794" t="s">
        <v>42</v>
      </c>
      <c r="C52" s="795">
        <f>SUM(C47:C51)</f>
        <v>753998.87835027534</v>
      </c>
      <c r="D52" s="795">
        <f>SUM(D47:D51)</f>
        <v>912528.76031971117</v>
      </c>
      <c r="E52" s="795">
        <f>SUM(E47:E51)</f>
        <v>1293106.1260068365</v>
      </c>
      <c r="F52" s="795">
        <f>SUM(F47:F51)</f>
        <v>1546356.658334743</v>
      </c>
      <c r="G52" s="795">
        <f>SUM(G47:G51)</f>
        <v>1679807.0224268951</v>
      </c>
      <c r="H52" s="117" t="s">
        <v>833</v>
      </c>
      <c r="I52" s="117" t="s">
        <v>1</v>
      </c>
      <c r="J52" s="225"/>
      <c r="K52" s="225"/>
      <c r="L52" s="225"/>
      <c r="M52" s="225"/>
      <c r="N52" s="225"/>
      <c r="O52" s="225"/>
      <c r="P52" s="225"/>
      <c r="Q52" s="225"/>
      <c r="R52" s="225"/>
      <c r="S52" s="225"/>
      <c r="T52" s="225"/>
      <c r="U52" s="225"/>
    </row>
    <row r="53" spans="1:21">
      <c r="A53" s="763"/>
      <c r="B53" s="117"/>
      <c r="C53" s="117"/>
      <c r="D53" s="117"/>
      <c r="E53" s="117"/>
      <c r="F53" s="117"/>
      <c r="G53" s="117"/>
      <c r="H53" s="117"/>
      <c r="I53" s="117"/>
      <c r="J53" s="225"/>
      <c r="K53" s="225"/>
      <c r="L53" s="225"/>
      <c r="M53" s="225"/>
      <c r="N53" s="225"/>
      <c r="O53" s="225"/>
      <c r="P53" s="225"/>
      <c r="Q53" s="225"/>
      <c r="R53" s="225"/>
      <c r="S53" s="225"/>
      <c r="T53" s="225"/>
      <c r="U53" s="225"/>
    </row>
    <row r="54" spans="1:21" ht="15.75" customHeight="1">
      <c r="A54" s="950" t="s">
        <v>876</v>
      </c>
      <c r="B54" s="950"/>
      <c r="C54" s="950"/>
      <c r="D54" s="950"/>
      <c r="E54" s="950"/>
      <c r="F54" s="950"/>
      <c r="G54" s="950"/>
      <c r="H54" s="117"/>
      <c r="I54" s="117"/>
      <c r="J54" s="225"/>
      <c r="K54" s="225"/>
      <c r="L54" s="225"/>
      <c r="M54" s="225"/>
      <c r="N54" s="225"/>
      <c r="O54" s="225"/>
      <c r="P54" s="225"/>
      <c r="Q54" s="225"/>
      <c r="R54" s="225"/>
      <c r="S54" s="225"/>
      <c r="T54" s="225"/>
      <c r="U54" s="225"/>
    </row>
    <row r="55" spans="1:21" ht="15" customHeight="1">
      <c r="A55" s="116" t="s">
        <v>832</v>
      </c>
      <c r="B55" s="116"/>
      <c r="C55" s="116" t="s">
        <v>877</v>
      </c>
      <c r="D55" s="116"/>
      <c r="E55" s="116"/>
      <c r="F55" s="116"/>
      <c r="G55" s="116"/>
      <c r="H55" s="117"/>
      <c r="I55" s="117"/>
      <c r="J55" s="225"/>
      <c r="K55" s="225"/>
      <c r="L55" s="225"/>
      <c r="M55" s="225"/>
      <c r="N55" s="225"/>
      <c r="O55" s="225"/>
      <c r="P55" s="225"/>
      <c r="Q55" s="225"/>
      <c r="R55" s="225"/>
      <c r="S55" s="225"/>
      <c r="T55" s="225"/>
      <c r="U55" s="225"/>
    </row>
    <row r="56" spans="1:21" ht="14.25" customHeight="1">
      <c r="A56" s="763" t="s">
        <v>878</v>
      </c>
      <c r="B56" s="65">
        <v>5</v>
      </c>
      <c r="D56" s="117" t="s">
        <v>879</v>
      </c>
      <c r="E56" s="117"/>
      <c r="F56" s="117"/>
      <c r="G56" s="117"/>
      <c r="H56" s="117"/>
      <c r="J56" s="225"/>
      <c r="K56" s="225"/>
      <c r="L56" s="225"/>
      <c r="M56" s="225"/>
      <c r="N56" s="225"/>
      <c r="O56" s="225"/>
      <c r="P56" s="225"/>
      <c r="Q56" s="225"/>
      <c r="R56" s="225"/>
      <c r="S56" s="225"/>
      <c r="T56" s="225"/>
      <c r="U56" s="225"/>
    </row>
    <row r="57" spans="1:21" ht="16.5" customHeight="1">
      <c r="A57" s="763" t="s">
        <v>880</v>
      </c>
      <c r="B57" s="65">
        <f>45*C57</f>
        <v>45</v>
      </c>
      <c r="C57" s="18">
        <v>1</v>
      </c>
      <c r="D57" s="117" t="s">
        <v>879</v>
      </c>
      <c r="E57" s="117"/>
      <c r="F57" s="117"/>
      <c r="G57" s="117"/>
      <c r="H57" s="117"/>
      <c r="I57" t="s">
        <v>762</v>
      </c>
      <c r="J57" s="225"/>
      <c r="K57" s="225"/>
      <c r="L57" s="225"/>
      <c r="M57" s="225"/>
      <c r="N57" s="225"/>
      <c r="O57" s="225"/>
      <c r="P57" s="225"/>
      <c r="Q57" s="225"/>
      <c r="R57" s="225"/>
      <c r="S57" s="225"/>
      <c r="T57" s="225"/>
      <c r="U57" s="225"/>
    </row>
    <row r="58" spans="1:21" ht="15" customHeight="1">
      <c r="A58" s="763" t="s">
        <v>881</v>
      </c>
      <c r="B58" s="65">
        <f>30*C58</f>
        <v>30</v>
      </c>
      <c r="C58" s="18">
        <v>1</v>
      </c>
      <c r="D58" s="117" t="s">
        <v>879</v>
      </c>
      <c r="E58" s="117"/>
      <c r="F58" s="117"/>
      <c r="G58" s="117"/>
      <c r="H58" s="117"/>
      <c r="J58" s="225"/>
      <c r="K58" s="225"/>
      <c r="L58" s="225"/>
      <c r="M58" s="225"/>
      <c r="N58" s="225"/>
      <c r="O58" s="225"/>
      <c r="P58" s="225"/>
      <c r="Q58" s="225"/>
      <c r="R58" s="225"/>
      <c r="S58" s="225"/>
      <c r="T58" s="225"/>
      <c r="U58" s="225"/>
    </row>
    <row r="59" spans="1:21" ht="15" customHeight="1">
      <c r="A59" s="763" t="s">
        <v>882</v>
      </c>
      <c r="B59" s="65">
        <v>0</v>
      </c>
      <c r="D59" s="117" t="s">
        <v>879</v>
      </c>
      <c r="E59" s="117"/>
      <c r="F59" s="117"/>
      <c r="G59" s="117"/>
      <c r="H59" s="117"/>
      <c r="J59" s="225"/>
      <c r="K59" s="225"/>
      <c r="L59" s="225"/>
      <c r="M59" s="225"/>
      <c r="N59" s="225"/>
      <c r="O59" s="225"/>
      <c r="P59" s="225"/>
      <c r="Q59" s="225"/>
      <c r="R59" s="225"/>
      <c r="S59" s="225"/>
      <c r="T59" s="225"/>
      <c r="U59" s="225"/>
    </row>
    <row r="60" spans="1:21">
      <c r="A60" s="763"/>
      <c r="B60" s="117"/>
      <c r="C60" s="117"/>
      <c r="D60" s="117"/>
      <c r="E60" s="117"/>
      <c r="F60" s="117"/>
      <c r="G60" s="117"/>
      <c r="H60" s="117"/>
      <c r="J60" s="225"/>
      <c r="K60" s="225"/>
      <c r="L60" s="225"/>
      <c r="M60" s="225"/>
      <c r="N60" s="225"/>
      <c r="O60" s="225"/>
      <c r="P60" s="225"/>
      <c r="Q60" s="225"/>
      <c r="R60" s="225"/>
      <c r="S60" s="225"/>
      <c r="T60" s="225"/>
      <c r="U60" s="225"/>
    </row>
    <row r="61" spans="1:21" ht="17.100000000000001">
      <c r="A61" s="763" t="s">
        <v>883</v>
      </c>
      <c r="B61" s="117"/>
      <c r="C61" s="765">
        <f>'OM Inventory Y1-Y5'!B42+'OM Inventory Y1-Y5'!C42</f>
        <v>21629.263244315138</v>
      </c>
      <c r="D61" s="765">
        <f>'OM Inventory Y1-Y5'!B54+'OM Inventory Y1-Y5'!C54</f>
        <v>37082.587197042812</v>
      </c>
      <c r="E61" s="765">
        <f>'OM Inventory Y1-Y5'!B65+'OM Inventory Y1-Y5'!C65</f>
        <v>47021.649173663303</v>
      </c>
      <c r="F61" s="765">
        <f>'OM Inventory Y1-Y5'!B76+'OM Inventory Y1-Y5'!C76</f>
        <v>57036.594874805058</v>
      </c>
      <c r="G61" s="765">
        <f>'OM Inventory Y1-Y5'!B87+'OM Inventory Y1-Y5'!C87</f>
        <v>66983.85671040765</v>
      </c>
      <c r="H61" s="117"/>
      <c r="I61" t="s">
        <v>884</v>
      </c>
      <c r="J61" s="225"/>
      <c r="K61" s="225"/>
      <c r="L61" s="225"/>
      <c r="M61" s="225"/>
      <c r="N61" s="225"/>
      <c r="O61" s="225"/>
      <c r="P61" s="225"/>
      <c r="Q61" s="225"/>
      <c r="R61" s="225"/>
      <c r="S61" s="225"/>
      <c r="T61" s="225"/>
      <c r="U61" s="225"/>
    </row>
    <row r="62" spans="1:21" ht="15.75" customHeight="1">
      <c r="A62" s="763" t="s">
        <v>885</v>
      </c>
      <c r="B62" s="117"/>
      <c r="C62" s="765">
        <f>'OM Inventory Y1-Y5'!D42</f>
        <v>11159.348254920393</v>
      </c>
      <c r="D62" s="765">
        <f>'OM Inventory Y1-Y5'!D54</f>
        <v>21044.210188678837</v>
      </c>
      <c r="E62" s="765">
        <f>'OM Inventory Y1-Y5'!D65</f>
        <v>28103.665311716031</v>
      </c>
      <c r="F62" s="765">
        <f>'OM Inventory Y1-Y5'!D76</f>
        <v>34858.748231274745</v>
      </c>
      <c r="G62" s="765">
        <f>'OM Inventory Y1-Y5'!D87</f>
        <v>41596.87575213737</v>
      </c>
      <c r="H62" s="117"/>
      <c r="I62" s="65"/>
      <c r="J62" s="225"/>
      <c r="K62" s="225"/>
      <c r="L62" s="225"/>
      <c r="M62" s="225"/>
      <c r="N62" s="225"/>
      <c r="O62" s="225"/>
      <c r="P62" s="225"/>
      <c r="Q62" s="225"/>
      <c r="R62" s="225"/>
      <c r="S62" s="225"/>
      <c r="T62" s="225"/>
      <c r="U62" s="225"/>
    </row>
    <row r="63" spans="1:21" ht="17.100000000000001">
      <c r="A63" s="763" t="s">
        <v>886</v>
      </c>
      <c r="B63" s="117"/>
      <c r="C63" s="765">
        <f>C61+C62</f>
        <v>32788.611499235529</v>
      </c>
      <c r="D63" s="765">
        <f>D61+D62</f>
        <v>58126.797385721649</v>
      </c>
      <c r="E63" s="765">
        <f>E61+E62</f>
        <v>75125.314485379335</v>
      </c>
      <c r="F63" s="765">
        <f>F61+F62</f>
        <v>91895.343106079803</v>
      </c>
      <c r="G63" s="765">
        <f>G61+G62</f>
        <v>108580.73246254501</v>
      </c>
      <c r="H63" s="117"/>
      <c r="I63" t="s">
        <v>765</v>
      </c>
      <c r="J63" s="225"/>
      <c r="K63" s="225"/>
      <c r="L63" s="225"/>
      <c r="M63" s="225"/>
      <c r="N63" s="225"/>
      <c r="O63" s="225"/>
      <c r="P63" s="225"/>
      <c r="Q63" s="225"/>
      <c r="R63" s="225"/>
      <c r="S63" s="225"/>
      <c r="T63" s="225"/>
      <c r="U63" s="225"/>
    </row>
    <row r="64" spans="1:21" ht="17.100000000000001">
      <c r="A64" s="763" t="s">
        <v>887</v>
      </c>
      <c r="B64" s="65"/>
      <c r="C64" s="658">
        <v>0</v>
      </c>
      <c r="D64" s="658">
        <v>0</v>
      </c>
      <c r="E64" s="658">
        <f>'OM IS Expenses Y1-Y5'!F17+'OM IS Expenses Y1-Y5'!F16+'OM IS Expenses Y1-Y5'!F13+'OM IS Expenses Y1-Y5'!F12</f>
        <v>15750</v>
      </c>
      <c r="F64" s="658">
        <f>('OM IS Expenses Y1-Y5'!G12+'OM IS Expenses Y1-Y5'!G13+'OM IS Expenses Y1-Y5'!G16)-('OM IS Expenses Y1-Y5'!C12+'OM IS Expenses Y1-Y5'!C16)</f>
        <v>-2500</v>
      </c>
      <c r="G64" s="658">
        <v>0</v>
      </c>
      <c r="H64" s="117"/>
      <c r="J64" s="225"/>
      <c r="K64" s="225"/>
      <c r="L64" s="225"/>
      <c r="M64" s="225"/>
      <c r="N64" s="225"/>
      <c r="O64" s="225"/>
      <c r="P64" s="225"/>
      <c r="Q64" s="225"/>
      <c r="R64" s="225"/>
      <c r="S64" s="225"/>
      <c r="T64" s="225"/>
      <c r="U64" s="225"/>
    </row>
    <row r="65" spans="1:21">
      <c r="A65" s="763"/>
      <c r="B65" s="117"/>
      <c r="C65" s="117"/>
      <c r="D65" s="117"/>
      <c r="E65" s="117"/>
      <c r="F65" s="117"/>
      <c r="G65" s="117"/>
      <c r="H65" s="117"/>
      <c r="J65" s="225"/>
      <c r="K65" s="225"/>
      <c r="L65" s="225"/>
      <c r="M65" s="225"/>
      <c r="N65" s="225"/>
      <c r="O65" s="225"/>
      <c r="P65" s="225"/>
      <c r="Q65" s="225"/>
      <c r="R65" s="225"/>
      <c r="S65" s="225"/>
      <c r="T65" s="225"/>
      <c r="U65" s="225"/>
    </row>
    <row r="66" spans="1:21" ht="17.100000000000001">
      <c r="A66" s="950" t="s">
        <v>888</v>
      </c>
      <c r="B66" s="950"/>
      <c r="C66" s="950"/>
      <c r="D66" s="950"/>
      <c r="E66" s="950"/>
      <c r="F66" s="950"/>
      <c r="G66" s="950"/>
      <c r="H66" s="117"/>
      <c r="I66" s="117"/>
      <c r="J66" s="225"/>
      <c r="K66" s="225"/>
      <c r="L66" s="225"/>
      <c r="M66" s="225"/>
      <c r="N66" s="225"/>
      <c r="O66" s="225"/>
      <c r="P66" s="225"/>
      <c r="Q66" s="225"/>
      <c r="R66" s="225"/>
      <c r="S66" s="225"/>
      <c r="T66" s="225"/>
      <c r="U66" s="225"/>
    </row>
    <row r="67" spans="1:21">
      <c r="A67" s="116"/>
      <c r="B67" s="116"/>
      <c r="C67" s="116"/>
      <c r="D67" s="116"/>
      <c r="E67" s="116"/>
      <c r="F67" s="116"/>
      <c r="G67" s="116"/>
      <c r="H67" s="117"/>
      <c r="I67" s="117"/>
      <c r="J67" s="225"/>
      <c r="K67" s="225"/>
      <c r="L67" s="225"/>
      <c r="M67" s="225"/>
      <c r="N67" s="225"/>
      <c r="O67" s="225"/>
      <c r="P67" s="225"/>
      <c r="Q67" s="225"/>
      <c r="R67" s="225"/>
      <c r="S67" s="225"/>
      <c r="T67" s="225"/>
      <c r="U67" s="225"/>
    </row>
    <row r="68" spans="1:21" ht="17.100000000000001">
      <c r="A68" s="763" t="s">
        <v>889</v>
      </c>
      <c r="B68" s="796">
        <f>(B76+B75*B73)+B74</f>
        <v>0.20172400000000001</v>
      </c>
      <c r="C68" s="65" t="s">
        <v>890</v>
      </c>
      <c r="D68" s="65"/>
      <c r="E68" s="65"/>
      <c r="F68" s="65"/>
      <c r="G68" s="65"/>
      <c r="H68" s="117"/>
      <c r="I68" s="117" t="s">
        <v>2</v>
      </c>
      <c r="J68" s="225"/>
      <c r="K68" s="225"/>
      <c r="L68" s="225"/>
      <c r="M68" s="225"/>
      <c r="N68" s="225"/>
      <c r="O68" s="225"/>
      <c r="P68" s="225"/>
      <c r="Q68" s="225"/>
      <c r="R68" s="225"/>
      <c r="S68" s="225"/>
      <c r="T68" s="225"/>
      <c r="U68" s="225"/>
    </row>
    <row r="69" spans="1:21" ht="17.100000000000001">
      <c r="A69" s="770" t="s">
        <v>891</v>
      </c>
      <c r="B69" s="227">
        <v>0.1</v>
      </c>
      <c r="C69" s="117" t="s">
        <v>892</v>
      </c>
      <c r="D69" s="117"/>
      <c r="E69" s="117"/>
      <c r="F69" s="117"/>
      <c r="G69" s="117"/>
      <c r="H69" s="117"/>
      <c r="I69" s="117" t="s">
        <v>0</v>
      </c>
      <c r="J69" s="225"/>
      <c r="K69" s="225"/>
      <c r="L69" s="225"/>
      <c r="M69" s="225"/>
      <c r="N69" s="225"/>
      <c r="O69" s="225"/>
      <c r="P69" s="225"/>
      <c r="Q69" s="225"/>
      <c r="R69" s="225"/>
      <c r="S69" s="225"/>
      <c r="T69" s="225"/>
      <c r="U69" s="225"/>
    </row>
    <row r="70" spans="1:21" ht="17.100000000000001">
      <c r="A70" s="770" t="s">
        <v>42</v>
      </c>
      <c r="B70" s="117"/>
      <c r="C70" s="117"/>
      <c r="D70" s="117"/>
      <c r="E70" s="117"/>
      <c r="F70" s="117"/>
      <c r="G70" s="117"/>
      <c r="H70" s="117"/>
      <c r="I70" s="117"/>
      <c r="J70" s="225"/>
      <c r="K70" s="225"/>
      <c r="L70" s="225"/>
      <c r="M70" s="225"/>
      <c r="N70" s="225"/>
      <c r="O70" s="225"/>
      <c r="P70" s="225"/>
      <c r="Q70" s="225"/>
      <c r="R70" s="225"/>
      <c r="S70" s="225"/>
      <c r="T70" s="225"/>
      <c r="U70" s="225"/>
    </row>
    <row r="71" spans="1:21" ht="17.100000000000001">
      <c r="A71" s="763" t="s">
        <v>893</v>
      </c>
      <c r="B71" s="697">
        <v>0.27</v>
      </c>
      <c r="C71" s="117" t="s">
        <v>894</v>
      </c>
      <c r="D71" s="117"/>
      <c r="E71" s="117"/>
      <c r="F71" s="117"/>
      <c r="G71" s="117"/>
      <c r="H71" s="117"/>
      <c r="I71" s="117"/>
      <c r="J71" s="225"/>
      <c r="K71" s="225"/>
      <c r="L71" s="890"/>
      <c r="M71" s="225"/>
      <c r="N71" s="225"/>
      <c r="O71" s="225"/>
      <c r="P71" s="225"/>
      <c r="Q71" s="225"/>
      <c r="R71" s="225"/>
      <c r="S71" s="225"/>
      <c r="T71" s="225"/>
      <c r="U71" s="225"/>
    </row>
    <row r="72" spans="1:21" ht="17.100000000000001">
      <c r="A72" s="763" t="s">
        <v>895</v>
      </c>
      <c r="B72" s="227">
        <v>0.05</v>
      </c>
      <c r="C72" s="117" t="s">
        <v>896</v>
      </c>
      <c r="D72" s="117"/>
      <c r="E72" s="117"/>
      <c r="F72" s="117"/>
      <c r="G72" s="117"/>
      <c r="I72" s="117"/>
      <c r="J72" s="225"/>
      <c r="K72" s="225"/>
      <c r="L72" s="225"/>
      <c r="M72" s="225"/>
      <c r="N72" s="225"/>
      <c r="O72" s="225"/>
      <c r="P72" s="225"/>
      <c r="Q72" s="225"/>
      <c r="R72" s="225"/>
      <c r="S72" s="225"/>
      <c r="T72" s="225"/>
      <c r="U72" s="225"/>
    </row>
    <row r="73" spans="1:21">
      <c r="A73" s="225" t="s">
        <v>897</v>
      </c>
      <c r="B73" s="797">
        <v>6.1100000000000002E-2</v>
      </c>
      <c r="C73" s="225"/>
      <c r="D73" s="225"/>
      <c r="E73" s="225"/>
      <c r="F73" s="225"/>
      <c r="G73" s="225"/>
      <c r="I73" s="225"/>
      <c r="J73" s="225"/>
      <c r="K73" s="225"/>
      <c r="L73" s="225"/>
      <c r="M73" s="225"/>
      <c r="N73" s="225"/>
      <c r="O73" s="225"/>
      <c r="P73" s="225"/>
      <c r="Q73" s="225"/>
      <c r="R73" s="225"/>
      <c r="S73" s="225"/>
      <c r="T73" s="225"/>
      <c r="U73" s="225"/>
    </row>
    <row r="74" spans="1:21">
      <c r="A74" s="225" t="s">
        <v>898</v>
      </c>
      <c r="B74" s="797">
        <v>0.11650000000000001</v>
      </c>
      <c r="C74" s="225"/>
      <c r="D74" s="225"/>
      <c r="E74" s="225"/>
      <c r="F74" s="225"/>
      <c r="G74" s="225"/>
      <c r="I74" s="225"/>
      <c r="J74" s="225"/>
      <c r="M74" s="225"/>
      <c r="N74" s="225"/>
      <c r="O74" s="225"/>
      <c r="P74" s="225"/>
      <c r="Q74" s="225"/>
      <c r="R74" s="225"/>
      <c r="S74" s="225"/>
      <c r="T74" s="225"/>
      <c r="U74" s="225"/>
    </row>
    <row r="75" spans="1:21">
      <c r="A75" s="225" t="s">
        <v>899</v>
      </c>
      <c r="B75" s="225">
        <v>0.84</v>
      </c>
      <c r="C75" s="225"/>
      <c r="D75" s="225"/>
      <c r="E75" s="225"/>
      <c r="F75" s="225"/>
      <c r="G75" s="225"/>
      <c r="H75" s="225"/>
      <c r="I75" s="225"/>
      <c r="J75" s="225"/>
      <c r="M75" s="225"/>
      <c r="N75" s="225"/>
      <c r="O75" s="225"/>
      <c r="P75" s="225"/>
      <c r="Q75" s="225"/>
      <c r="R75" s="225"/>
      <c r="S75" s="225"/>
      <c r="T75" s="225"/>
      <c r="U75" s="225"/>
    </row>
    <row r="76" spans="1:21">
      <c r="A76" s="225" t="s">
        <v>900</v>
      </c>
      <c r="B76" s="797">
        <v>3.39E-2</v>
      </c>
      <c r="C76" s="225"/>
      <c r="D76" s="225"/>
      <c r="E76" s="225"/>
      <c r="F76" s="225"/>
      <c r="G76" s="225"/>
      <c r="H76" s="225"/>
      <c r="I76" s="225"/>
      <c r="M76" s="225"/>
      <c r="N76" s="225"/>
      <c r="O76" s="225"/>
      <c r="P76" s="225"/>
      <c r="Q76" s="225"/>
      <c r="R76" s="225"/>
      <c r="S76" s="225"/>
      <c r="T76" s="225"/>
      <c r="U76" s="225"/>
    </row>
    <row r="77" spans="1:21">
      <c r="A77" s="225"/>
      <c r="B77" s="225"/>
      <c r="C77" s="225"/>
      <c r="D77" s="225"/>
      <c r="E77" s="225"/>
      <c r="F77" s="225"/>
      <c r="G77" s="225"/>
      <c r="H77" s="225"/>
      <c r="I77" s="225"/>
      <c r="M77" s="225"/>
      <c r="N77" s="225"/>
      <c r="O77" s="225"/>
      <c r="P77" s="225"/>
      <c r="Q77" s="225"/>
      <c r="R77" s="225"/>
      <c r="S77" s="225"/>
      <c r="T77" s="225"/>
      <c r="U77" s="225"/>
    </row>
    <row r="78" spans="1:21">
      <c r="A78" s="798" t="s">
        <v>901</v>
      </c>
      <c r="B78" s="799">
        <v>250000</v>
      </c>
      <c r="C78" s="225"/>
      <c r="D78" s="225"/>
      <c r="E78" s="225"/>
      <c r="F78" s="225"/>
      <c r="G78" s="225"/>
      <c r="H78" s="225"/>
      <c r="I78" s="225"/>
      <c r="K78" s="225"/>
      <c r="L78" s="225"/>
      <c r="M78" s="225"/>
      <c r="N78" s="225"/>
      <c r="O78" s="225"/>
      <c r="P78" s="225"/>
      <c r="Q78" s="225"/>
      <c r="R78" s="225"/>
      <c r="S78" s="225"/>
      <c r="T78" s="225"/>
      <c r="U78" s="225"/>
    </row>
    <row r="79" spans="1:21">
      <c r="A79" s="798"/>
      <c r="B79" s="798"/>
      <c r="C79" s="225"/>
      <c r="D79" s="225"/>
      <c r="E79" s="225"/>
      <c r="F79" s="225"/>
      <c r="G79" s="225"/>
      <c r="H79" s="225"/>
      <c r="I79" s="225"/>
      <c r="K79" s="225"/>
      <c r="L79" s="225"/>
      <c r="M79" s="225"/>
      <c r="N79" s="225"/>
      <c r="O79" s="225"/>
      <c r="P79" s="225"/>
      <c r="Q79" s="225"/>
      <c r="R79" s="225"/>
      <c r="S79" s="225"/>
      <c r="T79" s="225"/>
      <c r="U79" s="225"/>
    </row>
    <row r="80" spans="1:21">
      <c r="A80" s="225"/>
      <c r="B80" s="225"/>
      <c r="C80" s="225"/>
      <c r="D80" s="225"/>
      <c r="E80" s="225"/>
      <c r="F80" s="225"/>
      <c r="G80" s="225"/>
      <c r="H80" s="225"/>
      <c r="I80" s="225"/>
      <c r="J80" s="225"/>
      <c r="K80" s="225"/>
      <c r="L80" s="225"/>
      <c r="M80" s="225"/>
      <c r="N80" s="225"/>
      <c r="O80" s="225"/>
      <c r="P80" s="225"/>
      <c r="Q80" s="225"/>
      <c r="R80" s="225"/>
      <c r="S80" s="225"/>
      <c r="T80" s="225"/>
      <c r="U80" s="225"/>
    </row>
    <row r="81" spans="1:21">
      <c r="A81" s="225"/>
      <c r="B81" s="225"/>
      <c r="C81" s="225"/>
      <c r="D81" s="225"/>
      <c r="E81" s="225"/>
      <c r="F81" s="225"/>
      <c r="G81" s="225"/>
      <c r="H81" s="225"/>
      <c r="I81" s="225"/>
      <c r="J81" s="225"/>
      <c r="K81" s="225"/>
      <c r="L81" s="225"/>
      <c r="M81" s="225"/>
      <c r="N81" s="225"/>
      <c r="O81" s="225"/>
      <c r="P81" s="225"/>
      <c r="Q81" s="225"/>
      <c r="R81" s="225"/>
      <c r="S81" s="225"/>
      <c r="T81" s="225"/>
      <c r="U81" s="225"/>
    </row>
    <row r="82" spans="1:21">
      <c r="A82" s="225"/>
      <c r="B82" s="225"/>
      <c r="C82" s="225"/>
      <c r="D82" s="225"/>
      <c r="E82" s="225"/>
      <c r="F82" s="225"/>
      <c r="G82" s="225"/>
      <c r="H82" s="225"/>
      <c r="I82" s="225"/>
      <c r="J82" s="225"/>
      <c r="K82" s="225"/>
      <c r="L82" s="225"/>
      <c r="M82" s="225"/>
      <c r="N82" s="225"/>
      <c r="O82" s="225"/>
      <c r="P82" s="225"/>
      <c r="Q82" s="225"/>
      <c r="R82" s="225"/>
      <c r="S82" s="225"/>
      <c r="T82" s="225"/>
      <c r="U82" s="225"/>
    </row>
    <row r="83" spans="1:21">
      <c r="A83" s="225"/>
      <c r="B83" s="225"/>
      <c r="C83" s="225"/>
      <c r="D83" s="225"/>
      <c r="E83" s="225"/>
      <c r="F83" s="225"/>
      <c r="G83" s="225"/>
      <c r="H83" s="225"/>
      <c r="I83" s="225"/>
      <c r="J83" s="225"/>
      <c r="K83" s="225"/>
      <c r="L83" s="225"/>
      <c r="M83" s="225"/>
      <c r="N83" s="225"/>
      <c r="O83" s="225"/>
      <c r="P83" s="225"/>
      <c r="Q83" s="225"/>
      <c r="R83" s="225"/>
      <c r="S83" s="225"/>
      <c r="T83" s="225"/>
      <c r="U83" s="225"/>
    </row>
    <row r="84" spans="1:21">
      <c r="A84" s="225"/>
      <c r="B84" s="225"/>
      <c r="C84" s="225"/>
      <c r="D84" s="225"/>
      <c r="E84" s="225"/>
      <c r="F84" s="225"/>
      <c r="G84" s="225"/>
      <c r="H84" s="225"/>
      <c r="I84" s="225"/>
      <c r="J84" s="225"/>
      <c r="K84" s="225"/>
      <c r="L84" s="225"/>
      <c r="M84" s="225"/>
      <c r="N84" s="225"/>
      <c r="O84" s="225"/>
      <c r="P84" s="225"/>
      <c r="Q84" s="225"/>
      <c r="R84" s="225"/>
      <c r="S84" s="225"/>
      <c r="T84" s="225"/>
      <c r="U84" s="225"/>
    </row>
    <row r="85" spans="1:21">
      <c r="A85" s="225"/>
      <c r="B85" s="225"/>
      <c r="C85" s="225"/>
      <c r="D85" s="225"/>
      <c r="E85" s="225"/>
      <c r="F85" s="225"/>
      <c r="G85" s="225"/>
      <c r="H85" s="225"/>
      <c r="I85" s="225"/>
      <c r="J85" s="225"/>
      <c r="K85" s="225"/>
      <c r="L85" s="225"/>
      <c r="M85" s="225"/>
      <c r="N85" s="225"/>
      <c r="O85" s="225"/>
      <c r="P85" s="225"/>
      <c r="Q85" s="225"/>
      <c r="R85" s="225"/>
      <c r="S85" s="225"/>
      <c r="T85" s="225"/>
      <c r="U85" s="225"/>
    </row>
    <row r="86" spans="1:21">
      <c r="A86" s="225"/>
      <c r="B86" s="225"/>
      <c r="C86" s="225"/>
      <c r="D86" s="225"/>
      <c r="E86" s="225"/>
      <c r="F86" s="225"/>
      <c r="G86" s="225"/>
      <c r="H86" s="225"/>
      <c r="I86" s="225"/>
      <c r="J86" s="225"/>
      <c r="K86" s="225"/>
      <c r="L86" s="225"/>
      <c r="M86" s="225"/>
      <c r="N86" s="225"/>
      <c r="O86" s="225"/>
      <c r="P86" s="225"/>
      <c r="Q86" s="225"/>
      <c r="R86" s="225"/>
      <c r="S86" s="225"/>
      <c r="T86" s="225"/>
      <c r="U86" s="225"/>
    </row>
    <row r="87" spans="1:21">
      <c r="A87" s="225"/>
      <c r="B87" s="225"/>
      <c r="C87" s="225"/>
      <c r="D87" s="225"/>
      <c r="E87" s="225"/>
      <c r="F87" s="225"/>
      <c r="G87" s="225"/>
      <c r="H87" s="225"/>
      <c r="I87" s="225"/>
      <c r="J87" s="225"/>
      <c r="K87" s="225"/>
      <c r="L87" s="225"/>
      <c r="M87" s="225"/>
      <c r="N87" s="225"/>
      <c r="O87" s="225"/>
      <c r="P87" s="225"/>
      <c r="Q87" s="225"/>
      <c r="R87" s="225"/>
      <c r="S87" s="225"/>
      <c r="T87" s="225"/>
      <c r="U87" s="225"/>
    </row>
    <row r="88" spans="1:21">
      <c r="A88" s="225"/>
      <c r="B88" s="225"/>
      <c r="C88" s="225"/>
      <c r="D88" s="225"/>
      <c r="E88" s="225"/>
      <c r="F88" s="225"/>
      <c r="G88" s="225"/>
      <c r="H88" s="225"/>
      <c r="I88" s="225"/>
      <c r="J88" s="225"/>
    </row>
    <row r="89" spans="1:21">
      <c r="A89" s="225"/>
      <c r="B89" s="225"/>
      <c r="C89" s="225"/>
      <c r="D89" s="225"/>
      <c r="E89" s="225"/>
      <c r="F89" s="225"/>
      <c r="G89" s="225"/>
      <c r="H89" s="225"/>
      <c r="I89" s="225"/>
      <c r="J89" s="225"/>
    </row>
  </sheetData>
  <hyperlinks>
    <hyperlink ref="A1" location="'Index'!A1" display="Back to Index" xr:uid="{B1E56A2C-016B-4CBB-B049-35279589B2DB}"/>
  </hyperlink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85166-5047-4119-BF27-36D097BE9C04}">
  <sheetPr>
    <tabColor rgb="FFA9D08E"/>
  </sheetPr>
  <dimension ref="A1:O37"/>
  <sheetViews>
    <sheetView topLeftCell="A15" workbookViewId="0">
      <selection activeCell="C15" sqref="C15"/>
    </sheetView>
  </sheetViews>
  <sheetFormatPr defaultColWidth="8.875" defaultRowHeight="15.95"/>
  <cols>
    <col min="1" max="1" width="52.625" bestFit="1" customWidth="1"/>
    <col min="2" max="2" width="12.5" customWidth="1"/>
    <col min="3" max="3" width="11.875" customWidth="1"/>
    <col min="4" max="7" width="13.625" bestFit="1" customWidth="1"/>
    <col min="10" max="10" width="47.625" bestFit="1" customWidth="1"/>
    <col min="13" max="13" width="31.125" bestFit="1" customWidth="1"/>
    <col min="15" max="15" width="31.125" bestFit="1" customWidth="1"/>
  </cols>
  <sheetData>
    <row r="1" spans="1:15">
      <c r="A1" s="44" t="s">
        <v>41</v>
      </c>
      <c r="B1" s="117"/>
      <c r="C1" s="117"/>
      <c r="D1" s="117"/>
      <c r="E1" s="117"/>
      <c r="F1" s="117"/>
      <c r="G1" s="117"/>
    </row>
    <row r="2" spans="1:15" ht="17.100000000000001">
      <c r="A2" s="609" t="s">
        <v>902</v>
      </c>
      <c r="B2" s="608" t="s">
        <v>42</v>
      </c>
      <c r="C2" s="608" t="s">
        <v>42</v>
      </c>
      <c r="D2" s="608" t="s">
        <v>42</v>
      </c>
      <c r="E2" s="608" t="s">
        <v>42</v>
      </c>
      <c r="F2" s="608" t="s">
        <v>42</v>
      </c>
      <c r="G2" s="608" t="s">
        <v>42</v>
      </c>
    </row>
    <row r="3" spans="1:15">
      <c r="A3" s="120" t="s">
        <v>834</v>
      </c>
      <c r="B3" s="124" t="s">
        <v>835</v>
      </c>
      <c r="C3" s="124" t="s">
        <v>80</v>
      </c>
      <c r="D3" s="124" t="s">
        <v>93</v>
      </c>
      <c r="E3" s="124" t="s">
        <v>94</v>
      </c>
      <c r="F3" s="124" t="s">
        <v>95</v>
      </c>
      <c r="G3" s="124" t="s">
        <v>96</v>
      </c>
      <c r="H3" t="s">
        <v>64</v>
      </c>
    </row>
    <row r="4" spans="1:15">
      <c r="A4" s="117"/>
      <c r="B4" s="227"/>
      <c r="C4" s="697"/>
      <c r="D4" s="697"/>
      <c r="E4" s="697"/>
      <c r="F4" s="697"/>
      <c r="G4" s="697"/>
      <c r="I4" s="121" t="s">
        <v>903</v>
      </c>
    </row>
    <row r="5" spans="1:15">
      <c r="A5" s="117" t="s">
        <v>904</v>
      </c>
      <c r="B5" s="587"/>
      <c r="C5" s="136">
        <f>'MK Bases Model (Base Case)'!B15</f>
        <v>1316449.0248000005</v>
      </c>
      <c r="D5" s="136">
        <f>'MK Bases Model (Base Case)'!C15</f>
        <v>2707720.5787877822</v>
      </c>
      <c r="E5" s="136">
        <f>'MK Bases Model (Base Case)'!D15</f>
        <v>3488158.4045356307</v>
      </c>
      <c r="F5" s="136">
        <f>'MK Bases Model (Base Case)'!E15</f>
        <v>4174951.5047117397</v>
      </c>
      <c r="G5" s="136">
        <f>'MK Bases Model (Base Case)'!F15</f>
        <v>4911515.3257452669</v>
      </c>
      <c r="I5" s="122" t="s">
        <v>905</v>
      </c>
    </row>
    <row r="6" spans="1:15">
      <c r="A6" s="117" t="s">
        <v>906</v>
      </c>
      <c r="B6" s="587"/>
      <c r="C6" s="587">
        <f>'FE Assumptions'!C40*'MK Bases Model (Base Case)'!B13</f>
        <v>494252.11929600016</v>
      </c>
      <c r="D6" s="587">
        <f>'FE Assumptions'!D40*'MK Bases Model (Base Case)'!C13</f>
        <v>903398.78967805672</v>
      </c>
      <c r="E6" s="587">
        <f>'FE Assumptions'!E40*'MK Bases Model (Base Case)'!D13</f>
        <v>1237769.5521886921</v>
      </c>
      <c r="F6" s="587">
        <f>'FE Assumptions'!F40*'MK Bases Model (Base Case)'!E13</f>
        <v>1536721.4895150983</v>
      </c>
      <c r="G6" s="587">
        <f>'FE Assumptions'!G40*'MK Bases Model (Base Case)'!F13</f>
        <v>1854518.4207181789</v>
      </c>
      <c r="H6" s="18"/>
      <c r="I6" s="122" t="s">
        <v>907</v>
      </c>
    </row>
    <row r="7" spans="1:15">
      <c r="A7" s="117" t="s">
        <v>908</v>
      </c>
      <c r="B7" s="587"/>
      <c r="C7" s="136">
        <f>('FE Assumptions'!C41+'FE Assumptions'!C43)</f>
        <v>107066.04908960003</v>
      </c>
      <c r="D7" s="136">
        <f>('FE Assumptions'!D41+'FE Assumptions'!D43)</f>
        <v>201562.98430782012</v>
      </c>
      <c r="E7" s="136">
        <f>('FE Assumptions'!E41+'FE Assumptions'!E43)</f>
        <v>252937.87340007522</v>
      </c>
      <c r="F7" s="136">
        <f>('FE Assumptions'!F41+'FE Assumptions'!F43)</f>
        <v>332179.98682966048</v>
      </c>
      <c r="G7" s="136">
        <f>('FE Assumptions'!G41+'FE Assumptions'!G43)</f>
        <v>385858.95692233328</v>
      </c>
      <c r="H7" s="18"/>
      <c r="I7" s="122" t="s">
        <v>909</v>
      </c>
    </row>
    <row r="8" spans="1:15">
      <c r="A8" s="117" t="s">
        <v>910</v>
      </c>
      <c r="B8" s="795" t="s">
        <v>42</v>
      </c>
      <c r="C8" s="666">
        <f>SUM(C6:C7)</f>
        <v>601318.16838560021</v>
      </c>
      <c r="D8" s="666">
        <f>SUM(D6:D7)</f>
        <v>1104961.7739858769</v>
      </c>
      <c r="E8" s="666">
        <f>SUM(E6:E7)</f>
        <v>1490707.4255887673</v>
      </c>
      <c r="F8" s="666">
        <f>SUM(F6:F7)</f>
        <v>1868901.4763447586</v>
      </c>
      <c r="G8" s="666">
        <f>SUM(G6:G7)</f>
        <v>2240377.3776405123</v>
      </c>
      <c r="H8" s="18"/>
    </row>
    <row r="9" spans="1:15">
      <c r="A9" s="117" t="s">
        <v>911</v>
      </c>
      <c r="B9" s="587"/>
      <c r="C9" s="587">
        <f>C5-C8</f>
        <v>715130.85641440027</v>
      </c>
      <c r="D9" s="587">
        <f>D5-D8</f>
        <v>1602758.8048019053</v>
      </c>
      <c r="E9" s="587">
        <f>E5-E8</f>
        <v>1997450.9789468634</v>
      </c>
      <c r="F9" s="587">
        <f>F5-F8</f>
        <v>2306050.0283669811</v>
      </c>
      <c r="G9" s="587">
        <f>G5-G8</f>
        <v>2671137.9481047546</v>
      </c>
      <c r="H9" s="18"/>
    </row>
    <row r="10" spans="1:15">
      <c r="A10" s="117" t="s">
        <v>912</v>
      </c>
      <c r="B10" s="587">
        <f>'FE Assumptions'!B20-'OM Y0 Initial Investment'!B16</f>
        <v>131890.356</v>
      </c>
      <c r="C10" s="587"/>
      <c r="D10" s="587"/>
      <c r="E10" s="587"/>
      <c r="F10" s="587"/>
      <c r="G10" s="587"/>
      <c r="H10" s="18"/>
    </row>
    <row r="11" spans="1:15">
      <c r="A11" s="117" t="s">
        <v>913</v>
      </c>
      <c r="B11" s="587">
        <f>('OM Y0 Initial Investment'!B16)*H11</f>
        <v>39666.666666666664</v>
      </c>
      <c r="C11" s="587">
        <f>('FE Assumptions'!C48)*$H$11</f>
        <v>452483.63</v>
      </c>
      <c r="D11" s="587">
        <f>('FE Assumptions'!D48)*$H$11</f>
        <v>469795.14</v>
      </c>
      <c r="E11" s="587">
        <f>('FE Assumptions'!E48)*$H$11</f>
        <v>753445.78</v>
      </c>
      <c r="F11" s="587">
        <f>('FE Assumptions'!F48)*$H$11</f>
        <v>881137.33600000013</v>
      </c>
      <c r="G11" s="587">
        <f>('FE Assumptions'!G48)*$H$11</f>
        <v>912750.36927999998</v>
      </c>
      <c r="H11" s="18">
        <v>1</v>
      </c>
    </row>
    <row r="12" spans="1:15">
      <c r="A12" s="117" t="s">
        <v>914</v>
      </c>
      <c r="B12" s="589">
        <f>'FE Assumptions'!B18</f>
        <v>30000</v>
      </c>
      <c r="C12" s="589">
        <f>'FE Assumptions'!C51</f>
        <v>4995</v>
      </c>
      <c r="D12" s="589">
        <f>'FE Assumptions'!D51</f>
        <v>4995</v>
      </c>
      <c r="E12" s="587">
        <f>'FE Assumptions'!E51</f>
        <v>8195</v>
      </c>
      <c r="F12" s="587">
        <f>'FE Assumptions'!F51</f>
        <v>9595</v>
      </c>
      <c r="G12" s="589">
        <f>'FE Assumptions'!G51</f>
        <v>9595</v>
      </c>
      <c r="H12" s="18"/>
    </row>
    <row r="13" spans="1:15">
      <c r="A13" s="117" t="s">
        <v>915</v>
      </c>
      <c r="B13" s="587">
        <f>'FE Assumptions'!B19*H13</f>
        <v>40088.85</v>
      </c>
      <c r="C13" s="587">
        <f>('FE Assumptions'!C49)*$H$13</f>
        <v>267259</v>
      </c>
      <c r="D13" s="587">
        <f>('FE Assumptions'!D49)*$H$13</f>
        <v>347120</v>
      </c>
      <c r="E13" s="587">
        <f>('FE Assumptions'!E49)*$H$13</f>
        <v>389083</v>
      </c>
      <c r="F13" s="587">
        <f>('FE Assumptions'!F49)*$H$13</f>
        <v>432043</v>
      </c>
      <c r="G13" s="587">
        <f>('FE Assumptions'!G49)*$H$13</f>
        <v>472676</v>
      </c>
      <c r="H13" s="18">
        <v>1</v>
      </c>
    </row>
    <row r="14" spans="1:15">
      <c r="A14" s="65" t="s">
        <v>916</v>
      </c>
      <c r="B14" s="587"/>
      <c r="C14" s="589">
        <f>'FE Assumptions'!C50*H14</f>
        <v>29261.248350275328</v>
      </c>
      <c r="D14" s="589">
        <f>'FE Assumptions'!D50*$H$14</f>
        <v>90618.62031971119</v>
      </c>
      <c r="E14" s="589">
        <f>'FE Assumptions'!E50*$H$14</f>
        <v>142382.34600683639</v>
      </c>
      <c r="F14" s="589">
        <f>'FE Assumptions'!F50*$H$14</f>
        <v>223581.32233474293</v>
      </c>
      <c r="G14" s="589">
        <f>'FE Assumptions'!G50*$H$14</f>
        <v>284785.65314689511</v>
      </c>
      <c r="H14" s="18">
        <v>1</v>
      </c>
      <c r="M14" s="19"/>
    </row>
    <row r="15" spans="1:15">
      <c r="A15" s="117" t="s">
        <v>917</v>
      </c>
      <c r="B15" s="587"/>
      <c r="C15" s="589">
        <f>'OM Capital Expenditures Y1-Y5'!D32</f>
        <v>12644.999999989899</v>
      </c>
      <c r="D15" s="589">
        <f>'OM Capital Expenditures Y1-Y5'!E32</f>
        <v>12644.999999989899</v>
      </c>
      <c r="E15" s="589">
        <f>'OM Capital Expenditures Y1-Y5'!F32</f>
        <v>12644.999999989899</v>
      </c>
      <c r="F15" s="587">
        <f>'OM Capital Expenditures Y1-Y5'!G32</f>
        <v>12644.999999989899</v>
      </c>
      <c r="G15" s="589">
        <f>'OM Capital Expenditures Y1-Y5'!H32</f>
        <v>12644.999999989899</v>
      </c>
      <c r="I15" s="122" t="s">
        <v>918</v>
      </c>
      <c r="O15" s="19"/>
    </row>
    <row r="16" spans="1:15">
      <c r="A16" s="117" t="s">
        <v>919</v>
      </c>
      <c r="B16" s="587"/>
      <c r="C16" s="587">
        <f>'OM IS Expenses Y1-Y5'!D33</f>
        <v>2416.6666666666665</v>
      </c>
      <c r="D16" s="589">
        <f>'OM IS Expenses Y1-Y5'!E33</f>
        <v>2416.6666666666665</v>
      </c>
      <c r="E16" s="589">
        <f>'OM IS Expenses Y1-Y5'!F33</f>
        <v>6666.6666666666661</v>
      </c>
      <c r="F16" s="587">
        <f>'OM IS Expenses Y1-Y5'!G33</f>
        <v>5583.333333333333</v>
      </c>
      <c r="G16" s="589">
        <f>'OM IS Expenses Y1-Y5'!H33</f>
        <v>5583.333333333333</v>
      </c>
      <c r="I16" s="122" t="s">
        <v>920</v>
      </c>
    </row>
    <row r="17" spans="1:13">
      <c r="A17" s="117"/>
      <c r="B17" s="667">
        <f t="shared" ref="B17:G17" si="0">SUM(B10:B16)</f>
        <v>241645.87266666666</v>
      </c>
      <c r="C17" s="666">
        <f t="shared" si="0"/>
        <v>769060.54501693184</v>
      </c>
      <c r="D17" s="665">
        <f t="shared" si="0"/>
        <v>927590.42698636767</v>
      </c>
      <c r="E17" s="665">
        <f t="shared" si="0"/>
        <v>1312417.7926734933</v>
      </c>
      <c r="F17" s="666">
        <f t="shared" si="0"/>
        <v>1564584.9916680662</v>
      </c>
      <c r="G17" s="665">
        <f t="shared" si="0"/>
        <v>1698035.3557602183</v>
      </c>
    </row>
    <row r="18" spans="1:13">
      <c r="A18" s="65" t="s">
        <v>921</v>
      </c>
      <c r="B18" s="587">
        <f>-(B17)</f>
        <v>-241645.87266666666</v>
      </c>
      <c r="C18" s="587">
        <f>C9-C17</f>
        <v>-53929.688602531562</v>
      </c>
      <c r="D18" s="587">
        <f>D9-D17</f>
        <v>675168.37781553762</v>
      </c>
      <c r="E18" s="587">
        <f>E9-E17</f>
        <v>685033.18627337017</v>
      </c>
      <c r="F18" s="589">
        <f>F9-F17</f>
        <v>741465.03669891483</v>
      </c>
      <c r="G18" s="587">
        <f>G9-G17</f>
        <v>973102.59234453621</v>
      </c>
      <c r="M18" s="19">
        <f>'FE Cash Flow Y1-Y5'!B17</f>
        <v>184567.22517716466</v>
      </c>
    </row>
    <row r="19" spans="1:13">
      <c r="A19" s="65" t="s">
        <v>922</v>
      </c>
      <c r="B19" s="587"/>
      <c r="C19" s="587"/>
      <c r="D19" s="587">
        <f>-(D18*'FE Assumptions'!$B$71)</f>
        <v>-182295.46201019516</v>
      </c>
      <c r="E19" s="587">
        <f>-(E18*'FE Assumptions'!$B$71)</f>
        <v>-184958.96029380997</v>
      </c>
      <c r="F19" s="587">
        <f>-(F18*'FE Assumptions'!$B$71)</f>
        <v>-200195.55990870701</v>
      </c>
      <c r="G19" s="587">
        <f>-(G18*'FE Assumptions'!$B$71)</f>
        <v>-262737.69993302482</v>
      </c>
    </row>
    <row r="20" spans="1:13">
      <c r="A20" s="120" t="s">
        <v>923</v>
      </c>
      <c r="B20" s="800">
        <f t="shared" ref="B20:G20" si="1">B18+B19</f>
        <v>-241645.87266666666</v>
      </c>
      <c r="C20" s="800">
        <f t="shared" si="1"/>
        <v>-53929.688602531562</v>
      </c>
      <c r="D20" s="800">
        <f t="shared" si="1"/>
        <v>492872.91580534249</v>
      </c>
      <c r="E20" s="800">
        <f t="shared" si="1"/>
        <v>500074.22597956017</v>
      </c>
      <c r="F20" s="800">
        <f t="shared" si="1"/>
        <v>541269.47679020779</v>
      </c>
      <c r="G20" s="800">
        <f t="shared" si="1"/>
        <v>710364.89241151139</v>
      </c>
    </row>
    <row r="21" spans="1:13">
      <c r="A21" s="117"/>
      <c r="B21" s="670"/>
      <c r="C21" s="587"/>
      <c r="D21" s="587"/>
      <c r="E21" s="587"/>
      <c r="F21" s="587"/>
      <c r="G21" s="587"/>
    </row>
    <row r="22" spans="1:13">
      <c r="A22" s="120" t="s">
        <v>924</v>
      </c>
      <c r="B22" s="670"/>
      <c r="C22" s="670"/>
      <c r="D22" s="670"/>
      <c r="E22" s="670"/>
      <c r="F22" s="670"/>
      <c r="G22" s="670"/>
    </row>
    <row r="23" spans="1:13">
      <c r="A23" s="117" t="s">
        <v>925</v>
      </c>
      <c r="B23" s="670">
        <f t="shared" ref="B23:G23" si="2">B20</f>
        <v>-241645.87266666666</v>
      </c>
      <c r="C23" s="670">
        <f t="shared" si="2"/>
        <v>-53929.688602531562</v>
      </c>
      <c r="D23" s="670">
        <f t="shared" si="2"/>
        <v>492872.91580534249</v>
      </c>
      <c r="E23" s="670">
        <f t="shared" si="2"/>
        <v>500074.22597956017</v>
      </c>
      <c r="F23" s="670">
        <f t="shared" si="2"/>
        <v>541269.47679020779</v>
      </c>
      <c r="G23" s="670">
        <f t="shared" si="2"/>
        <v>710364.89241151139</v>
      </c>
    </row>
    <row r="24" spans="1:13">
      <c r="A24" s="123" t="s">
        <v>926</v>
      </c>
      <c r="B24" s="136">
        <f>IF('FE Cash Flow Y1-Y5'!C10&gt;0,-('FE Cash Flow Y1-Y5'!C10),0)</f>
        <v>0</v>
      </c>
      <c r="C24" s="136">
        <f>IF('FE Cash Flow Y1-Y5'!D10&gt;0,-('FE Cash Flow Y1-Y5'!D10),0)</f>
        <v>0</v>
      </c>
      <c r="D24" s="136">
        <f>IF('FE Cash Flow Y1-Y5'!E10&gt;0,-('FE Cash Flow Y1-Y5'!E10),0)</f>
        <v>-359400.30901437427</v>
      </c>
      <c r="E24" s="136">
        <f>IF('FE Cash Flow Y1-Y5'!F10&gt;0,-('FE Cash Flow Y1-Y5'!F10),0)</f>
        <v>-403964.22063644242</v>
      </c>
      <c r="F24" s="136">
        <f>IF('FE Cash Flow Y1-Y5'!G10&gt;0,-('FE Cash Flow Y1-Y5'!G10),0)</f>
        <v>-427078.94329554419</v>
      </c>
      <c r="G24" s="136">
        <f>IF('FE Cash Flow Y1-Y5'!H10&gt;0,-('FE Cash Flow Y1-Y5'!H10),0)</f>
        <v>-619238.76975787943</v>
      </c>
      <c r="I24" s="121" t="s">
        <v>927</v>
      </c>
    </row>
    <row r="25" spans="1:13">
      <c r="A25" s="117" t="s">
        <v>928</v>
      </c>
      <c r="B25" s="670">
        <f t="shared" ref="B25:G25" si="3">B23+B24</f>
        <v>-241645.87266666666</v>
      </c>
      <c r="C25" s="670">
        <f t="shared" si="3"/>
        <v>-53929.688602531562</v>
      </c>
      <c r="D25" s="670">
        <f t="shared" si="3"/>
        <v>133472.60679096822</v>
      </c>
      <c r="E25" s="670">
        <f t="shared" si="3"/>
        <v>96110.005343117751</v>
      </c>
      <c r="F25" s="670">
        <f t="shared" si="3"/>
        <v>114190.5334946636</v>
      </c>
      <c r="G25" s="670">
        <f t="shared" si="3"/>
        <v>91126.122653631959</v>
      </c>
      <c r="I25" s="122" t="s">
        <v>929</v>
      </c>
    </row>
    <row r="26" spans="1:13">
      <c r="A26" s="117"/>
      <c r="B26" s="117"/>
      <c r="C26" s="117"/>
      <c r="D26" s="117"/>
      <c r="E26" s="117"/>
      <c r="F26" s="117"/>
      <c r="G26" s="117"/>
    </row>
    <row r="27" spans="1:13">
      <c r="A27" s="120" t="s">
        <v>930</v>
      </c>
      <c r="B27" s="117"/>
      <c r="C27" s="117"/>
      <c r="D27" s="117"/>
      <c r="E27" s="117"/>
      <c r="F27" s="117"/>
      <c r="G27" s="117"/>
    </row>
    <row r="28" spans="1:13">
      <c r="A28" s="117" t="s">
        <v>931</v>
      </c>
      <c r="B28" s="117"/>
      <c r="C28" s="663">
        <f>C8/C5</f>
        <v>0.45677284654220057</v>
      </c>
      <c r="D28" s="736">
        <f>D8/D5</f>
        <v>0.40807821259036875</v>
      </c>
      <c r="E28" s="736">
        <f>E8/E5</f>
        <v>0.42736230775827427</v>
      </c>
      <c r="F28" s="736">
        <f>F8/F5</f>
        <v>0.44764627187538969</v>
      </c>
      <c r="G28" s="736">
        <f>G8/G5</f>
        <v>0.45614789511026527</v>
      </c>
    </row>
    <row r="29" spans="1:13">
      <c r="A29" s="117" t="s">
        <v>932</v>
      </c>
      <c r="B29" s="117"/>
      <c r="C29" s="664">
        <f>C9/C5</f>
        <v>0.54322715345779948</v>
      </c>
      <c r="D29" s="137">
        <f>D9/D5</f>
        <v>0.59192178740963119</v>
      </c>
      <c r="E29" s="137">
        <f>E9/E5</f>
        <v>0.57263769224172567</v>
      </c>
      <c r="F29" s="137">
        <f>F9/F5</f>
        <v>0.55235372812461037</v>
      </c>
      <c r="G29" s="137">
        <f>G9/G5</f>
        <v>0.54385210488973479</v>
      </c>
    </row>
    <row r="30" spans="1:13">
      <c r="A30" s="117" t="s">
        <v>933</v>
      </c>
      <c r="B30" s="117"/>
      <c r="C30" s="736">
        <f>C17/C5</f>
        <v>0.58419318221134331</v>
      </c>
      <c r="D30" s="736">
        <f>D17/D5</f>
        <v>0.34257243315764879</v>
      </c>
      <c r="E30" s="736">
        <f>E17/E5</f>
        <v>0.37624948195212826</v>
      </c>
      <c r="F30" s="736">
        <f>F17/F5</f>
        <v>0.37475524922919873</v>
      </c>
      <c r="G30" s="736">
        <f>G17/G5</f>
        <v>0.34572535014996836</v>
      </c>
    </row>
    <row r="31" spans="1:13">
      <c r="A31" s="117" t="s">
        <v>934</v>
      </c>
      <c r="B31" s="123"/>
      <c r="C31" s="664">
        <f>C13/C5</f>
        <v>0.2030150768964282</v>
      </c>
      <c r="D31" s="137">
        <f>D13/D5</f>
        <v>0.12819638877044023</v>
      </c>
      <c r="E31" s="137">
        <f>E13/E5</f>
        <v>0.11154395955587275</v>
      </c>
      <c r="F31" s="137">
        <f>F13/F5</f>
        <v>0.10348455533253685</v>
      </c>
      <c r="G31" s="137">
        <f>G13/G5</f>
        <v>9.6238323338281917E-2</v>
      </c>
    </row>
    <row r="32" spans="1:13">
      <c r="A32" t="s">
        <v>935</v>
      </c>
      <c r="C32" s="663">
        <f>C18/C5</f>
        <v>-4.0966028753543833E-2</v>
      </c>
      <c r="D32" s="20">
        <f>D18/D5</f>
        <v>0.24934935425198243</v>
      </c>
      <c r="E32" s="20">
        <f>E18/E5</f>
        <v>0.19638821028959744</v>
      </c>
      <c r="F32" s="20">
        <f>F18/F5</f>
        <v>0.17759847889541161</v>
      </c>
      <c r="G32" s="20">
        <f>G18/G5</f>
        <v>0.19812675473976638</v>
      </c>
      <c r="M32" s="236"/>
    </row>
    <row r="33" spans="1:7">
      <c r="A33" s="117" t="s">
        <v>936</v>
      </c>
      <c r="B33" s="117"/>
      <c r="C33" s="664">
        <f>C20/C5</f>
        <v>-4.0966028753543833E-2</v>
      </c>
      <c r="D33" s="137">
        <f>D20/D5</f>
        <v>0.18202502860394718</v>
      </c>
      <c r="E33" s="137">
        <f>E20/E5</f>
        <v>0.14336339351140612</v>
      </c>
      <c r="F33" s="137">
        <f>F20/F5</f>
        <v>0.12964688959365045</v>
      </c>
      <c r="G33" s="137">
        <f>G20/G5</f>
        <v>0.14463253096002945</v>
      </c>
    </row>
    <row r="35" spans="1:7">
      <c r="A35" s="1" t="s">
        <v>937</v>
      </c>
    </row>
    <row r="36" spans="1:7">
      <c r="A36" t="s">
        <v>84</v>
      </c>
      <c r="C36" s="522">
        <f>(C$7+C$11+C$12+C$13+C$14)/('OM Final COGS Y1-Y5'!C$6-('OM Final COGS Y1-Y5'!C$13+'OM Final COGS Y1-Y5'!C$14))</f>
        <v>104842.7385622806</v>
      </c>
      <c r="D36" s="522">
        <f>(D$7+D$11+D$12+D$13+D$14)/('OM Final COGS Y1-Y5'!D$6-('OM Final COGS Y1-Y5'!D$13+'OM Final COGS Y1-Y5'!D$14))</f>
        <v>127140.83379312907</v>
      </c>
      <c r="E36" s="522">
        <f>(E$7+E$11+E$12+E$13+E$14)/('OM Final COGS Y1-Y5'!E$6-('OM Final COGS Y1-Y5'!E$13+'OM Final COGS Y1-Y5'!E$14))</f>
        <v>190190.98843171599</v>
      </c>
      <c r="F36" s="522">
        <f>(F$7+F$11+F$12+F$13+F$14)/('OM Final COGS Y1-Y5'!F$6-('OM Final COGS Y1-Y5'!F$13+'OM Final COGS Y1-Y5'!F$14))</f>
        <v>251501.72782578264</v>
      </c>
      <c r="G36" s="522">
        <f>(G$7+G$11+G$12+G$13+G$14)/('OM Final COGS Y1-Y5'!G$6-('OM Final COGS Y1-Y5'!G$13+'OM Final COGS Y1-Y5'!G$14))</f>
        <v>294742.12540269771</v>
      </c>
    </row>
    <row r="37" spans="1:7">
      <c r="A37" t="s">
        <v>938</v>
      </c>
      <c r="C37" s="136">
        <f>(C$7+C$11+C$12+C$13+C$14)/((C5-C6)/C5)</f>
        <v>1378682.0120939894</v>
      </c>
      <c r="D37" s="136">
        <f>(D$7+D$11+D$12+D$13+D$14)/((D5-D6)/D5)</f>
        <v>1671901.964379647</v>
      </c>
      <c r="E37" s="136">
        <f>(E$7+E$11+E$12+E$13+E$14)/((E5-E6)/E5)</f>
        <v>2396406.4542396213</v>
      </c>
      <c r="F37" s="136">
        <f>(F$7+F$11+F$12+F$13+F$14)/((F5-F6)/F5)</f>
        <v>2972750.4229007503</v>
      </c>
      <c r="G37" s="136">
        <f>(G$7+G$11+G$12+G$13+G$14)/((G5-G6)/G5)</f>
        <v>3318796.3320343769</v>
      </c>
    </row>
  </sheetData>
  <hyperlinks>
    <hyperlink ref="A1" location="'Index'!A1" display="Back to Index" xr:uid="{7F2DC536-1AE3-4076-9D26-287DDF06CB28}"/>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0F27F-11CC-4E5F-9918-03C24DBB7D77}">
  <sheetPr>
    <tabColor rgb="FFA9D08E"/>
  </sheetPr>
  <dimension ref="A1:L40"/>
  <sheetViews>
    <sheetView workbookViewId="0">
      <selection activeCell="A7" sqref="A7"/>
    </sheetView>
  </sheetViews>
  <sheetFormatPr defaultColWidth="8.875" defaultRowHeight="15.95"/>
  <cols>
    <col min="1" max="1" width="51.875" bestFit="1" customWidth="1"/>
    <col min="2" max="2" width="52.625" bestFit="1" customWidth="1"/>
    <col min="3" max="7" width="13.625" bestFit="1" customWidth="1"/>
    <col min="11" max="11" width="11.375" bestFit="1" customWidth="1"/>
  </cols>
  <sheetData>
    <row r="1" spans="1:12">
      <c r="A1" s="44" t="s">
        <v>41</v>
      </c>
      <c r="B1" s="206"/>
      <c r="C1" s="206"/>
      <c r="D1" s="206"/>
      <c r="E1" s="206"/>
      <c r="F1" s="206"/>
      <c r="G1" s="206"/>
      <c r="H1" s="206"/>
      <c r="I1" s="206"/>
      <c r="J1" s="206"/>
      <c r="K1" s="206"/>
      <c r="L1" s="206"/>
    </row>
    <row r="2" spans="1:12" ht="17.100000000000001">
      <c r="A2" s="801" t="s">
        <v>939</v>
      </c>
      <c r="B2" s="802" t="s">
        <v>42</v>
      </c>
      <c r="C2" s="802" t="s">
        <v>42</v>
      </c>
      <c r="D2" s="802" t="s">
        <v>42</v>
      </c>
      <c r="E2" s="802" t="s">
        <v>42</v>
      </c>
      <c r="F2" s="802" t="s">
        <v>42</v>
      </c>
      <c r="G2" s="802" t="s">
        <v>42</v>
      </c>
      <c r="H2" s="117"/>
      <c r="I2" s="117"/>
      <c r="J2" s="117"/>
      <c r="K2" s="117"/>
      <c r="L2" s="206"/>
    </row>
    <row r="3" spans="1:12">
      <c r="A3" s="120" t="s">
        <v>834</v>
      </c>
      <c r="B3" s="228" t="s">
        <v>940</v>
      </c>
      <c r="C3" s="228" t="s">
        <v>80</v>
      </c>
      <c r="D3" s="228" t="s">
        <v>93</v>
      </c>
      <c r="E3" s="228" t="s">
        <v>94</v>
      </c>
      <c r="F3" s="228" t="s">
        <v>95</v>
      </c>
      <c r="G3" s="228" t="s">
        <v>96</v>
      </c>
      <c r="H3" s="120" t="s">
        <v>941</v>
      </c>
      <c r="I3" s="117"/>
      <c r="J3" s="117"/>
      <c r="K3" s="117"/>
      <c r="L3" s="206"/>
    </row>
    <row r="4" spans="1:12">
      <c r="A4" s="120" t="s">
        <v>942</v>
      </c>
      <c r="B4" s="803"/>
      <c r="C4" s="670"/>
      <c r="D4" s="670"/>
      <c r="E4" s="670"/>
      <c r="F4" s="670"/>
      <c r="G4" s="670"/>
      <c r="H4" s="117"/>
      <c r="I4" s="117"/>
      <c r="J4" s="117"/>
      <c r="L4" s="206"/>
    </row>
    <row r="5" spans="1:12">
      <c r="A5" s="117" t="s">
        <v>884</v>
      </c>
      <c r="B5" s="587">
        <f>C5/6</f>
        <v>10970.408540000004</v>
      </c>
      <c r="C5" s="670">
        <f>'FE Assumptions'!$B$72*'FE Income Statement Y1-Y5'!C5*H5</f>
        <v>65822.451240000024</v>
      </c>
      <c r="D5" s="670">
        <f>('FE Assumptions'!$B$72*'FE Income Statement Y1-Y5'!D5)*H5</f>
        <v>135386.02893938913</v>
      </c>
      <c r="E5" s="670">
        <f>('FE Assumptions'!$B$72*'FE Income Statement Y1-Y5'!E5)*H5</f>
        <v>174407.92022678154</v>
      </c>
      <c r="F5" s="670">
        <f>('FE Assumptions'!$B$72*'FE Income Statement Y1-Y5'!F5)*H5</f>
        <v>208747.57523558699</v>
      </c>
      <c r="G5" s="670">
        <f>('FE Assumptions'!$B$72*'FE Income Statement Y1-Y5'!G5)*H5</f>
        <v>245575.76628726337</v>
      </c>
      <c r="H5" s="227">
        <v>1</v>
      </c>
      <c r="I5" s="117"/>
      <c r="J5" s="117"/>
      <c r="L5" s="206"/>
    </row>
    <row r="6" spans="1:12">
      <c r="A6" s="117" t="s">
        <v>943</v>
      </c>
      <c r="B6" s="587">
        <v>0</v>
      </c>
      <c r="C6" s="670">
        <f>('FE Assumptions'!C27*'FE Assumptions'!C34*'FE Assumptions'!B56/365)+('FE Assumptions'!C26*'FE Assumptions'!C33*'FE Assumptions'!B57/365)</f>
        <v>49010.728333727544</v>
      </c>
      <c r="D6" s="670">
        <f>'FE Assumptions'!D27*'FE Assumptions'!D34*'FE Assumptions'!B56/365+'FE Assumptions'!D26*'FE Assumptions'!D33*'FE Assumptions'!B57/365</f>
        <v>132097.63242129941</v>
      </c>
      <c r="E6" s="670">
        <f>'FE Assumptions'!E27*'FE Assumptions'!E34*'FE Assumptions'!B56/365+'FE Assumptions'!E26*'FE Assumptions'!E33*'FE Assumptions'!B57/365</f>
        <v>198308.3098100514</v>
      </c>
      <c r="F6" s="670">
        <f>'FE Assumptions'!F27*'FE Assumptions'!F34*'FE Assumptions'!B56/365+'FE Assumptions'!F26*'FE Assumptions'!F33*'FE Assumptions'!B57/365+'FE Assumptions'!F28*'FE Assumptions'!F35*'FE Assumptions'!B57/365+'FE Assumptions'!F29*'FE Assumptions'!F36*'FE Assumptions'!B57/365</f>
        <v>304235.26942260767</v>
      </c>
      <c r="G6" s="661">
        <f>'FE Assumptions'!G27*'FE Assumptions'!G34*'FE Assumptions'!B56/365+'FE Assumptions'!G26*'FE Assumptions'!G33*'FE Assumptions'!B57/365+'FE Assumptions'!G28*'FE Assumptions'!G35*'FE Assumptions'!B57/365+'FE Assumptions'!G29*'FE Assumptions'!G36*'FE Assumptions'!B57/365</f>
        <v>381801.02647867554</v>
      </c>
      <c r="I6" s="117"/>
      <c r="J6" s="117"/>
      <c r="K6" s="117" t="s">
        <v>944</v>
      </c>
      <c r="L6" s="206"/>
    </row>
    <row r="7" spans="1:12">
      <c r="A7" s="117" t="s">
        <v>945</v>
      </c>
      <c r="B7" s="587">
        <f>'FE Assumptions'!B14</f>
        <v>19683.080000000002</v>
      </c>
      <c r="C7" s="670">
        <f>'FE Assumptions'!C61</f>
        <v>21629.263244315138</v>
      </c>
      <c r="D7" s="670">
        <f>'FE Assumptions'!D61</f>
        <v>37082.587197042812</v>
      </c>
      <c r="E7" s="670">
        <f>'FE Assumptions'!E61</f>
        <v>47021.649173663303</v>
      </c>
      <c r="F7" s="670">
        <f>'FE Assumptions'!F61</f>
        <v>57036.594874805058</v>
      </c>
      <c r="G7" s="661">
        <f>'FE Assumptions'!G61</f>
        <v>66983.85671040765</v>
      </c>
      <c r="I7" s="117"/>
      <c r="J7" s="117"/>
      <c r="K7" s="117" t="s">
        <v>946</v>
      </c>
      <c r="L7" s="206"/>
    </row>
    <row r="8" spans="1:12">
      <c r="A8" s="117" t="s">
        <v>736</v>
      </c>
      <c r="B8" s="587">
        <f>'FE Assumptions'!B15*H8</f>
        <v>12529.690276214447</v>
      </c>
      <c r="C8" s="804">
        <f>'FE Assumptions'!C62*H8</f>
        <v>11159.348254920393</v>
      </c>
      <c r="D8" s="804">
        <f>'FE Assumptions'!D62*H8</f>
        <v>21044.210188678837</v>
      </c>
      <c r="E8" s="804">
        <f>'FE Assumptions'!E62*H8</f>
        <v>28103.665311716031</v>
      </c>
      <c r="F8" s="805">
        <f>'FE Assumptions'!F62*H8</f>
        <v>34858.748231274745</v>
      </c>
      <c r="G8" s="805">
        <f>'FE Assumptions'!G62*H8</f>
        <v>41596.87575213737</v>
      </c>
      <c r="H8" s="18">
        <v>1</v>
      </c>
      <c r="I8" s="117"/>
      <c r="J8" s="117"/>
      <c r="K8" s="117" t="s">
        <v>946</v>
      </c>
      <c r="L8" s="206"/>
    </row>
    <row r="9" spans="1:12">
      <c r="A9" s="117" t="s">
        <v>947</v>
      </c>
      <c r="B9" s="587">
        <f t="shared" ref="B9" si="0">SUM(B5:B8)</f>
        <v>43183.178816214451</v>
      </c>
      <c r="C9" s="587">
        <f>SUM(C5:C8)</f>
        <v>147621.7910729631</v>
      </c>
      <c r="D9" s="587">
        <f>SUM(D5:D8)</f>
        <v>325610.45874641015</v>
      </c>
      <c r="E9" s="587">
        <f>SUM(E5:E8)</f>
        <v>447841.54452221229</v>
      </c>
      <c r="F9" s="589">
        <f>SUM(F5:F8)</f>
        <v>604878.18776427454</v>
      </c>
      <c r="G9" s="589">
        <f>SUM(G5:G8)</f>
        <v>735957.52522848395</v>
      </c>
      <c r="I9" s="117"/>
      <c r="J9" s="670"/>
      <c r="L9" s="206"/>
    </row>
    <row r="10" spans="1:12">
      <c r="A10" s="120" t="s">
        <v>948</v>
      </c>
      <c r="B10" s="587"/>
      <c r="C10" s="587"/>
      <c r="D10" s="587"/>
      <c r="E10" s="587"/>
      <c r="F10" s="587"/>
      <c r="G10" s="587"/>
      <c r="H10" s="117"/>
      <c r="I10" s="117"/>
      <c r="J10" s="117"/>
      <c r="K10" s="236"/>
    </row>
    <row r="11" spans="1:12">
      <c r="A11" s="117" t="s">
        <v>949</v>
      </c>
      <c r="B11" s="65">
        <f>'FE Assumptions'!$B$10</f>
        <v>866149.99999989895</v>
      </c>
      <c r="C11" s="65">
        <f>'FE Assumptions'!$B$10+'OM IS Expenses Y1-Y5'!D17+'OM IS Expenses Y1-Y5'!D16+'OM IS Expenses Y1-Y5'!D13+'OM IS Expenses Y1-Y5'!D12</f>
        <v>866149.99999989895</v>
      </c>
      <c r="D11" s="65">
        <f>'FE Assumptions'!$B$10+'OM IS Expenses Y1-Y5'!E17+'OM IS Expenses Y1-Y5'!E16+'OM IS Expenses Y1-Y5'!E13+'OM IS Expenses Y1-Y5'!E12</f>
        <v>866149.99999989895</v>
      </c>
      <c r="E11" s="65">
        <f>('FE Assumptions'!$B$10)+'FE Assumptions'!E64</f>
        <v>881899.99999989895</v>
      </c>
      <c r="F11" s="65">
        <f>E11+'FE Assumptions'!F64</f>
        <v>879399.99999989895</v>
      </c>
      <c r="G11" s="65">
        <f>F11</f>
        <v>879399.99999989895</v>
      </c>
      <c r="H11" s="117" t="s">
        <v>950</v>
      </c>
      <c r="I11" s="117"/>
      <c r="J11" s="117"/>
    </row>
    <row r="12" spans="1:12">
      <c r="A12" s="117" t="s">
        <v>951</v>
      </c>
      <c r="B12" s="670" t="s">
        <v>42</v>
      </c>
      <c r="C12" s="661">
        <f>-('FE Cash Flow Y1-Y5'!D7)</f>
        <v>-15061.666666656565</v>
      </c>
      <c r="D12" s="661">
        <f>-('FE Income Statement Y1-Y5'!C15+'FE Income Statement Y1-Y5'!D15+'FE Income Statement Y1-Y5'!C16+'FE Income Statement Y1-Y5'!D16)</f>
        <v>-30123.333333313134</v>
      </c>
      <c r="E12" s="661">
        <f>-('FE Income Statement Y1-Y5'!C15+'FE Income Statement Y1-Y5'!C16+'FE Income Statement Y1-Y5'!D15+'FE Income Statement Y1-Y5'!D16+'FE Income Statement Y1-Y5'!E15+'FE Income Statement Y1-Y5'!E16)</f>
        <v>-49434.999999969696</v>
      </c>
      <c r="F12" s="661">
        <f>E12-('FE Income Statement Y1-Y5'!F16+'FE Income Statement Y1-Y5'!F15)</f>
        <v>-67663.333333292932</v>
      </c>
      <c r="G12" s="661">
        <f>F12-('FE Income Statement Y1-Y5'!G15+'FE Income Statement Y1-Y5'!G16)</f>
        <v>-85891.666666616162</v>
      </c>
      <c r="H12" s="117" t="s">
        <v>952</v>
      </c>
      <c r="I12" s="117"/>
      <c r="J12" s="117"/>
      <c r="K12" s="117"/>
    </row>
    <row r="13" spans="1:12">
      <c r="A13" s="117" t="s">
        <v>953</v>
      </c>
      <c r="B13" s="806" t="s">
        <v>42</v>
      </c>
      <c r="C13" s="668">
        <f>SUM(C11+C12)</f>
        <v>851088.33333324234</v>
      </c>
      <c r="D13" s="668">
        <f>SUM(D11+D12)</f>
        <v>836026.66666658584</v>
      </c>
      <c r="E13" s="668">
        <f>SUM(E11+E12)</f>
        <v>832464.99999992922</v>
      </c>
      <c r="F13" s="668">
        <f>SUM(F11+F12)</f>
        <v>811736.66666660598</v>
      </c>
      <c r="G13" s="668">
        <f>SUM(G11+G12)</f>
        <v>793508.33333328273</v>
      </c>
      <c r="H13" s="117"/>
      <c r="I13" s="117"/>
      <c r="J13" s="117"/>
    </row>
    <row r="14" spans="1:12">
      <c r="A14" s="117"/>
      <c r="B14" s="670"/>
      <c r="C14" s="670"/>
      <c r="D14" s="670"/>
      <c r="E14" s="670"/>
      <c r="F14" s="670"/>
      <c r="G14" s="670"/>
      <c r="H14" s="117"/>
      <c r="I14" s="117"/>
      <c r="J14" s="117"/>
    </row>
    <row r="15" spans="1:12">
      <c r="A15" s="120" t="s">
        <v>954</v>
      </c>
      <c r="B15" s="807">
        <f>B11+B9</f>
        <v>909333.17881611339</v>
      </c>
      <c r="C15" s="800">
        <f>SUM(C9,C13)</f>
        <v>998710.12440620549</v>
      </c>
      <c r="D15" s="800">
        <f>SUM(D9,D13)</f>
        <v>1161637.1254129959</v>
      </c>
      <c r="E15" s="800">
        <f>SUM(E9,E13)</f>
        <v>1280306.5445221416</v>
      </c>
      <c r="F15" s="800">
        <f>SUM(F9,F13)</f>
        <v>1416614.8544308804</v>
      </c>
      <c r="G15" s="800">
        <f>SUM(G9,G13)</f>
        <v>1529465.8585617668</v>
      </c>
      <c r="H15" s="117"/>
      <c r="I15" s="117"/>
      <c r="J15" s="117"/>
    </row>
    <row r="16" spans="1:12">
      <c r="A16" s="120"/>
      <c r="B16" s="65"/>
      <c r="C16" s="65"/>
      <c r="D16" s="65"/>
      <c r="E16" s="65"/>
      <c r="F16" s="65"/>
      <c r="G16" s="65"/>
      <c r="H16" s="117"/>
      <c r="I16" s="117"/>
      <c r="J16" s="117"/>
    </row>
    <row r="17" spans="1:12">
      <c r="A17" s="120" t="s">
        <v>955</v>
      </c>
      <c r="B17" s="65"/>
      <c r="C17" s="65"/>
      <c r="D17" s="65"/>
      <c r="E17" s="65"/>
      <c r="F17" s="65"/>
      <c r="G17" s="65"/>
      <c r="H17" s="117"/>
      <c r="I17" s="117"/>
      <c r="J17" s="117"/>
      <c r="K17" s="117"/>
      <c r="L17" s="206"/>
    </row>
    <row r="18" spans="1:12">
      <c r="A18" s="117" t="s">
        <v>956</v>
      </c>
      <c r="B18" s="806">
        <v>0</v>
      </c>
      <c r="C18" s="806">
        <f>(('FE Assumptions'!$B$59)*'OM Inventory Y1-Y5'!$V$17*'FE Income Statement Y1-Y5'!C8/365)+(('FE Assumptions'!$B$58)*'OM Inventory Y1-Y5'!$V$16*'FE Income Statement Y1-Y5'!C8/365)</f>
        <v>35166.657898209487</v>
      </c>
      <c r="D18" s="668">
        <f>(('FE Assumptions'!$B$59)*'OM Inventory Y1-Y5'!$V$17*'FE Income Statement Y1-Y5'!D8/365)+(('FE Assumptions'!$B$58)*'OM Inventory Y1-Y5'!$V$16*'FE Income Statement Y1-Y5'!D8/365)</f>
        <v>64621.05211403178</v>
      </c>
      <c r="E18" s="668">
        <f>(('FE Assumptions'!$B$59)*'OM Inventory Y1-Y5'!$V$17*'FE Income Statement Y1-Y5'!E8/365)+(('FE Assumptions'!$B$58)*'OM Inventory Y1-Y5'!$V$16*'FE Income Statement Y1-Y5'!E8/365)</f>
        <v>87180.465880059608</v>
      </c>
      <c r="F18" s="668">
        <f>(('FE Assumptions'!$B$59)*'OM Inventory Y1-Y5'!$V$17*'FE Income Statement Y1-Y5'!F8/365)+(('FE Assumptions'!$B$58)*'OM Inventory Y1-Y5'!$V$16*'FE Income Statement Y1-Y5'!F8/365)</f>
        <v>109298.24229413498</v>
      </c>
      <c r="G18" s="668">
        <f>(('FE Assumptions'!$B$59)*'OM Inventory Y1-Y5'!$V$17*'FE Income Statement Y1-Y5'!G8/365)+(('FE Assumptions'!$B$58)*'OM Inventory Y1-Y5'!$V$16*'FE Income Statement Y1-Y5'!G8/365)</f>
        <v>131023.12377138928</v>
      </c>
      <c r="H18" s="117" t="s">
        <v>944</v>
      </c>
      <c r="I18" s="117"/>
      <c r="J18" s="117"/>
      <c r="K18" s="117"/>
      <c r="L18" s="206"/>
    </row>
    <row r="19" spans="1:12">
      <c r="A19" s="117" t="s">
        <v>957</v>
      </c>
      <c r="B19" s="589">
        <f t="shared" ref="B19:G19" si="1">B18</f>
        <v>0</v>
      </c>
      <c r="C19" s="587">
        <f t="shared" si="1"/>
        <v>35166.657898209487</v>
      </c>
      <c r="D19" s="589">
        <f t="shared" si="1"/>
        <v>64621.05211403178</v>
      </c>
      <c r="E19" s="589">
        <f t="shared" si="1"/>
        <v>87180.465880059608</v>
      </c>
      <c r="F19" s="589">
        <f t="shared" si="1"/>
        <v>109298.24229413498</v>
      </c>
      <c r="G19" s="589">
        <f t="shared" si="1"/>
        <v>131023.12377138928</v>
      </c>
      <c r="H19" s="117"/>
      <c r="I19" s="117"/>
      <c r="J19" s="117"/>
      <c r="K19" s="117"/>
      <c r="L19" s="206"/>
    </row>
    <row r="20" spans="1:12">
      <c r="A20" s="120" t="s">
        <v>958</v>
      </c>
      <c r="B20" s="65"/>
      <c r="C20" s="573"/>
      <c r="D20" s="573"/>
      <c r="E20" s="573"/>
      <c r="F20" s="573"/>
      <c r="G20" s="573"/>
      <c r="H20" s="117"/>
      <c r="I20" s="117"/>
      <c r="J20" s="117"/>
      <c r="K20" s="117"/>
      <c r="L20" s="206"/>
    </row>
    <row r="21" spans="1:12">
      <c r="A21" s="117" t="s">
        <v>959</v>
      </c>
      <c r="B21" s="589">
        <f>IF('FE Cash Flow Y1-Y5'!C10&lt;0,-'FE Cash Flow Y1-Y5'!C10,0)</f>
        <v>1150979.0514827801</v>
      </c>
      <c r="C21" s="589">
        <f>IF('FE Cash Flow Y1-Y5'!D10&lt;0,-'FE Cash Flow Y1-Y5'!D10+'FE Balance Sheet Y1-Y5'!B21,B21)</f>
        <v>1259119.0277771943</v>
      </c>
      <c r="D21" s="589">
        <f>IF('FE Cash Flow Y1-Y5'!E10&lt;0,-'FE Cash Flow Y1-Y5'!E10+'FE Balance Sheet Y1-Y5'!C21,C21)</f>
        <v>1259119.0277771943</v>
      </c>
      <c r="E21" s="589">
        <f>IF('FE Cash Flow Y1-Y5'!F10&lt;0,-'FE Cash Flow Y1-Y5'!F10+'FE Balance Sheet Y1-Y5'!D21,D21)</f>
        <v>1259119.0277771943</v>
      </c>
      <c r="F21" s="589">
        <f>IF('FE Cash Flow Y1-Y5'!G10&lt;0,-'FE Cash Flow Y1-Y5'!G10+'FE Balance Sheet Y1-Y5'!E21,E21)</f>
        <v>1259119.0277771943</v>
      </c>
      <c r="G21" s="589">
        <f>IF('FE Cash Flow Y1-Y5'!H10&lt;0,-'FE Cash Flow Y1-Y5'!H10+'FE Balance Sheet Y1-Y5'!F21,F21)</f>
        <v>1259119.0277771943</v>
      </c>
      <c r="H21" s="117" t="s">
        <v>960</v>
      </c>
      <c r="I21" s="117"/>
      <c r="J21" s="117"/>
      <c r="K21" s="117"/>
      <c r="L21" s="206"/>
    </row>
    <row r="22" spans="1:12">
      <c r="A22" s="117" t="s">
        <v>961</v>
      </c>
      <c r="B22" s="667">
        <f>'FE Income Statement Y1-Y5'!B25</f>
        <v>-241645.87266666666</v>
      </c>
      <c r="C22" s="667">
        <f>B22+'FE Income Statement Y1-Y5'!C25</f>
        <v>-295575.5612691982</v>
      </c>
      <c r="D22" s="667">
        <f>C22+'FE Income Statement Y1-Y5'!D25</f>
        <v>-162102.95447822998</v>
      </c>
      <c r="E22" s="667">
        <f>D22+'FE Income Statement Y1-Y5'!E25</f>
        <v>-65992.949135112227</v>
      </c>
      <c r="F22" s="667">
        <f>E22+'FE Income Statement Y1-Y5'!F25</f>
        <v>48197.584359551372</v>
      </c>
      <c r="G22" s="667">
        <f>F22+'FE Income Statement Y1-Y5'!G25</f>
        <v>139323.70701318333</v>
      </c>
      <c r="H22" s="117" t="s">
        <v>962</v>
      </c>
      <c r="I22" s="117"/>
      <c r="J22" s="117"/>
      <c r="K22" s="117"/>
      <c r="L22" s="206"/>
    </row>
    <row r="23" spans="1:12">
      <c r="A23" s="117" t="s">
        <v>963</v>
      </c>
      <c r="B23" s="670">
        <f>B22+B21</f>
        <v>909333.1788161135</v>
      </c>
      <c r="C23" s="661">
        <f>C21+C22</f>
        <v>963543.46650799608</v>
      </c>
      <c r="D23" s="661">
        <f>D21+D22</f>
        <v>1097016.0732989642</v>
      </c>
      <c r="E23" s="670">
        <f>E21+E22</f>
        <v>1193126.0786420819</v>
      </c>
      <c r="F23" s="661">
        <f>F21+F22</f>
        <v>1307316.6121367456</v>
      </c>
      <c r="G23" s="661">
        <f>G21+G22</f>
        <v>1398442.7347903776</v>
      </c>
      <c r="H23" s="117"/>
      <c r="I23" s="117"/>
      <c r="J23" s="117"/>
      <c r="K23" s="117"/>
      <c r="L23" s="206"/>
    </row>
    <row r="24" spans="1:12">
      <c r="A24" s="117"/>
      <c r="B24" s="670"/>
      <c r="C24" s="670"/>
      <c r="D24" s="670"/>
      <c r="E24" s="670"/>
      <c r="F24" s="670"/>
      <c r="G24" s="670"/>
      <c r="H24" s="117"/>
      <c r="I24" s="117"/>
      <c r="J24" s="117"/>
      <c r="K24" s="117"/>
      <c r="L24" s="206"/>
    </row>
    <row r="25" spans="1:12">
      <c r="A25" s="120" t="s">
        <v>964</v>
      </c>
      <c r="B25" s="800">
        <f t="shared" ref="B25:G25" si="2">B23+B19</f>
        <v>909333.1788161135</v>
      </c>
      <c r="C25" s="807">
        <f t="shared" si="2"/>
        <v>998710.12440620561</v>
      </c>
      <c r="D25" s="807">
        <f t="shared" si="2"/>
        <v>1161637.1254129959</v>
      </c>
      <c r="E25" s="807">
        <f t="shared" si="2"/>
        <v>1280306.5445221416</v>
      </c>
      <c r="F25" s="807">
        <f t="shared" si="2"/>
        <v>1416614.8544308806</v>
      </c>
      <c r="G25" s="807">
        <f t="shared" si="2"/>
        <v>1529465.8585617668</v>
      </c>
      <c r="H25" s="117"/>
      <c r="I25" s="117"/>
      <c r="J25" s="117"/>
      <c r="K25" s="117"/>
      <c r="L25" s="206"/>
    </row>
    <row r="26" spans="1:12">
      <c r="A26" s="120"/>
      <c r="B26" s="65"/>
      <c r="C26" s="65"/>
      <c r="D26" s="65"/>
      <c r="E26" s="65"/>
      <c r="F26" s="65"/>
      <c r="G26" s="65"/>
      <c r="H26" s="117"/>
      <c r="I26" s="117"/>
      <c r="J26" s="117"/>
      <c r="K26" s="117"/>
      <c r="L26" s="206"/>
    </row>
    <row r="27" spans="1:12">
      <c r="A27" s="120" t="s">
        <v>965</v>
      </c>
      <c r="B27" s="65"/>
      <c r="C27" s="65"/>
      <c r="D27" s="65"/>
      <c r="E27" s="65"/>
      <c r="F27" s="65"/>
      <c r="G27" s="65"/>
      <c r="H27" s="117"/>
      <c r="I27" s="117"/>
      <c r="J27" s="117"/>
      <c r="K27" s="117"/>
      <c r="L27" s="206"/>
    </row>
    <row r="28" spans="1:12">
      <c r="A28" s="117" t="s">
        <v>966</v>
      </c>
      <c r="B28" s="587">
        <f>'FE Assumptions'!$B$78</f>
        <v>250000</v>
      </c>
      <c r="C28" s="587">
        <f>'FE Assumptions'!$B$78</f>
        <v>250000</v>
      </c>
      <c r="D28" s="587">
        <f>'FE Assumptions'!$B$78</f>
        <v>250000</v>
      </c>
      <c r="E28" s="587">
        <f>'FE Assumptions'!$B$78</f>
        <v>250000</v>
      </c>
      <c r="F28" s="587">
        <f>'FE Assumptions'!$B$78</f>
        <v>250000</v>
      </c>
      <c r="G28" s="587">
        <f>'FE Assumptions'!$B$78</f>
        <v>250000</v>
      </c>
      <c r="H28" s="117"/>
      <c r="I28" s="117"/>
      <c r="J28" s="117"/>
      <c r="K28" s="117"/>
      <c r="L28" s="206"/>
    </row>
    <row r="29" spans="1:12">
      <c r="A29" s="65" t="s">
        <v>967</v>
      </c>
      <c r="B29" s="587">
        <f>B21-B28</f>
        <v>900979.05148278014</v>
      </c>
      <c r="C29" s="587">
        <f t="shared" ref="C29:G29" si="3">C21-C28</f>
        <v>1009119.0277771943</v>
      </c>
      <c r="D29" s="587">
        <f t="shared" si="3"/>
        <v>1009119.0277771943</v>
      </c>
      <c r="E29" s="587">
        <f t="shared" si="3"/>
        <v>1009119.0277771943</v>
      </c>
      <c r="F29" s="587">
        <f t="shared" si="3"/>
        <v>1009119.0277771943</v>
      </c>
      <c r="G29" s="587">
        <f t="shared" si="3"/>
        <v>1009119.0277771943</v>
      </c>
      <c r="H29" s="117"/>
      <c r="I29" s="117"/>
      <c r="J29" s="117"/>
      <c r="K29" s="117"/>
      <c r="L29" s="206"/>
    </row>
    <row r="30" spans="1:12">
      <c r="A30" s="117" t="s">
        <v>968</v>
      </c>
      <c r="B30" s="736">
        <f t="shared" ref="B30:G30" si="4">B29/B21</f>
        <v>0.78279361411666815</v>
      </c>
      <c r="C30" s="736">
        <f t="shared" si="4"/>
        <v>0.80144847747925674</v>
      </c>
      <c r="D30" s="736">
        <f t="shared" si="4"/>
        <v>0.80144847747925674</v>
      </c>
      <c r="E30" s="736">
        <f t="shared" si="4"/>
        <v>0.80144847747925674</v>
      </c>
      <c r="F30" s="736">
        <f t="shared" si="4"/>
        <v>0.80144847747925674</v>
      </c>
      <c r="G30" s="736">
        <f t="shared" si="4"/>
        <v>0.80144847747925674</v>
      </c>
      <c r="H30" s="117"/>
      <c r="I30" s="117"/>
      <c r="J30" s="117"/>
      <c r="K30" s="117"/>
      <c r="L30" s="206"/>
    </row>
    <row r="31" spans="1:12">
      <c r="A31" s="117"/>
      <c r="B31" s="65"/>
      <c r="C31" s="65"/>
      <c r="D31" s="65"/>
      <c r="E31" s="65"/>
      <c r="F31" s="65"/>
      <c r="G31" s="65"/>
      <c r="H31" s="117"/>
      <c r="I31" s="117"/>
      <c r="J31" s="117"/>
      <c r="K31" s="117"/>
      <c r="L31" s="206"/>
    </row>
    <row r="32" spans="1:12">
      <c r="A32" s="117" t="s">
        <v>969</v>
      </c>
      <c r="B32" s="619">
        <f t="shared" ref="B32:G32" si="5">B15-B25</f>
        <v>0</v>
      </c>
      <c r="C32" s="619">
        <f t="shared" si="5"/>
        <v>0</v>
      </c>
      <c r="D32" s="619">
        <f t="shared" si="5"/>
        <v>0</v>
      </c>
      <c r="E32" s="619">
        <f t="shared" si="5"/>
        <v>0</v>
      </c>
      <c r="F32" s="619">
        <f t="shared" si="5"/>
        <v>0</v>
      </c>
      <c r="G32" s="619">
        <f t="shared" si="5"/>
        <v>0</v>
      </c>
      <c r="H32" s="117" t="s">
        <v>970</v>
      </c>
      <c r="I32" s="117"/>
      <c r="J32" s="117"/>
      <c r="K32" s="117"/>
      <c r="L32" s="206"/>
    </row>
    <row r="33" spans="1:12">
      <c r="A33" s="206"/>
      <c r="B33" s="206"/>
      <c r="C33" s="206"/>
      <c r="D33" s="206"/>
      <c r="E33" s="206"/>
      <c r="F33" s="206"/>
      <c r="G33" s="206"/>
      <c r="H33" s="206"/>
      <c r="I33" s="206"/>
      <c r="J33" s="206"/>
      <c r="K33" s="206"/>
      <c r="L33" s="206"/>
    </row>
    <row r="34" spans="1:12" ht="33.950000000000003">
      <c r="A34" s="763" t="s">
        <v>971</v>
      </c>
      <c r="B34" s="808">
        <f t="shared" ref="B34" si="6">B9-B19</f>
        <v>43183.178816214451</v>
      </c>
      <c r="C34" s="808">
        <f>C9-C19</f>
        <v>112455.1331747536</v>
      </c>
      <c r="D34" s="808">
        <f>D9-D19</f>
        <v>260989.40663237838</v>
      </c>
      <c r="E34" s="808">
        <f>E9-E19</f>
        <v>360661.07864215272</v>
      </c>
      <c r="F34" s="808">
        <f>F9-F19</f>
        <v>495579.94547013956</v>
      </c>
      <c r="G34" s="808">
        <f>G9-G19</f>
        <v>604934.4014570947</v>
      </c>
      <c r="H34" s="117" t="s">
        <v>972</v>
      </c>
      <c r="I34" s="117"/>
      <c r="J34" s="206"/>
      <c r="K34" s="206"/>
      <c r="L34" s="206"/>
    </row>
    <row r="35" spans="1:12">
      <c r="A35" s="809"/>
      <c r="B35" s="206"/>
      <c r="C35" s="206"/>
      <c r="D35" s="206"/>
      <c r="E35" s="206"/>
      <c r="F35" s="206"/>
      <c r="G35" s="206"/>
      <c r="H35" s="206"/>
      <c r="I35" s="206"/>
      <c r="J35" s="206"/>
      <c r="K35" s="206"/>
      <c r="L35" s="206"/>
    </row>
    <row r="36" spans="1:12">
      <c r="A36" s="120" t="s">
        <v>973</v>
      </c>
      <c r="B36" s="206"/>
      <c r="C36" s="206"/>
      <c r="D36" s="206"/>
      <c r="E36" s="206"/>
      <c r="F36" s="206"/>
      <c r="G36" s="206"/>
      <c r="H36" s="206"/>
      <c r="I36" s="206"/>
      <c r="J36" s="206"/>
      <c r="K36" s="206"/>
      <c r="L36" s="206"/>
    </row>
    <row r="37" spans="1:12">
      <c r="A37" s="117" t="s">
        <v>974</v>
      </c>
      <c r="B37" s="117">
        <v>0</v>
      </c>
      <c r="C37" s="669">
        <f>(C6/'FE Income Statement Y1-Y5'!C5)*365</f>
        <v>13.588764551311282</v>
      </c>
      <c r="D37" s="669">
        <f>(D6/'FE Income Statement Y1-Y5'!D5)*365</f>
        <v>17.806725040794245</v>
      </c>
      <c r="E37" s="669">
        <f>(E6/'FE Income Statement Y1-Y5'!E5)*365</f>
        <v>20.750930630486909</v>
      </c>
      <c r="F37" s="669">
        <f>(F6/'FE Income Statement Y1-Y5'!F5)*365</f>
        <v>26.598122927638411</v>
      </c>
      <c r="G37" s="669">
        <f>(G6/'FE Income Statement Y1-Y5'!G5)*365</f>
        <v>28.373600695946248</v>
      </c>
      <c r="H37" s="117" t="s">
        <v>975</v>
      </c>
      <c r="I37" s="117"/>
      <c r="J37" s="206"/>
      <c r="K37" s="206"/>
      <c r="L37" s="206"/>
    </row>
    <row r="38" spans="1:12">
      <c r="A38" s="117" t="s">
        <v>976</v>
      </c>
      <c r="B38" s="117">
        <v>0</v>
      </c>
      <c r="C38" s="669">
        <f>('OM Inventory Y1-Y5'!B94/'FE Income Statement Y1-Y5'!C8)*365</f>
        <v>19.902680189011836</v>
      </c>
      <c r="D38" s="669">
        <f>('OM Inventory Y1-Y5'!C94/'FE Income Statement Y1-Y5'!D8)*365</f>
        <v>19.200918570473171</v>
      </c>
      <c r="E38" s="669">
        <f>('OM Inventory Y1-Y5'!D94/'FE Income Statement Y1-Y5'!E8)*365</f>
        <v>18.394447707492574</v>
      </c>
      <c r="F38" s="669">
        <f>('OM Inventory Y1-Y5'!E94/'FE Income Statement Y1-Y5'!F8)*365</f>
        <v>17.947334655286895</v>
      </c>
      <c r="G38" s="669">
        <f>('OM Inventory Y1-Y5'!F94/'FE Income Statement Y1-Y5'!G8)*365</f>
        <v>17.689862317110137</v>
      </c>
      <c r="H38" s="117" t="s">
        <v>975</v>
      </c>
      <c r="I38" s="117"/>
      <c r="J38" s="206"/>
      <c r="K38" s="206"/>
      <c r="L38" s="206"/>
    </row>
    <row r="39" spans="1:12">
      <c r="A39" s="117" t="s">
        <v>977</v>
      </c>
      <c r="B39" s="117">
        <v>0</v>
      </c>
      <c r="C39" s="669">
        <f>('FE Balance Sheet Y1-Y5'!C18/'FE Income Statement Y1-Y5'!C8)*365</f>
        <v>21.34615384615384</v>
      </c>
      <c r="D39" s="669">
        <f>('FE Balance Sheet Y1-Y5'!D18/'FE Income Statement Y1-Y5'!D8)*365</f>
        <v>21.34615384615384</v>
      </c>
      <c r="E39" s="669">
        <f>('FE Balance Sheet Y1-Y5'!E18/'FE Income Statement Y1-Y5'!E8)*365</f>
        <v>21.34615384615384</v>
      </c>
      <c r="F39" s="669">
        <f>('FE Balance Sheet Y1-Y5'!F18/'FE Income Statement Y1-Y5'!F8)*365</f>
        <v>21.346153846153843</v>
      </c>
      <c r="G39" s="669">
        <f>('FE Balance Sheet Y1-Y5'!G18/'FE Income Statement Y1-Y5'!G8)*365</f>
        <v>21.346153846153843</v>
      </c>
      <c r="H39" s="117" t="s">
        <v>975</v>
      </c>
      <c r="I39" s="117"/>
      <c r="J39" s="206"/>
      <c r="K39" s="206"/>
      <c r="L39" s="206"/>
    </row>
    <row r="40" spans="1:12">
      <c r="A40" s="65"/>
      <c r="B40" s="65"/>
      <c r="C40" s="571"/>
      <c r="D40" s="571"/>
      <c r="E40" s="571"/>
      <c r="F40" s="571"/>
      <c r="G40" s="571"/>
      <c r="H40" s="65"/>
      <c r="I40" s="65"/>
      <c r="J40" s="65"/>
      <c r="K40" s="65"/>
      <c r="L40" s="65"/>
    </row>
  </sheetData>
  <hyperlinks>
    <hyperlink ref="A1" location="'Index'!A1" display="Back to Index" xr:uid="{E3EA729C-0056-4B1D-8F13-24788BEAD403}"/>
  </hyperlink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937FD-9714-4B37-913F-AC8932CD2408}">
  <sheetPr>
    <tabColor rgb="FFA9D08E"/>
  </sheetPr>
  <dimension ref="A1:Q21"/>
  <sheetViews>
    <sheetView workbookViewId="0">
      <selection activeCell="C20" sqref="C20"/>
    </sheetView>
  </sheetViews>
  <sheetFormatPr defaultColWidth="8.875" defaultRowHeight="15.95"/>
  <cols>
    <col min="1" max="1" width="32" bestFit="1" customWidth="1"/>
    <col min="2" max="2" width="13.125" bestFit="1" customWidth="1"/>
    <col min="3" max="3" width="14.375" bestFit="1" customWidth="1"/>
    <col min="4" max="6" width="12.625" bestFit="1" customWidth="1"/>
    <col min="7" max="7" width="13.625" bestFit="1" customWidth="1"/>
    <col min="8" max="8" width="14.625" bestFit="1" customWidth="1"/>
    <col min="9" max="9" width="29.625" customWidth="1"/>
    <col min="10" max="10" width="15.125" bestFit="1" customWidth="1"/>
  </cols>
  <sheetData>
    <row r="1" spans="1:17">
      <c r="A1" s="44" t="s">
        <v>41</v>
      </c>
      <c r="B1" s="206"/>
      <c r="C1" s="206"/>
      <c r="D1" s="206"/>
      <c r="E1" s="206"/>
      <c r="F1" s="206"/>
      <c r="G1" s="206"/>
      <c r="H1" s="206"/>
      <c r="I1" s="206"/>
      <c r="J1" s="206"/>
      <c r="K1" s="206"/>
      <c r="L1" s="206"/>
      <c r="M1" s="206"/>
      <c r="N1" s="206"/>
    </row>
    <row r="2" spans="1:17" ht="17.100000000000001">
      <c r="A2" s="118" t="s">
        <v>978</v>
      </c>
      <c r="B2" s="119" t="s">
        <v>42</v>
      </c>
      <c r="C2" s="119" t="s">
        <v>42</v>
      </c>
      <c r="D2" s="119" t="s">
        <v>42</v>
      </c>
      <c r="E2" s="119" t="s">
        <v>42</v>
      </c>
      <c r="F2" s="119" t="s">
        <v>42</v>
      </c>
      <c r="G2" s="119" t="s">
        <v>42</v>
      </c>
      <c r="H2" s="119" t="s">
        <v>42</v>
      </c>
      <c r="I2" s="117"/>
      <c r="J2" s="117"/>
      <c r="K2" s="117"/>
      <c r="L2" s="206"/>
      <c r="M2" s="206"/>
      <c r="N2" s="206"/>
    </row>
    <row r="3" spans="1:17">
      <c r="A3" s="120" t="s">
        <v>834</v>
      </c>
      <c r="B3" s="117"/>
      <c r="C3" s="228" t="s">
        <v>835</v>
      </c>
      <c r="D3" s="228" t="s">
        <v>80</v>
      </c>
      <c r="E3" s="228" t="s">
        <v>93</v>
      </c>
      <c r="F3" s="228" t="s">
        <v>94</v>
      </c>
      <c r="G3" s="228" t="s">
        <v>95</v>
      </c>
      <c r="H3" s="228" t="s">
        <v>96</v>
      </c>
      <c r="I3" s="120" t="s">
        <v>941</v>
      </c>
      <c r="J3" s="117"/>
      <c r="K3" s="117"/>
      <c r="L3" s="206"/>
      <c r="M3" s="206"/>
      <c r="N3" s="206"/>
    </row>
    <row r="4" spans="1:17">
      <c r="A4" s="117" t="s">
        <v>811</v>
      </c>
      <c r="B4" s="117"/>
      <c r="C4" s="230">
        <f>-'FE Assumptions'!B10</f>
        <v>-866149.99999989895</v>
      </c>
      <c r="D4" s="230" t="s">
        <v>979</v>
      </c>
      <c r="E4" s="230" t="s">
        <v>979</v>
      </c>
      <c r="F4" s="230" t="s">
        <v>979</v>
      </c>
      <c r="G4" s="230" t="s">
        <v>979</v>
      </c>
      <c r="H4" s="230" t="s">
        <v>979</v>
      </c>
      <c r="I4" s="117" t="s">
        <v>980</v>
      </c>
      <c r="J4" s="117"/>
      <c r="K4" s="117"/>
      <c r="L4" s="206"/>
      <c r="M4" s="206"/>
      <c r="N4" s="206"/>
    </row>
    <row r="5" spans="1:17">
      <c r="A5" s="117"/>
      <c r="B5" s="117"/>
      <c r="C5" s="230"/>
      <c r="D5" s="230"/>
      <c r="E5" s="230"/>
      <c r="F5" s="230"/>
      <c r="G5" s="230"/>
      <c r="H5" s="230"/>
      <c r="I5" s="117"/>
      <c r="J5" s="117"/>
      <c r="K5" s="117"/>
      <c r="L5" s="206"/>
      <c r="M5" s="206"/>
      <c r="N5" s="206"/>
    </row>
    <row r="6" spans="1:17">
      <c r="A6" s="117" t="s">
        <v>981</v>
      </c>
      <c r="B6" s="117"/>
      <c r="C6" s="230">
        <f>'FE Income Statement Y1-Y5'!B20</f>
        <v>-241645.87266666666</v>
      </c>
      <c r="D6" s="230">
        <f>'FE Income Statement Y1-Y5'!C20</f>
        <v>-53929.688602531562</v>
      </c>
      <c r="E6" s="230">
        <f>'FE Income Statement Y1-Y5'!D20</f>
        <v>492872.91580534249</v>
      </c>
      <c r="F6" s="230">
        <f>'FE Income Statement Y1-Y5'!E20</f>
        <v>500074.22597956017</v>
      </c>
      <c r="G6" s="230">
        <f>'FE Income Statement Y1-Y5'!F20</f>
        <v>541269.47679020779</v>
      </c>
      <c r="H6" s="230">
        <f>'FE Income Statement Y1-Y5'!G20</f>
        <v>710364.89241151139</v>
      </c>
      <c r="I6" s="117" t="s">
        <v>902</v>
      </c>
      <c r="J6" s="117"/>
      <c r="K6" s="117"/>
      <c r="L6" s="206"/>
      <c r="M6" s="206"/>
      <c r="N6" s="206"/>
    </row>
    <row r="7" spans="1:17">
      <c r="A7" s="117" t="s">
        <v>982</v>
      </c>
      <c r="B7" s="117"/>
      <c r="C7" s="230">
        <f>'FE Income Statement Y1-Y5'!B15</f>
        <v>0</v>
      </c>
      <c r="D7" s="230">
        <f>'FE Income Statement Y1-Y5'!C15+'FE Income Statement Y1-Y5'!C16</f>
        <v>15061.666666656565</v>
      </c>
      <c r="E7" s="230">
        <f>'FE Income Statement Y1-Y5'!D15+'FE Income Statement Y1-Y5'!D16</f>
        <v>15061.666666656565</v>
      </c>
      <c r="F7" s="230">
        <f>'FE Income Statement Y1-Y5'!E15+'FE Income Statement Y1-Y5'!E16</f>
        <v>19311.666666656565</v>
      </c>
      <c r="G7" s="230">
        <f>'FE Income Statement Y1-Y5'!F15+'FE Income Statement Y1-Y5'!F16</f>
        <v>18228.333333323233</v>
      </c>
      <c r="H7" s="230">
        <f>'FE Income Statement Y1-Y5'!G15+'FE Income Statement Y1-Y5'!G16</f>
        <v>18228.333333323233</v>
      </c>
      <c r="I7" s="117" t="s">
        <v>902</v>
      </c>
      <c r="J7" s="117"/>
      <c r="K7" s="117"/>
      <c r="L7" s="206"/>
      <c r="M7" s="206"/>
      <c r="N7" s="206"/>
    </row>
    <row r="8" spans="1:17">
      <c r="A8" s="231" t="s">
        <v>983</v>
      </c>
      <c r="B8" s="117"/>
      <c r="C8" s="230">
        <f>-'FE Balance Sheet Y1-Y5'!B34</f>
        <v>-43183.178816214451</v>
      </c>
      <c r="D8" s="230">
        <f>-('FE Balance Sheet Y1-Y5'!C34-'FE Balance Sheet Y1-Y5'!B34)</f>
        <v>-69271.954358539151</v>
      </c>
      <c r="E8" s="230">
        <f>-('FE Balance Sheet Y1-Y5'!D34-'FE Balance Sheet Y1-Y5'!C34)</f>
        <v>-148534.27345762477</v>
      </c>
      <c r="F8" s="230">
        <f>-('FE Balance Sheet Y1-Y5'!E34-'FE Balance Sheet Y1-Y5'!D34)</f>
        <v>-99671.672009774338</v>
      </c>
      <c r="G8" s="230">
        <f>-('FE Balance Sheet Y1-Y5'!F34-'FE Balance Sheet Y1-Y5'!E34)</f>
        <v>-134918.86682798684</v>
      </c>
      <c r="H8" s="230">
        <f>-('FE Balance Sheet Y1-Y5'!G34-'FE Balance Sheet Y1-Y5'!F34)</f>
        <v>-109354.45598695514</v>
      </c>
      <c r="I8" s="117" t="s">
        <v>939</v>
      </c>
      <c r="J8" s="117"/>
      <c r="K8" s="117"/>
      <c r="L8" s="206"/>
      <c r="M8" s="206"/>
      <c r="N8" s="206"/>
    </row>
    <row r="9" spans="1:17">
      <c r="A9" s="117" t="s">
        <v>984</v>
      </c>
      <c r="B9" s="117"/>
      <c r="C9" s="232">
        <f>C4</f>
        <v>-866149.99999989895</v>
      </c>
      <c r="D9" s="232">
        <f>'FE Balance Sheet Y1-Y5'!C11-'FE Balance Sheet Y1-Y5'!B11</f>
        <v>0</v>
      </c>
      <c r="E9" s="232">
        <f>'FE Balance Sheet Y1-Y5'!D11-'FE Balance Sheet Y1-Y5'!C11</f>
        <v>0</v>
      </c>
      <c r="F9" s="232">
        <f>-('FE Balance Sheet Y1-Y5'!E11-'FE Balance Sheet Y1-Y5'!D11)</f>
        <v>-15750</v>
      </c>
      <c r="G9" s="232">
        <f>-('FE Balance Sheet Y1-Y5'!F11-'FE Balance Sheet Y1-Y5'!E11)</f>
        <v>2500</v>
      </c>
      <c r="H9" s="232">
        <f>'FE Balance Sheet Y1-Y5'!G11-'FE Balance Sheet Y1-Y5'!F11</f>
        <v>0</v>
      </c>
      <c r="I9" s="117" t="s">
        <v>985</v>
      </c>
      <c r="J9" s="117"/>
      <c r="K9" s="117"/>
      <c r="L9" s="206"/>
      <c r="M9" s="206"/>
      <c r="N9" s="206"/>
    </row>
    <row r="10" spans="1:17">
      <c r="A10" s="117" t="s">
        <v>986</v>
      </c>
      <c r="B10" s="117"/>
      <c r="C10" s="230">
        <f>C6+C7+C8+C9</f>
        <v>-1150979.0514827801</v>
      </c>
      <c r="D10" s="230">
        <f t="shared" ref="D10:F10" si="0">D6+D7+D8+D9</f>
        <v>-108139.97629441414</v>
      </c>
      <c r="E10" s="230">
        <f>E6+E7+E8+E9</f>
        <v>359400.30901437427</v>
      </c>
      <c r="F10" s="230">
        <f t="shared" si="0"/>
        <v>403964.22063644242</v>
      </c>
      <c r="G10" s="230">
        <f>G6+G7+G8+G9</f>
        <v>427078.94329554419</v>
      </c>
      <c r="H10" s="230">
        <f>H6+H7+H8+H9</f>
        <v>619238.76975787943</v>
      </c>
      <c r="I10" s="136">
        <f>H10*(1-B20)</f>
        <v>495391.01580630359</v>
      </c>
      <c r="L10" s="120" t="s">
        <v>987</v>
      </c>
      <c r="M10" s="117"/>
      <c r="N10" s="117"/>
      <c r="O10" s="206"/>
      <c r="P10" s="206"/>
      <c r="Q10" s="206"/>
    </row>
    <row r="11" spans="1:17">
      <c r="A11" s="117"/>
      <c r="B11" s="117"/>
      <c r="C11" s="230"/>
      <c r="D11" s="230"/>
      <c r="E11" s="230"/>
      <c r="F11" s="230"/>
      <c r="G11" s="230"/>
      <c r="H11" s="230"/>
      <c r="L11" s="117"/>
      <c r="M11" s="117" t="s">
        <v>988</v>
      </c>
      <c r="N11" s="117"/>
      <c r="O11" s="206"/>
      <c r="P11" s="206"/>
      <c r="Q11" s="206"/>
    </row>
    <row r="12" spans="1:17">
      <c r="A12" s="117" t="s">
        <v>989</v>
      </c>
      <c r="B12" s="117"/>
      <c r="C12" s="230"/>
      <c r="D12" s="230"/>
      <c r="E12" s="230"/>
      <c r="F12" s="230"/>
      <c r="G12" s="230"/>
      <c r="H12" s="233">
        <f>MAX(($I$10)/('FE Assumptions'!B68+B20),0)</f>
        <v>1233162.6086723809</v>
      </c>
      <c r="I12" s="117" t="s">
        <v>990</v>
      </c>
      <c r="J12" s="117"/>
      <c r="K12" s="117"/>
      <c r="L12" s="206"/>
      <c r="M12" s="206"/>
      <c r="N12" s="206"/>
    </row>
    <row r="13" spans="1:17">
      <c r="A13" s="117"/>
      <c r="B13" s="117"/>
      <c r="C13" s="230"/>
      <c r="D13" s="230"/>
      <c r="E13" s="230"/>
      <c r="F13" s="230"/>
      <c r="G13" s="230"/>
      <c r="H13" s="230"/>
      <c r="I13" s="117"/>
      <c r="J13" s="117"/>
      <c r="K13" s="117"/>
      <c r="L13" s="206"/>
      <c r="M13" s="206"/>
      <c r="N13" s="206"/>
    </row>
    <row r="14" spans="1:17">
      <c r="A14" s="117" t="s">
        <v>991</v>
      </c>
      <c r="B14" s="117"/>
      <c r="C14" s="234">
        <f>C10</f>
        <v>-1150979.0514827801</v>
      </c>
      <c r="D14" s="234">
        <f>D10</f>
        <v>-108139.97629441414</v>
      </c>
      <c r="E14" s="234">
        <f>E10</f>
        <v>359400.30901437427</v>
      </c>
      <c r="F14" s="234">
        <f>F10</f>
        <v>403964.22063644242</v>
      </c>
      <c r="G14" s="234">
        <f>G10</f>
        <v>427078.94329554419</v>
      </c>
      <c r="H14" s="234">
        <f>H12+H10</f>
        <v>1852401.3784302603</v>
      </c>
      <c r="I14" s="117"/>
      <c r="J14" s="229"/>
      <c r="K14" s="117"/>
      <c r="L14" s="206"/>
      <c r="M14" s="206"/>
      <c r="N14" s="206"/>
    </row>
    <row r="15" spans="1:17">
      <c r="A15" s="117" t="s">
        <v>833</v>
      </c>
      <c r="B15" s="117" t="s">
        <v>833</v>
      </c>
      <c r="C15" s="117"/>
      <c r="D15" s="117"/>
      <c r="E15" s="117"/>
      <c r="F15" s="117"/>
      <c r="G15" s="117"/>
      <c r="H15" s="117"/>
      <c r="I15" s="117"/>
      <c r="J15" s="117"/>
      <c r="K15" s="117"/>
      <c r="L15" s="206"/>
      <c r="M15" s="206"/>
      <c r="N15" s="206"/>
    </row>
    <row r="16" spans="1:17">
      <c r="A16" s="117"/>
      <c r="B16" s="117"/>
      <c r="C16" s="117"/>
      <c r="D16" s="117"/>
      <c r="E16" s="117" t="s">
        <v>979</v>
      </c>
      <c r="F16" s="117" t="s">
        <v>979</v>
      </c>
      <c r="G16" s="117" t="s">
        <v>979</v>
      </c>
      <c r="H16" s="117" t="s">
        <v>979</v>
      </c>
      <c r="I16" s="117"/>
      <c r="J16" s="235"/>
      <c r="K16" s="117"/>
      <c r="L16" s="206"/>
      <c r="M16" s="206"/>
      <c r="N16" s="206"/>
    </row>
    <row r="17" spans="1:14">
      <c r="A17" s="120" t="s">
        <v>992</v>
      </c>
      <c r="B17" s="236">
        <f>NPV('FE Assumptions'!B68,D14:H14)+C14</f>
        <v>184567.22517716466</v>
      </c>
      <c r="C17" s="237"/>
      <c r="D17" s="117" t="s">
        <v>833</v>
      </c>
      <c r="E17" s="117" t="s">
        <v>833</v>
      </c>
      <c r="F17" s="117" t="s">
        <v>833</v>
      </c>
      <c r="G17" s="117" t="s">
        <v>833</v>
      </c>
      <c r="H17" s="117" t="s">
        <v>833</v>
      </c>
      <c r="I17" s="117" t="s">
        <v>993</v>
      </c>
      <c r="J17" s="117"/>
      <c r="K17" s="117"/>
      <c r="L17" s="206"/>
      <c r="M17" s="206"/>
      <c r="N17" s="206"/>
    </row>
    <row r="18" spans="1:14">
      <c r="A18" s="137"/>
      <c r="B18" s="117" t="s">
        <v>833</v>
      </c>
      <c r="C18" s="117"/>
      <c r="D18" s="117" t="s">
        <v>833</v>
      </c>
      <c r="E18" s="117"/>
      <c r="F18" s="117"/>
      <c r="G18" s="117"/>
      <c r="H18" s="117" t="s">
        <v>833</v>
      </c>
      <c r="I18" s="117"/>
      <c r="J18" s="117"/>
      <c r="K18" s="117"/>
      <c r="L18" s="206"/>
      <c r="M18" s="206"/>
      <c r="N18" s="206"/>
    </row>
    <row r="19" spans="1:14">
      <c r="A19" s="120" t="s">
        <v>994</v>
      </c>
      <c r="B19" s="227">
        <f>IRR(C14:H14)</f>
        <v>0.24510378409044375</v>
      </c>
      <c r="C19" s="227"/>
      <c r="E19" s="117"/>
      <c r="F19" s="117"/>
      <c r="G19" s="117"/>
      <c r="H19" s="117" t="s">
        <v>833</v>
      </c>
      <c r="I19" s="117" t="s">
        <v>995</v>
      </c>
      <c r="J19" s="117"/>
      <c r="K19" s="117"/>
      <c r="L19" s="206"/>
      <c r="M19" s="206"/>
      <c r="N19" s="206"/>
    </row>
    <row r="20" spans="1:14">
      <c r="A20" s="120" t="s">
        <v>996</v>
      </c>
      <c r="B20" s="227">
        <v>0.2</v>
      </c>
      <c r="C20" s="139"/>
      <c r="E20" s="117"/>
      <c r="F20" s="117"/>
      <c r="G20" s="117"/>
      <c r="H20" s="117" t="s">
        <v>833</v>
      </c>
      <c r="I20" s="117"/>
      <c r="J20" s="117"/>
      <c r="K20" s="117"/>
      <c r="L20" s="206"/>
      <c r="M20" s="206"/>
      <c r="N20" s="206"/>
    </row>
    <row r="21" spans="1:14">
      <c r="A21" s="225" t="s">
        <v>997</v>
      </c>
      <c r="B21" s="225"/>
      <c r="C21" s="225"/>
      <c r="E21" s="225"/>
      <c r="F21" s="225"/>
      <c r="G21" s="225"/>
      <c r="H21" s="225"/>
      <c r="I21" s="225"/>
      <c r="J21" s="225"/>
      <c r="K21" s="225"/>
    </row>
  </sheetData>
  <hyperlinks>
    <hyperlink ref="A1" location="'Index'!A1" display="Back to Index" xr:uid="{228CAEB2-DE64-478F-BEC0-5B94E8AF20B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C59E5-76C7-41A4-9EA2-F6ADF87378C9}">
  <sheetPr>
    <tabColor rgb="FFA9D08E"/>
  </sheetPr>
  <dimension ref="A1:G32"/>
  <sheetViews>
    <sheetView topLeftCell="A9" workbookViewId="0">
      <selection activeCell="B24" sqref="B24"/>
    </sheetView>
  </sheetViews>
  <sheetFormatPr defaultColWidth="8.875" defaultRowHeight="15.95"/>
  <cols>
    <col min="1" max="1" width="34.375" bestFit="1" customWidth="1"/>
    <col min="2" max="2" width="13" bestFit="1" customWidth="1"/>
    <col min="3" max="4" width="14.625" bestFit="1" customWidth="1"/>
    <col min="5" max="5" width="15.5" customWidth="1"/>
    <col min="6" max="7" width="14.625" bestFit="1" customWidth="1"/>
  </cols>
  <sheetData>
    <row r="1" spans="1:7">
      <c r="A1" s="44" t="s">
        <v>41</v>
      </c>
    </row>
    <row r="2" spans="1:7">
      <c r="A2" s="915" t="s">
        <v>998</v>
      </c>
      <c r="B2" s="916" t="s">
        <v>999</v>
      </c>
      <c r="C2" s="916" t="s">
        <v>523</v>
      </c>
      <c r="D2" s="916" t="s">
        <v>524</v>
      </c>
      <c r="E2" s="916" t="s">
        <v>525</v>
      </c>
      <c r="F2" s="916" t="s">
        <v>526</v>
      </c>
      <c r="G2" s="917" t="s">
        <v>527</v>
      </c>
    </row>
    <row r="3" spans="1:7">
      <c r="A3" s="105" t="s">
        <v>1000</v>
      </c>
      <c r="B3" s="136">
        <f>'FE Balance Sheet Y1-Y5'!B19-'FE Balance Sheet Y1-Y5'!B5</f>
        <v>-10970.408540000004</v>
      </c>
      <c r="C3" s="136">
        <f>'FE Balance Sheet Y1-Y5'!C19-'FE Balance Sheet Y1-Y5'!C5</f>
        <v>-30655.793341790537</v>
      </c>
      <c r="D3" s="136">
        <f>'FE Balance Sheet Y1-Y5'!D19-'FE Balance Sheet Y1-Y5'!D5</f>
        <v>-70764.976825357357</v>
      </c>
      <c r="E3" s="136">
        <f>'FE Balance Sheet Y1-Y5'!E19-'FE Balance Sheet Y1-Y5'!E5</f>
        <v>-87227.454346721934</v>
      </c>
      <c r="F3" s="136">
        <f>'FE Balance Sheet Y1-Y5'!F19-'FE Balance Sheet Y1-Y5'!F5</f>
        <v>-99449.332941452012</v>
      </c>
      <c r="G3" s="428">
        <f>'FE Balance Sheet Y1-Y5'!G19-'FE Balance Sheet Y1-Y5'!G5</f>
        <v>-114552.64251587409</v>
      </c>
    </row>
    <row r="4" spans="1:7">
      <c r="A4" s="105" t="s">
        <v>1001</v>
      </c>
      <c r="B4" s="22"/>
      <c r="C4" s="136">
        <f>'FE Income Statement Y1-Y5'!C5</f>
        <v>1316449.0248000005</v>
      </c>
      <c r="D4" s="136">
        <f>'FE Income Statement Y1-Y5'!D5</f>
        <v>2707720.5787877822</v>
      </c>
      <c r="E4" s="136">
        <f>'FE Income Statement Y1-Y5'!E5</f>
        <v>3488158.4045356307</v>
      </c>
      <c r="F4" s="136">
        <f>'FE Income Statement Y1-Y5'!F5</f>
        <v>4174951.5047117397</v>
      </c>
      <c r="G4" s="428">
        <f>'FE Income Statement Y1-Y5'!G5</f>
        <v>4911515.3257452669</v>
      </c>
    </row>
    <row r="5" spans="1:7">
      <c r="A5" s="105" t="s">
        <v>1002</v>
      </c>
      <c r="B5" s="22"/>
      <c r="C5" s="136">
        <f>'FE Income Statement Y1-Y5'!C9-'FE Income Statement Y1-Y5'!C10-'FE Income Statement Y1-Y5'!C11-'FE Income Statement Y1-Y5'!C13-'FE Income Statement Y1-Y5'!C12-'FE Income Statement Y1-Y5'!C14</f>
        <v>-38868.021935875062</v>
      </c>
      <c r="D5" s="136">
        <f>'FE Income Statement Y1-Y5'!D9-'FE Income Statement Y1-Y5'!D10-'FE Income Statement Y1-Y5'!D11-'FE Income Statement Y1-Y5'!D13-'FE Income Statement Y1-Y5'!D12-'FE Income Statement Y1-Y5'!D14</f>
        <v>690230.04448219424</v>
      </c>
      <c r="E5" s="136">
        <f>'FE Income Statement Y1-Y5'!E9-'FE Income Statement Y1-Y5'!E10-'FE Income Statement Y1-Y5'!E11-'FE Income Statement Y1-Y5'!E13-'FE Income Statement Y1-Y5'!E12-'FE Income Statement Y1-Y5'!E14</f>
        <v>704344.85294002702</v>
      </c>
      <c r="F5" s="136">
        <f>'FE Income Statement Y1-Y5'!F9-'FE Income Statement Y1-Y5'!F10-'FE Income Statement Y1-Y5'!F11-'FE Income Statement Y1-Y5'!F13-'FE Income Statement Y1-Y5'!F12-'FE Income Statement Y1-Y5'!F14</f>
        <v>759693.37003223808</v>
      </c>
      <c r="G5" s="428">
        <f>'FE Income Statement Y1-Y5'!G9-'FE Income Statement Y1-Y5'!G10-'FE Income Statement Y1-Y5'!G11-'FE Income Statement Y1-Y5'!G13-'FE Income Statement Y1-Y5'!G12-'FE Income Statement Y1-Y5'!G14</f>
        <v>991330.92567785946</v>
      </c>
    </row>
    <row r="6" spans="1:7" ht="17.100000000000001" thickBot="1">
      <c r="A6" s="918" t="s">
        <v>981</v>
      </c>
      <c r="B6" s="919"/>
      <c r="C6" s="68">
        <f>'FE Income Statement Y1-Y5'!C20</f>
        <v>-53929.688602531562</v>
      </c>
      <c r="D6" s="68">
        <f>'FE Income Statement Y1-Y5'!D20</f>
        <v>492872.91580534249</v>
      </c>
      <c r="E6" s="68">
        <f>'FE Income Statement Y1-Y5'!E20</f>
        <v>500074.22597956017</v>
      </c>
      <c r="F6" s="68">
        <f>'FE Income Statement Y1-Y5'!F20</f>
        <v>541269.47679020779</v>
      </c>
      <c r="G6" s="69">
        <f>'FE Income Statement Y1-Y5'!G20</f>
        <v>710364.89241151139</v>
      </c>
    </row>
    <row r="8" spans="1:7" ht="17.100000000000001" thickBot="1"/>
    <row r="9" spans="1:7">
      <c r="A9" s="920" t="s">
        <v>1003</v>
      </c>
      <c r="B9" s="921" t="s">
        <v>1004</v>
      </c>
      <c r="C9" s="921" t="s">
        <v>1005</v>
      </c>
      <c r="D9" s="921" t="s">
        <v>1006</v>
      </c>
      <c r="E9" s="922" t="s">
        <v>1007</v>
      </c>
    </row>
    <row r="10" spans="1:7">
      <c r="A10" s="64" t="s">
        <v>1008</v>
      </c>
      <c r="B10" s="21">
        <f>3519+621+4756-287</f>
        <v>8609</v>
      </c>
      <c r="C10" s="92">
        <f>B10/9459</f>
        <v>0.91013849244106138</v>
      </c>
      <c r="D10" s="92">
        <f>B10/312</f>
        <v>27.592948717948719</v>
      </c>
      <c r="E10" s="923">
        <f>3519/197</f>
        <v>17.862944162436548</v>
      </c>
    </row>
    <row r="11" spans="1:7" ht="17.100000000000001" thickBot="1">
      <c r="A11" s="924" t="s">
        <v>1009</v>
      </c>
      <c r="B11" s="926">
        <f>661137+984292+110595-93697</f>
        <v>1662327</v>
      </c>
      <c r="C11" s="140">
        <f>B11/691535</f>
        <v>2.4038219323678485</v>
      </c>
      <c r="D11" s="140">
        <f>B11/76256</f>
        <v>21.799294481745697</v>
      </c>
      <c r="E11" s="925">
        <f>661137/52008</f>
        <v>12.712217351176742</v>
      </c>
    </row>
    <row r="12" spans="1:7" ht="17.100000000000001" thickBot="1"/>
    <row r="13" spans="1:7">
      <c r="A13" s="920" t="s">
        <v>1010</v>
      </c>
      <c r="B13" s="921"/>
      <c r="C13" s="921" t="s">
        <v>1005</v>
      </c>
      <c r="D13" s="921" t="s">
        <v>1006</v>
      </c>
      <c r="E13" s="922" t="s">
        <v>1007</v>
      </c>
    </row>
    <row r="14" spans="1:7">
      <c r="A14" s="64" t="s">
        <v>1011</v>
      </c>
      <c r="C14" s="136">
        <f>C10*C4</f>
        <v>1198150.9308069779</v>
      </c>
      <c r="D14" s="136">
        <f>D10*C5</f>
        <v>-1072483.3360447064</v>
      </c>
      <c r="E14" s="428">
        <f>E10*C6</f>
        <v>-963343.01620461198</v>
      </c>
    </row>
    <row r="15" spans="1:7">
      <c r="A15" s="64" t="s">
        <v>1012</v>
      </c>
      <c r="C15" s="136">
        <f>C11*C4</f>
        <v>3164509.0386585067</v>
      </c>
      <c r="D15" s="136">
        <f>D11*C5</f>
        <v>-847295.45610309194</v>
      </c>
      <c r="E15" s="428">
        <f>E11*C6</f>
        <v>-685565.92319666024</v>
      </c>
    </row>
    <row r="16" spans="1:7">
      <c r="A16" s="64" t="s">
        <v>1013</v>
      </c>
      <c r="C16" s="136">
        <f>C14+C3</f>
        <v>1167495.1374651873</v>
      </c>
      <c r="D16" s="136">
        <f>D14+C3</f>
        <v>-1103139.129386497</v>
      </c>
      <c r="E16" s="428">
        <f>E14+C3</f>
        <v>-993998.80954640254</v>
      </c>
    </row>
    <row r="17" spans="1:5" ht="17.100000000000001" thickBot="1">
      <c r="A17" s="924" t="s">
        <v>1014</v>
      </c>
      <c r="B17" s="100"/>
      <c r="C17" s="68">
        <f>C15+C3</f>
        <v>3133853.2453167164</v>
      </c>
      <c r="D17" s="68">
        <f>D15+C3</f>
        <v>-877951.2494448825</v>
      </c>
      <c r="E17" s="69">
        <f>E15+C3</f>
        <v>-716221.7165384508</v>
      </c>
    </row>
    <row r="18" spans="1:5">
      <c r="A18" t="s">
        <v>1015</v>
      </c>
    </row>
    <row r="19" spans="1:5">
      <c r="A19" t="s">
        <v>1016</v>
      </c>
    </row>
    <row r="21" spans="1:5" ht="17.100000000000001" thickBot="1"/>
    <row r="22" spans="1:5">
      <c r="A22" s="125"/>
      <c r="B22" s="934" t="s">
        <v>1017</v>
      </c>
      <c r="C22" s="934" t="s">
        <v>1018</v>
      </c>
      <c r="D22" s="935" t="s">
        <v>1019</v>
      </c>
    </row>
    <row r="23" spans="1:5">
      <c r="A23" s="927" t="s">
        <v>930</v>
      </c>
      <c r="D23" s="99"/>
    </row>
    <row r="24" spans="1:5">
      <c r="A24" s="928" t="s">
        <v>931</v>
      </c>
      <c r="B24" s="20">
        <f>'FE Income Statement Y1-Y5'!G28</f>
        <v>0.45614789511026527</v>
      </c>
      <c r="C24" s="20">
        <f>6625000/9459000</f>
        <v>0.70039116185643302</v>
      </c>
      <c r="D24" s="505">
        <f>598597000/957169000</f>
        <v>0.62538276939600013</v>
      </c>
    </row>
    <row r="25" spans="1:5">
      <c r="A25" s="928" t="s">
        <v>1020</v>
      </c>
      <c r="B25" s="20">
        <f>'FE Income Statement Y1-Y5'!G29</f>
        <v>0.54385210488973479</v>
      </c>
      <c r="C25" s="20">
        <f>1-C24</f>
        <v>0.29960883814356698</v>
      </c>
      <c r="D25" s="505">
        <f>1-D24</f>
        <v>0.37461723060399987</v>
      </c>
    </row>
    <row r="26" spans="1:5">
      <c r="A26" s="928" t="s">
        <v>933</v>
      </c>
      <c r="B26" s="20">
        <f>'FE Income Statement Y1-Y5'!G30</f>
        <v>0.34572535014996836</v>
      </c>
      <c r="C26" s="20">
        <f>2033000/9459000</f>
        <v>0.21492758219684957</v>
      </c>
      <c r="D26" s="505">
        <f>259204000/957169000</f>
        <v>0.27080275270093368</v>
      </c>
    </row>
    <row r="27" spans="1:5">
      <c r="A27" s="928" t="s">
        <v>1021</v>
      </c>
      <c r="B27" s="20">
        <f>'FE Income Statement Y1-Y5'!G33</f>
        <v>0.14463253096002945</v>
      </c>
      <c r="C27" s="20">
        <f>197000/9459000</f>
        <v>2.0826725869542234E-2</v>
      </c>
      <c r="D27" s="505">
        <f>64103000/957169000</f>
        <v>6.697145436176892E-2</v>
      </c>
    </row>
    <row r="28" spans="1:5">
      <c r="A28" s="51"/>
      <c r="D28" s="99"/>
    </row>
    <row r="29" spans="1:5">
      <c r="A29" s="927" t="s">
        <v>973</v>
      </c>
      <c r="D29" s="99"/>
    </row>
    <row r="30" spans="1:5">
      <c r="A30" s="928" t="s">
        <v>974</v>
      </c>
      <c r="B30" s="111">
        <f>'FE Balance Sheet Y1-Y5'!C37</f>
        <v>13.588764551311282</v>
      </c>
      <c r="C30" s="111">
        <f>(1.25/9.46)*365</f>
        <v>48.229386892177587</v>
      </c>
      <c r="D30" s="929">
        <f>(218.48/957.17)*365</f>
        <v>83.313517974863402</v>
      </c>
    </row>
    <row r="31" spans="1:5">
      <c r="A31" s="928" t="s">
        <v>976</v>
      </c>
      <c r="B31" s="111">
        <f>'FE Balance Sheet Y1-Y5'!C38</f>
        <v>19.902680189011836</v>
      </c>
      <c r="C31" s="111">
        <f>(1.25/6.65)*365</f>
        <v>68.609022556390968</v>
      </c>
      <c r="D31" s="930">
        <f>(80.06/598.6)*365</f>
        <v>48.817073170731703</v>
      </c>
    </row>
    <row r="32" spans="1:5" ht="17.100000000000001" thickBot="1">
      <c r="A32" s="931" t="s">
        <v>977</v>
      </c>
      <c r="B32" s="932">
        <f>'FE Balance Sheet Y1-Y5'!C39</f>
        <v>21.34615384615384</v>
      </c>
      <c r="C32" s="932">
        <f>(1.06/9.46)*365</f>
        <v>40.898520084566591</v>
      </c>
      <c r="D32" s="933">
        <f>(115.12/957.17)*365</f>
        <v>43.898993909127952</v>
      </c>
    </row>
  </sheetData>
  <hyperlinks>
    <hyperlink ref="A1" location="'Index'!A1" display="Back to Index" xr:uid="{EB158514-468C-416E-8863-54ED86ED14E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0790C-B07D-40DF-84BA-8EE0543E314F}">
  <sheetPr>
    <tabColor rgb="FFDEDCE8"/>
  </sheetPr>
  <dimension ref="A1:B21"/>
  <sheetViews>
    <sheetView topLeftCell="A6" workbookViewId="0">
      <selection activeCell="B20" sqref="B20"/>
    </sheetView>
  </sheetViews>
  <sheetFormatPr defaultColWidth="8.875" defaultRowHeight="15.95"/>
  <cols>
    <col min="1" max="1" width="64.625" customWidth="1"/>
    <col min="2" max="2" width="16.875" customWidth="1"/>
  </cols>
  <sheetData>
    <row r="1" spans="1:2">
      <c r="A1" s="44" t="s">
        <v>41</v>
      </c>
    </row>
    <row r="2" spans="1:2">
      <c r="A2" s="90" t="s">
        <v>7</v>
      </c>
    </row>
    <row r="3" spans="1:2">
      <c r="A3" t="s">
        <v>1022</v>
      </c>
      <c r="B3" s="20">
        <v>0.06</v>
      </c>
    </row>
    <row r="5" spans="1:2">
      <c r="A5" s="1" t="s">
        <v>1023</v>
      </c>
    </row>
    <row r="6" spans="1:2">
      <c r="A6" t="s">
        <v>1024</v>
      </c>
      <c r="B6" s="18">
        <v>0.51</v>
      </c>
    </row>
    <row r="7" spans="1:2">
      <c r="A7" t="s">
        <v>1025</v>
      </c>
      <c r="B7" s="18">
        <v>0.38</v>
      </c>
    </row>
    <row r="8" spans="1:2">
      <c r="A8" t="s">
        <v>1026</v>
      </c>
      <c r="B8" s="18">
        <v>0.2</v>
      </c>
    </row>
    <row r="9" spans="1:2">
      <c r="A9" t="s">
        <v>1027</v>
      </c>
      <c r="B9" s="18">
        <v>0.28999999999999998</v>
      </c>
    </row>
    <row r="10" spans="1:2">
      <c r="A10" t="s">
        <v>1028</v>
      </c>
      <c r="B10" s="2">
        <v>76000000</v>
      </c>
    </row>
    <row r="11" spans="1:2">
      <c r="A11" t="s">
        <v>1029</v>
      </c>
      <c r="B11" s="18">
        <v>0.87</v>
      </c>
    </row>
    <row r="12" spans="1:2">
      <c r="A12" t="s">
        <v>1030</v>
      </c>
      <c r="B12" s="18">
        <v>0.81</v>
      </c>
    </row>
    <row r="13" spans="1:2">
      <c r="A13" t="s">
        <v>1031</v>
      </c>
      <c r="B13" s="18">
        <v>0.6</v>
      </c>
    </row>
    <row r="14" spans="1:2">
      <c r="A14" t="s">
        <v>1032</v>
      </c>
      <c r="B14" s="18">
        <v>0.68</v>
      </c>
    </row>
    <row r="15" spans="1:2">
      <c r="A15" t="s">
        <v>1033</v>
      </c>
      <c r="B15" s="1054">
        <v>72186219</v>
      </c>
    </row>
    <row r="16" spans="1:2">
      <c r="A16" t="s">
        <v>1034</v>
      </c>
      <c r="B16" s="1054">
        <v>65800910</v>
      </c>
    </row>
    <row r="19" spans="1:2">
      <c r="A19" s="1" t="s">
        <v>1035</v>
      </c>
    </row>
    <row r="20" spans="1:2">
      <c r="A20" t="s">
        <v>1036</v>
      </c>
      <c r="B20" s="18">
        <v>0.15</v>
      </c>
    </row>
    <row r="21" spans="1:2">
      <c r="A21" t="s">
        <v>1037</v>
      </c>
      <c r="B21" s="53">
        <v>12</v>
      </c>
    </row>
  </sheetData>
  <hyperlinks>
    <hyperlink ref="A1" location="'Index'!A1" display="Back to Index" xr:uid="{20689E3C-C6EF-4A42-8568-6099107DBEF3}"/>
  </hyperlinks>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A0FC-E175-4A43-8DFD-51AFD91D050B}">
  <sheetPr>
    <tabColor rgb="FFDEDCE8"/>
  </sheetPr>
  <dimension ref="A1:S127"/>
  <sheetViews>
    <sheetView workbookViewId="0">
      <selection activeCell="C13" sqref="C13"/>
    </sheetView>
  </sheetViews>
  <sheetFormatPr defaultColWidth="8.875" defaultRowHeight="15.95"/>
  <cols>
    <col min="2" max="2" width="21.625" customWidth="1"/>
    <col min="3" max="3" width="17.125" customWidth="1"/>
    <col min="4" max="4" width="18.625" customWidth="1"/>
    <col min="5" max="5" width="18" customWidth="1"/>
    <col min="6" max="6" width="18.625" customWidth="1"/>
    <col min="7" max="7" width="23.125" customWidth="1"/>
    <col min="9" max="9" width="11.125" bestFit="1" customWidth="1"/>
    <col min="15" max="15" width="20.625" customWidth="1"/>
    <col min="16" max="16" width="14.5" customWidth="1"/>
    <col min="17" max="17" width="11" bestFit="1" customWidth="1"/>
    <col min="19" max="19" width="11.125" bestFit="1" customWidth="1"/>
    <col min="20" max="20" width="12.125" bestFit="1" customWidth="1"/>
  </cols>
  <sheetData>
    <row r="1" spans="1:19" ht="25.5" customHeight="1">
      <c r="A1" s="44" t="s">
        <v>41</v>
      </c>
      <c r="B1" s="1095" t="s">
        <v>1038</v>
      </c>
      <c r="C1" s="1096"/>
      <c r="D1" s="1096"/>
      <c r="E1" s="1096"/>
      <c r="F1" s="1096"/>
      <c r="G1" s="1096"/>
      <c r="H1" s="1096"/>
      <c r="I1" s="1096"/>
      <c r="J1" s="1096"/>
      <c r="K1" s="1096"/>
      <c r="L1" s="1096"/>
    </row>
    <row r="2" spans="1:19" ht="25.5" customHeight="1">
      <c r="B2" s="1096"/>
      <c r="C2" s="1096"/>
      <c r="D2" s="1096"/>
      <c r="E2" s="1096"/>
      <c r="F2" s="1096"/>
      <c r="G2" s="1096"/>
      <c r="H2" s="1096"/>
      <c r="I2" s="1096"/>
      <c r="J2" s="1096"/>
      <c r="K2" s="1096"/>
      <c r="L2" s="1096"/>
    </row>
    <row r="3" spans="1:19" ht="23.25" customHeight="1">
      <c r="B3" s="1096"/>
      <c r="C3" s="1096"/>
      <c r="D3" s="1096"/>
      <c r="E3" s="1096"/>
      <c r="F3" s="1096"/>
      <c r="G3" s="1096"/>
      <c r="H3" s="1096"/>
      <c r="I3" s="1096"/>
      <c r="J3" s="1096"/>
      <c r="K3" s="1096"/>
      <c r="L3" s="1096"/>
    </row>
    <row r="4" spans="1:19" ht="39.75" customHeight="1">
      <c r="B4" s="1096"/>
      <c r="C4" s="1096"/>
      <c r="D4" s="1096"/>
      <c r="E4" s="1096"/>
      <c r="F4" s="1096"/>
      <c r="G4" s="1096"/>
      <c r="H4" s="1096"/>
      <c r="I4" s="1096"/>
      <c r="J4" s="1096"/>
      <c r="K4" s="1096"/>
      <c r="L4" s="1096"/>
    </row>
    <row r="5" spans="1:19" ht="21.75" customHeight="1">
      <c r="B5" s="1096"/>
      <c r="C5" s="1096"/>
      <c r="D5" s="1096"/>
      <c r="E5" s="1096"/>
      <c r="F5" s="1096"/>
      <c r="G5" s="1096"/>
      <c r="H5" s="1096"/>
      <c r="I5" s="1096"/>
      <c r="J5" s="1096"/>
      <c r="K5" s="1096"/>
      <c r="L5" s="1096"/>
    </row>
    <row r="6" spans="1:19" ht="18.75" customHeight="1">
      <c r="B6" s="1096"/>
      <c r="C6" s="1096"/>
      <c r="D6" s="1096"/>
      <c r="E6" s="1096"/>
      <c r="F6" s="1096"/>
      <c r="G6" s="1096"/>
      <c r="H6" s="1096"/>
      <c r="I6" s="1096"/>
      <c r="J6" s="1096"/>
      <c r="K6" s="1096"/>
      <c r="L6" s="1096"/>
    </row>
    <row r="7" spans="1:19">
      <c r="B7" s="1045" t="s">
        <v>833</v>
      </c>
      <c r="C7" s="1046" t="s">
        <v>1039</v>
      </c>
      <c r="D7" s="1046" t="s">
        <v>1040</v>
      </c>
      <c r="E7" s="1046" t="s">
        <v>1041</v>
      </c>
      <c r="F7" s="1046" t="s">
        <v>1042</v>
      </c>
      <c r="G7" s="1046" t="s">
        <v>1043</v>
      </c>
      <c r="H7" s="325"/>
      <c r="I7" s="325"/>
      <c r="J7" s="325"/>
      <c r="K7" s="325"/>
      <c r="L7" s="325"/>
    </row>
    <row r="8" spans="1:19">
      <c r="B8" s="1047" t="s">
        <v>1044</v>
      </c>
      <c r="C8" s="995">
        <v>-0.05</v>
      </c>
      <c r="D8" s="995">
        <v>0.13</v>
      </c>
      <c r="E8" s="995">
        <v>-0.08</v>
      </c>
      <c r="F8" s="995">
        <v>-0.25</v>
      </c>
      <c r="G8" s="995">
        <v>2.3199999999999998</v>
      </c>
      <c r="H8" s="325"/>
      <c r="I8" s="325"/>
      <c r="J8" s="325"/>
      <c r="K8" s="325"/>
      <c r="L8" s="325"/>
    </row>
    <row r="9" spans="1:19">
      <c r="B9" s="1047" t="s">
        <v>1045</v>
      </c>
      <c r="C9" s="995">
        <v>0.83</v>
      </c>
      <c r="D9" s="995">
        <v>0.93</v>
      </c>
      <c r="E9" s="995">
        <v>1.49</v>
      </c>
      <c r="F9" s="995">
        <v>0.69</v>
      </c>
      <c r="G9" s="995">
        <v>1.36</v>
      </c>
      <c r="H9" s="325"/>
      <c r="I9" s="325"/>
      <c r="J9" s="325"/>
      <c r="K9" s="325"/>
      <c r="L9" s="325"/>
    </row>
    <row r="10" spans="1:19">
      <c r="B10" s="1047" t="s">
        <v>1046</v>
      </c>
      <c r="C10" s="995">
        <v>-1.47</v>
      </c>
      <c r="D10" s="995">
        <v>-2.25</v>
      </c>
      <c r="E10" s="995">
        <v>-2.7000000000000006</v>
      </c>
      <c r="F10" s="995">
        <v>-2.1</v>
      </c>
      <c r="G10" s="995">
        <v>-1.27</v>
      </c>
      <c r="H10" s="325"/>
      <c r="I10" s="325"/>
      <c r="J10" s="325"/>
      <c r="K10" s="325"/>
      <c r="L10" s="325"/>
      <c r="Q10" s="92"/>
      <c r="R10" s="92"/>
      <c r="S10" s="92"/>
    </row>
    <row r="11" spans="1:19">
      <c r="B11" s="1048" t="s">
        <v>1047</v>
      </c>
      <c r="C11" s="995">
        <v>1.7000000000000002</v>
      </c>
      <c r="D11" s="995">
        <v>1.7500000000000007</v>
      </c>
      <c r="E11" s="995">
        <v>3.6000000000000005</v>
      </c>
      <c r="F11" s="995">
        <v>1.27</v>
      </c>
      <c r="G11" s="995">
        <v>5.23</v>
      </c>
      <c r="H11" s="325"/>
      <c r="I11" s="325"/>
      <c r="J11" s="325"/>
      <c r="K11" s="325"/>
      <c r="L11" s="325"/>
    </row>
    <row r="12" spans="1:19">
      <c r="B12" s="1048" t="s">
        <v>1048</v>
      </c>
      <c r="C12" s="995">
        <v>3.17</v>
      </c>
      <c r="D12" s="995">
        <v>4.0000000000000009</v>
      </c>
      <c r="E12" s="995">
        <v>6.3000000000000007</v>
      </c>
      <c r="F12" s="995">
        <v>3.37</v>
      </c>
      <c r="G12" s="995">
        <v>6.5</v>
      </c>
      <c r="H12" s="325"/>
      <c r="I12" s="325"/>
      <c r="J12" s="325"/>
      <c r="K12" s="325"/>
      <c r="L12" s="325"/>
    </row>
    <row r="13" spans="1:19">
      <c r="B13" s="1049" t="s">
        <v>1049</v>
      </c>
      <c r="C13" s="1050">
        <f>C12/C14</f>
        <v>0.13581833761782344</v>
      </c>
      <c r="D13" s="1050">
        <f>D12/C14</f>
        <v>0.17137960582690662</v>
      </c>
      <c r="E13" s="1050">
        <f>E12/C14</f>
        <v>0.26992287917737789</v>
      </c>
      <c r="F13" s="1050">
        <f>F12/C14</f>
        <v>0.14438731790916878</v>
      </c>
      <c r="G13" s="1050">
        <f>G12/C14</f>
        <v>0.27849185946872318</v>
      </c>
      <c r="H13" s="325"/>
      <c r="I13" s="325"/>
      <c r="J13" s="325"/>
      <c r="K13" s="325"/>
      <c r="L13" s="325"/>
    </row>
    <row r="14" spans="1:19" ht="15.75" customHeight="1">
      <c r="B14" s="1048" t="s">
        <v>1050</v>
      </c>
      <c r="C14" s="1051">
        <f>SUM(C12:G12)</f>
        <v>23.340000000000003</v>
      </c>
      <c r="D14" s="845"/>
      <c r="E14" s="845"/>
      <c r="F14" s="845"/>
      <c r="G14" s="845"/>
      <c r="H14" s="325"/>
      <c r="I14" s="325"/>
      <c r="J14" s="325"/>
      <c r="K14" s="325"/>
      <c r="L14" s="325"/>
    </row>
    <row r="15" spans="1:19">
      <c r="A15" s="44"/>
    </row>
    <row r="16" spans="1:19" ht="18.95">
      <c r="B16" s="24"/>
      <c r="C16" s="113" t="s">
        <v>1051</v>
      </c>
      <c r="D16" s="113"/>
      <c r="E16" s="113"/>
      <c r="F16" s="113"/>
      <c r="G16" s="113"/>
      <c r="H16" s="24"/>
      <c r="I16" s="24"/>
      <c r="J16" s="24"/>
      <c r="K16" s="24"/>
      <c r="L16" s="24"/>
      <c r="M16" s="24"/>
      <c r="N16" s="24"/>
      <c r="O16" s="24"/>
      <c r="P16" s="24"/>
      <c r="Q16" s="24"/>
      <c r="R16" s="24"/>
    </row>
    <row r="17" spans="2:18">
      <c r="B17" s="24"/>
      <c r="C17" s="24"/>
      <c r="D17" s="24"/>
      <c r="E17" s="24"/>
      <c r="F17" s="24"/>
      <c r="G17" s="24"/>
      <c r="H17" s="24"/>
      <c r="I17" s="24"/>
      <c r="J17" s="24"/>
      <c r="K17" s="24"/>
      <c r="L17" s="24"/>
      <c r="M17" s="24"/>
      <c r="N17" s="24"/>
      <c r="O17" s="24"/>
      <c r="P17" s="24"/>
      <c r="Q17" s="24"/>
      <c r="R17" s="24"/>
    </row>
    <row r="18" spans="2:18">
      <c r="B18" s="24"/>
      <c r="C18" s="1110" t="s">
        <v>1052</v>
      </c>
      <c r="D18" s="1111"/>
      <c r="E18" s="1111"/>
      <c r="F18" s="1111"/>
      <c r="G18" s="1111"/>
      <c r="H18" s="1111"/>
      <c r="I18" s="1111"/>
      <c r="J18" s="1111"/>
      <c r="K18" s="1111"/>
      <c r="L18" s="1112"/>
      <c r="M18" s="24"/>
      <c r="N18" s="24"/>
      <c r="O18" s="1113"/>
      <c r="P18" s="1113"/>
      <c r="Q18" s="1113"/>
      <c r="R18" s="1113"/>
    </row>
    <row r="19" spans="2:18">
      <c r="B19" s="24"/>
      <c r="C19" s="1097" t="s">
        <v>1053</v>
      </c>
      <c r="D19" s="1098"/>
      <c r="E19" s="1099" t="s">
        <v>1054</v>
      </c>
      <c r="F19" s="1098"/>
      <c r="G19" s="1099" t="s">
        <v>1055</v>
      </c>
      <c r="H19" s="1098"/>
      <c r="I19" s="1093" t="s">
        <v>1056</v>
      </c>
      <c r="J19" s="1094"/>
      <c r="K19" s="1093" t="s">
        <v>1057</v>
      </c>
      <c r="L19" s="1094"/>
      <c r="M19" s="24"/>
      <c r="N19" s="24"/>
      <c r="O19" s="1040"/>
      <c r="P19" s="1040"/>
      <c r="Q19" s="1040"/>
      <c r="R19" s="1040"/>
    </row>
    <row r="20" spans="2:18">
      <c r="B20" s="24"/>
      <c r="C20" s="24"/>
      <c r="D20" s="24"/>
      <c r="E20" s="24"/>
      <c r="F20" s="24"/>
      <c r="G20" s="24"/>
      <c r="H20" s="24"/>
      <c r="I20" s="24"/>
      <c r="J20" s="24"/>
      <c r="K20" s="24"/>
      <c r="L20" s="24"/>
      <c r="M20" s="24"/>
      <c r="N20" s="24"/>
      <c r="O20" s="24"/>
      <c r="P20" s="24"/>
      <c r="Q20" s="24"/>
      <c r="R20" s="24"/>
    </row>
    <row r="21" spans="2:18" ht="18.95">
      <c r="B21" s="24"/>
      <c r="C21" s="114" t="s">
        <v>1053</v>
      </c>
      <c r="D21" s="114"/>
      <c r="E21" s="24"/>
      <c r="F21" s="24"/>
      <c r="G21" s="24"/>
      <c r="H21" s="24"/>
      <c r="I21" s="24"/>
      <c r="J21" s="24"/>
      <c r="K21" s="24"/>
      <c r="L21" s="24"/>
      <c r="M21" s="24"/>
      <c r="N21" s="24"/>
      <c r="O21" s="24"/>
      <c r="P21" s="24"/>
      <c r="Q21" s="24"/>
      <c r="R21" s="24"/>
    </row>
    <row r="22" spans="2:18">
      <c r="B22" s="24"/>
      <c r="C22" s="24"/>
      <c r="D22" s="24"/>
      <c r="E22" s="24"/>
      <c r="F22" s="24"/>
      <c r="G22" s="24"/>
      <c r="H22" s="24"/>
      <c r="I22" s="24"/>
      <c r="J22" s="24"/>
      <c r="K22" s="24"/>
      <c r="L22" s="24"/>
      <c r="M22" s="24"/>
      <c r="N22" s="24"/>
      <c r="O22" s="24"/>
      <c r="P22" s="24"/>
      <c r="Q22" s="24"/>
      <c r="R22" s="24"/>
    </row>
    <row r="23" spans="2:18">
      <c r="B23" s="24"/>
      <c r="C23" s="24"/>
      <c r="D23" s="1044" t="s">
        <v>1058</v>
      </c>
      <c r="E23" s="1044" t="s">
        <v>1059</v>
      </c>
      <c r="F23" s="1044" t="s">
        <v>1060</v>
      </c>
      <c r="G23" s="1044" t="s">
        <v>1061</v>
      </c>
      <c r="H23" s="1044" t="s">
        <v>1062</v>
      </c>
      <c r="I23" s="1044" t="s">
        <v>1063</v>
      </c>
      <c r="J23" s="24"/>
      <c r="K23" s="24"/>
      <c r="L23" s="24"/>
      <c r="M23" s="24"/>
      <c r="N23" s="24"/>
      <c r="O23" s="24"/>
      <c r="P23" s="24"/>
      <c r="Q23" s="24"/>
      <c r="R23" s="24"/>
    </row>
    <row r="24" spans="2:18">
      <c r="B24" s="24"/>
      <c r="C24" s="24"/>
      <c r="D24" s="24" t="s">
        <v>1064</v>
      </c>
      <c r="E24" s="24">
        <v>1.881607</v>
      </c>
      <c r="F24" s="24">
        <v>2.4977858720000001</v>
      </c>
      <c r="G24" s="24">
        <v>1.120182934</v>
      </c>
      <c r="H24" s="24">
        <v>1.759709</v>
      </c>
      <c r="I24" s="24">
        <v>2.4317829999999998</v>
      </c>
      <c r="J24" s="24"/>
      <c r="K24" s="24"/>
      <c r="L24" s="24"/>
      <c r="M24" s="24"/>
      <c r="N24" s="24"/>
      <c r="O24" s="24"/>
      <c r="P24" s="24"/>
      <c r="Q24" s="24"/>
      <c r="R24" s="24"/>
    </row>
    <row r="25" spans="2:18">
      <c r="B25" s="24"/>
      <c r="C25" s="24"/>
      <c r="D25" s="24" t="s">
        <v>1065</v>
      </c>
      <c r="E25" s="24">
        <v>1.908668</v>
      </c>
      <c r="F25" s="24">
        <v>2.5253008239999999</v>
      </c>
      <c r="G25" s="24">
        <v>1.0598488020000001</v>
      </c>
      <c r="H25" s="24">
        <v>1.841432</v>
      </c>
      <c r="I25" s="24">
        <v>2.266667</v>
      </c>
      <c r="J25" s="24"/>
      <c r="K25" s="24"/>
      <c r="L25" s="24"/>
      <c r="M25" s="24"/>
      <c r="N25" s="24"/>
      <c r="O25" s="24"/>
      <c r="P25" s="24"/>
      <c r="Q25" s="24"/>
      <c r="R25" s="24"/>
    </row>
    <row r="26" spans="2:18">
      <c r="B26" s="24"/>
      <c r="C26" s="24"/>
      <c r="D26" s="24" t="s">
        <v>1066</v>
      </c>
      <c r="E26" s="24">
        <v>1.935729</v>
      </c>
      <c r="F26" s="24">
        <v>2.5528157770000002</v>
      </c>
      <c r="G26" s="24">
        <v>0.99951466899999997</v>
      </c>
      <c r="H26" s="24">
        <v>1.9231549999999999</v>
      </c>
      <c r="I26" s="24">
        <v>3.6666669999999999</v>
      </c>
      <c r="J26" s="24"/>
      <c r="K26" s="24"/>
      <c r="L26" s="24"/>
      <c r="M26" s="24"/>
      <c r="N26" s="24"/>
      <c r="O26" s="24"/>
      <c r="P26" s="24"/>
      <c r="Q26" s="24"/>
      <c r="R26" s="24"/>
    </row>
    <row r="27" spans="2:18">
      <c r="B27" s="24"/>
      <c r="C27" s="24"/>
      <c r="D27" s="24" t="s">
        <v>1067</v>
      </c>
      <c r="E27" s="24">
        <v>1.962791</v>
      </c>
      <c r="F27" s="24">
        <v>2.5803307289999999</v>
      </c>
      <c r="G27" s="24">
        <v>0.93918053700000004</v>
      </c>
      <c r="H27" s="24">
        <v>2.0048780000000002</v>
      </c>
      <c r="I27" s="24">
        <v>1.55</v>
      </c>
      <c r="J27" s="129"/>
      <c r="K27" s="24"/>
      <c r="L27" s="24"/>
      <c r="M27" s="24"/>
      <c r="N27" s="24"/>
      <c r="O27" s="24"/>
      <c r="P27" s="24"/>
      <c r="Q27" s="24"/>
      <c r="R27" s="24"/>
    </row>
    <row r="28" spans="2:18">
      <c r="B28" s="24"/>
      <c r="C28" s="24"/>
      <c r="D28" s="24" t="s">
        <v>1068</v>
      </c>
      <c r="E28" s="24">
        <v>1.989852</v>
      </c>
      <c r="F28" s="24">
        <v>2.6078456820000002</v>
      </c>
      <c r="G28" s="24">
        <v>0.878846405</v>
      </c>
      <c r="H28" s="24">
        <v>2.0866020000000001</v>
      </c>
      <c r="I28" s="24">
        <v>5.6</v>
      </c>
      <c r="J28" s="24"/>
      <c r="K28" s="24"/>
      <c r="L28" s="24"/>
      <c r="M28" s="24"/>
      <c r="N28" s="24"/>
      <c r="O28" s="24"/>
      <c r="P28" s="24"/>
      <c r="Q28" s="24"/>
      <c r="R28" s="24"/>
    </row>
    <row r="29" spans="2:18">
      <c r="B29" s="24"/>
      <c r="C29" s="24"/>
      <c r="D29" s="24" t="s">
        <v>1069</v>
      </c>
      <c r="E29" s="24">
        <v>2.0169130000000002</v>
      </c>
      <c r="F29" s="24">
        <v>2.6353606350000001</v>
      </c>
      <c r="G29" s="24">
        <v>0.81851227199999999</v>
      </c>
      <c r="H29" s="24">
        <v>2.1683249999999998</v>
      </c>
      <c r="I29" s="24">
        <v>3.0833330000000001</v>
      </c>
      <c r="J29" s="24"/>
      <c r="K29" s="24"/>
      <c r="L29" s="24"/>
      <c r="M29" s="24"/>
      <c r="N29" s="24"/>
      <c r="O29" s="24"/>
      <c r="P29" s="24"/>
      <c r="Q29" s="24"/>
      <c r="R29" s="24"/>
    </row>
    <row r="30" spans="2:18">
      <c r="B30" s="24"/>
      <c r="C30" s="24"/>
      <c r="D30" s="24" t="s">
        <v>1070</v>
      </c>
      <c r="E30" s="24">
        <v>2.0439750000000001</v>
      </c>
      <c r="F30" s="24">
        <v>2.6628755869999998</v>
      </c>
      <c r="G30" s="24">
        <v>0.75817813999999994</v>
      </c>
      <c r="H30" s="24">
        <v>2.250048</v>
      </c>
      <c r="I30" s="24">
        <v>1.3333330000000001</v>
      </c>
      <c r="J30" s="24"/>
      <c r="K30" s="24"/>
      <c r="L30" s="24"/>
      <c r="M30" s="24"/>
      <c r="N30" s="24"/>
      <c r="O30" s="24"/>
      <c r="P30" s="24"/>
      <c r="Q30" s="24"/>
      <c r="R30" s="24"/>
    </row>
    <row r="31" spans="2:18">
      <c r="B31" s="24"/>
      <c r="C31" s="24"/>
      <c r="D31" s="24" t="s">
        <v>1071</v>
      </c>
      <c r="E31" s="24">
        <v>2.0710359999999999</v>
      </c>
      <c r="F31" s="24">
        <v>2.6903905400000001</v>
      </c>
      <c r="G31" s="24">
        <v>0.69784400700000004</v>
      </c>
      <c r="H31" s="24">
        <v>2.3317709999999998</v>
      </c>
      <c r="I31" s="24">
        <v>3.45</v>
      </c>
      <c r="J31" s="24"/>
      <c r="K31" s="24"/>
      <c r="L31" s="24"/>
      <c r="M31" s="24"/>
      <c r="N31" s="24"/>
      <c r="O31" s="24"/>
      <c r="P31" s="24"/>
      <c r="Q31" s="24"/>
      <c r="R31" s="24"/>
    </row>
    <row r="32" spans="2:18">
      <c r="B32" s="24"/>
      <c r="C32" s="24"/>
      <c r="D32" s="24" t="s">
        <v>1072</v>
      </c>
      <c r="E32" s="24">
        <v>2.0980970000000001</v>
      </c>
      <c r="F32" s="24">
        <v>2.717905493</v>
      </c>
      <c r="G32" s="24">
        <v>0.637509875</v>
      </c>
      <c r="H32" s="24">
        <v>2.413494</v>
      </c>
      <c r="I32" s="24">
        <v>4.95</v>
      </c>
      <c r="J32" s="24"/>
      <c r="K32" s="24"/>
      <c r="L32" s="24"/>
      <c r="M32" s="24"/>
      <c r="N32" s="24"/>
      <c r="O32" s="24"/>
      <c r="P32" s="24"/>
      <c r="Q32" s="24"/>
      <c r="R32" s="24"/>
    </row>
    <row r="33" spans="2:18">
      <c r="B33" s="24"/>
      <c r="C33" s="24"/>
      <c r="D33" s="24" t="s">
        <v>1073</v>
      </c>
      <c r="E33" s="24">
        <v>2.125159</v>
      </c>
      <c r="F33" s="24">
        <v>2.7454204450000002</v>
      </c>
      <c r="G33" s="24">
        <v>0.57717574199999999</v>
      </c>
      <c r="H33" s="24">
        <v>2.4952169999999998</v>
      </c>
      <c r="I33" s="24">
        <v>2.25</v>
      </c>
      <c r="J33" s="24"/>
      <c r="K33" s="24"/>
      <c r="L33" s="24"/>
      <c r="M33" s="24"/>
      <c r="N33" s="24"/>
      <c r="O33" s="24"/>
      <c r="P33" s="24"/>
      <c r="Q33" s="24"/>
      <c r="R33" s="24"/>
    </row>
    <row r="34" spans="2:18">
      <c r="B34" s="24"/>
      <c r="C34" s="24"/>
      <c r="D34" s="24" t="s">
        <v>1074</v>
      </c>
      <c r="E34" s="24">
        <v>2.1522199999999998</v>
      </c>
      <c r="F34" s="24">
        <v>2.772935398</v>
      </c>
      <c r="G34" s="24">
        <v>0.51684160999999995</v>
      </c>
      <c r="H34" s="24">
        <v>2.5769410000000001</v>
      </c>
      <c r="I34" s="24">
        <v>2.8666670000000001</v>
      </c>
      <c r="J34" s="24"/>
      <c r="K34" s="24"/>
      <c r="L34" s="24"/>
      <c r="M34" s="24"/>
      <c r="N34" s="24"/>
      <c r="O34" s="24"/>
      <c r="P34" s="24"/>
      <c r="Q34" s="24"/>
      <c r="R34" s="24"/>
    </row>
    <row r="35" spans="2:18">
      <c r="B35" s="24"/>
      <c r="C35" s="24"/>
      <c r="D35" s="24" t="s">
        <v>1075</v>
      </c>
      <c r="E35" s="24">
        <v>2.179281</v>
      </c>
      <c r="F35" s="24">
        <v>2.8004503509999998</v>
      </c>
      <c r="G35" s="24">
        <v>0.45650747699999999</v>
      </c>
      <c r="H35" s="24">
        <v>2.6586639999999999</v>
      </c>
      <c r="I35" s="24">
        <v>4.266667</v>
      </c>
      <c r="J35" s="24"/>
      <c r="K35" s="24"/>
      <c r="L35" s="24"/>
      <c r="M35" s="24"/>
      <c r="N35" s="24"/>
      <c r="O35" s="24"/>
      <c r="P35" s="24"/>
      <c r="Q35" s="24"/>
      <c r="R35" s="24"/>
    </row>
    <row r="36" spans="2:18">
      <c r="B36" s="24"/>
      <c r="C36" s="24"/>
      <c r="D36" s="24" t="s">
        <v>1076</v>
      </c>
      <c r="E36" s="24">
        <v>2.2063419999999998</v>
      </c>
      <c r="F36" s="24">
        <v>2.827965303</v>
      </c>
      <c r="G36" s="24">
        <v>0.39617334500000001</v>
      </c>
      <c r="H36" s="24">
        <v>2.7403870000000001</v>
      </c>
      <c r="I36" s="24">
        <v>2.0833330000000001</v>
      </c>
      <c r="J36" s="24"/>
      <c r="K36" s="24"/>
      <c r="L36" s="24"/>
      <c r="M36" s="24"/>
      <c r="N36" s="24"/>
      <c r="O36" s="24"/>
      <c r="P36" s="24"/>
      <c r="Q36" s="24"/>
      <c r="R36" s="24"/>
    </row>
    <row r="37" spans="2:18">
      <c r="B37" s="24"/>
      <c r="C37" s="24"/>
      <c r="D37" s="24" t="s">
        <v>1077</v>
      </c>
      <c r="E37" s="24">
        <v>2.2334040000000002</v>
      </c>
      <c r="F37" s="24">
        <v>2.8554802559999999</v>
      </c>
      <c r="G37" s="24">
        <v>0.33583921300000003</v>
      </c>
      <c r="H37" s="24">
        <v>2.8221099999999999</v>
      </c>
      <c r="I37" s="24">
        <v>1.55</v>
      </c>
      <c r="J37" s="24"/>
      <c r="K37" s="24"/>
      <c r="L37" s="24"/>
      <c r="M37" s="24"/>
      <c r="N37" s="24"/>
      <c r="O37" s="24"/>
      <c r="P37" s="24"/>
      <c r="Q37" s="24"/>
      <c r="R37" s="24"/>
    </row>
    <row r="38" spans="2:18">
      <c r="B38" s="24"/>
      <c r="C38" s="24"/>
      <c r="D38" s="24" t="s">
        <v>1078</v>
      </c>
      <c r="E38" s="24">
        <v>2.2604649999999999</v>
      </c>
      <c r="F38" s="24">
        <v>2.8829952080000001</v>
      </c>
      <c r="G38" s="24">
        <v>0.27550508000000001</v>
      </c>
      <c r="H38" s="24">
        <v>2.9038330000000001</v>
      </c>
      <c r="I38" s="24">
        <v>4.05</v>
      </c>
      <c r="J38" s="24"/>
      <c r="K38" s="24"/>
      <c r="L38" s="24"/>
      <c r="M38" s="24"/>
      <c r="N38" s="24"/>
      <c r="O38" s="24"/>
      <c r="P38" s="24"/>
      <c r="Q38" s="24"/>
      <c r="R38" s="24"/>
    </row>
    <row r="39" spans="2:18">
      <c r="B39" s="24"/>
      <c r="C39" s="24"/>
      <c r="D39" s="24" t="s">
        <v>1079</v>
      </c>
      <c r="E39" s="24">
        <v>2.2875260000000002</v>
      </c>
      <c r="F39" s="24">
        <v>2.9105101609999999</v>
      </c>
      <c r="G39" s="24">
        <v>0.215170948</v>
      </c>
      <c r="H39" s="24">
        <v>2.9855559999999999</v>
      </c>
      <c r="I39" s="24">
        <v>5.6166669999999996</v>
      </c>
      <c r="J39" s="24"/>
      <c r="K39" s="24"/>
      <c r="L39" s="24"/>
      <c r="M39" s="24"/>
      <c r="N39" s="24"/>
      <c r="O39" s="24"/>
      <c r="P39" s="24"/>
      <c r="Q39" s="24"/>
      <c r="R39" s="24"/>
    </row>
    <row r="40" spans="2:18">
      <c r="B40" s="24"/>
      <c r="C40" s="24"/>
      <c r="D40" s="24" t="s">
        <v>1080</v>
      </c>
      <c r="E40" s="24">
        <v>2.3145880000000001</v>
      </c>
      <c r="F40" s="24">
        <v>2.9380251140000002</v>
      </c>
      <c r="G40" s="24">
        <v>0.15483681499999999</v>
      </c>
      <c r="H40" s="24">
        <v>3.0672799999999998</v>
      </c>
      <c r="I40" s="24">
        <v>4.8666669999999996</v>
      </c>
      <c r="J40" s="24"/>
      <c r="K40" s="24"/>
      <c r="L40" s="24"/>
      <c r="M40" s="24"/>
      <c r="N40" s="24"/>
      <c r="O40" s="24"/>
      <c r="P40" s="24"/>
      <c r="Q40" s="24"/>
      <c r="R40" s="24"/>
    </row>
    <row r="41" spans="2:18">
      <c r="B41" s="24"/>
      <c r="C41" s="24"/>
      <c r="D41" s="24" t="s">
        <v>1081</v>
      </c>
      <c r="E41" s="24">
        <v>2.3416489999999999</v>
      </c>
      <c r="F41" s="24">
        <v>2.965540066</v>
      </c>
      <c r="G41" s="24">
        <v>9.4502683000000004E-2</v>
      </c>
      <c r="H41" s="24">
        <v>3.149003</v>
      </c>
      <c r="I41" s="24">
        <v>2.3166669999999998</v>
      </c>
      <c r="J41" s="24"/>
      <c r="K41" s="24"/>
      <c r="L41" s="24"/>
      <c r="M41" s="24"/>
      <c r="N41" s="24"/>
      <c r="O41" s="24"/>
      <c r="P41" s="24"/>
      <c r="Q41" s="24"/>
      <c r="R41" s="24"/>
    </row>
    <row r="42" spans="2:18">
      <c r="B42" s="24"/>
      <c r="C42" s="24"/>
      <c r="D42" s="24" t="s">
        <v>1082</v>
      </c>
      <c r="E42" s="24">
        <v>2.3687100000000001</v>
      </c>
      <c r="F42" s="24">
        <v>2.9930550189999998</v>
      </c>
      <c r="G42" s="24">
        <v>3.4168549999999999E-2</v>
      </c>
      <c r="H42" s="24">
        <v>3.2307260000000002</v>
      </c>
      <c r="I42" s="24">
        <v>1.8</v>
      </c>
      <c r="J42" s="24"/>
      <c r="K42" s="24"/>
      <c r="L42" s="24"/>
      <c r="M42" s="24"/>
      <c r="N42" s="24"/>
      <c r="O42" s="24"/>
      <c r="P42" s="24"/>
      <c r="Q42" s="24"/>
      <c r="R42" s="24"/>
    </row>
    <row r="43" spans="2:18">
      <c r="B43" s="24"/>
      <c r="C43" s="24"/>
      <c r="D43" s="24" t="s">
        <v>1083</v>
      </c>
      <c r="E43" s="24">
        <v>2.395772</v>
      </c>
      <c r="F43" s="24">
        <v>3.0205699720000001</v>
      </c>
      <c r="G43" s="24">
        <v>-2.6165582E-2</v>
      </c>
      <c r="H43" s="24">
        <v>3.312449</v>
      </c>
      <c r="I43" s="24">
        <v>2.25</v>
      </c>
      <c r="J43" s="24"/>
      <c r="K43" s="24"/>
      <c r="L43" s="24"/>
      <c r="M43" s="24"/>
      <c r="N43" s="24"/>
      <c r="O43" s="24"/>
      <c r="P43" s="24"/>
      <c r="Q43" s="24"/>
      <c r="R43" s="24"/>
    </row>
    <row r="44" spans="2:18">
      <c r="B44" s="24"/>
      <c r="C44" s="24"/>
      <c r="D44" s="24" t="s">
        <v>1084</v>
      </c>
      <c r="E44" s="24">
        <v>2.4228329999999998</v>
      </c>
      <c r="F44" s="24">
        <v>3.0480849239999999</v>
      </c>
      <c r="G44" s="24">
        <v>-8.6499714000000005E-2</v>
      </c>
      <c r="H44" s="24">
        <v>3.3941720000000002</v>
      </c>
      <c r="I44" s="24">
        <v>1.55</v>
      </c>
      <c r="J44" s="24"/>
      <c r="K44" s="24"/>
      <c r="L44" s="24"/>
      <c r="M44" s="24"/>
      <c r="N44" s="24"/>
      <c r="O44" s="24"/>
      <c r="P44" s="24"/>
      <c r="Q44" s="24"/>
      <c r="R44" s="24"/>
    </row>
    <row r="45" spans="2:18">
      <c r="B45" s="24"/>
      <c r="C45" s="24"/>
      <c r="D45" s="24" t="s">
        <v>1085</v>
      </c>
      <c r="E45" s="24">
        <v>2.449894</v>
      </c>
      <c r="F45" s="24">
        <v>3.0755998770000001</v>
      </c>
      <c r="G45" s="24">
        <v>-0.14683384699999999</v>
      </c>
      <c r="H45" s="24">
        <v>3.475895</v>
      </c>
      <c r="I45" s="24">
        <v>2.85</v>
      </c>
      <c r="J45" s="24"/>
      <c r="K45" s="1114"/>
      <c r="L45" s="1114"/>
      <c r="M45" s="1114"/>
      <c r="N45" s="1114"/>
      <c r="O45" s="1114"/>
      <c r="P45" s="1114"/>
      <c r="Q45" s="1114"/>
      <c r="R45" s="1114"/>
    </row>
    <row r="46" spans="2:18">
      <c r="B46" s="24"/>
      <c r="C46" s="24"/>
      <c r="D46" s="24" t="s">
        <v>1086</v>
      </c>
      <c r="E46" s="24">
        <v>2.4769559999999999</v>
      </c>
      <c r="F46" s="24">
        <v>3.10311483</v>
      </c>
      <c r="G46" s="24">
        <v>-0.207167979</v>
      </c>
      <c r="H46" s="24">
        <v>3.5576189999999999</v>
      </c>
      <c r="I46" s="24">
        <v>0.86666699999999997</v>
      </c>
      <c r="J46" s="24"/>
      <c r="K46" s="1114"/>
      <c r="L46" s="1114"/>
      <c r="M46" s="1114"/>
      <c r="N46" s="1114"/>
      <c r="O46" s="1114"/>
      <c r="P46" s="1114"/>
      <c r="Q46" s="1114"/>
      <c r="R46" s="1114"/>
    </row>
    <row r="47" spans="2:18">
      <c r="B47" s="24"/>
      <c r="C47" s="24"/>
      <c r="D47" s="24" t="s">
        <v>1087</v>
      </c>
      <c r="E47" s="24">
        <v>2.5040170000000002</v>
      </c>
      <c r="F47" s="24">
        <v>3.1306297820000002</v>
      </c>
      <c r="G47" s="24">
        <v>-0.26750211200000001</v>
      </c>
      <c r="H47" s="24">
        <v>3.6393420000000001</v>
      </c>
      <c r="I47" s="24">
        <v>3.2166670000000002</v>
      </c>
      <c r="J47" s="24"/>
      <c r="K47" s="1114"/>
      <c r="L47" s="1114"/>
      <c r="M47" s="1114"/>
      <c r="N47" s="1114"/>
      <c r="O47" s="1114"/>
      <c r="P47" s="1114"/>
      <c r="Q47" s="1114"/>
      <c r="R47" s="1114"/>
    </row>
    <row r="48" spans="2:18">
      <c r="B48" s="24"/>
      <c r="C48" s="24"/>
      <c r="D48" s="24" t="s">
        <v>1088</v>
      </c>
      <c r="E48" s="24">
        <v>2.5310779999999999</v>
      </c>
      <c r="F48" s="24">
        <v>3.158144735</v>
      </c>
      <c r="G48" s="24">
        <v>-0.327836244</v>
      </c>
      <c r="H48" s="24">
        <v>3.7210649999999998</v>
      </c>
      <c r="I48" s="24">
        <v>2.0833330000000001</v>
      </c>
      <c r="J48" s="24"/>
      <c r="K48" s="1114"/>
      <c r="L48" s="1114"/>
      <c r="M48" s="1114"/>
      <c r="N48" s="1114"/>
      <c r="O48" s="1114"/>
      <c r="P48" s="1114"/>
      <c r="Q48" s="1114"/>
      <c r="R48" s="1114"/>
    </row>
    <row r="49" spans="2:18">
      <c r="B49" s="24"/>
      <c r="C49" s="24"/>
      <c r="D49" s="24" t="s">
        <v>1089</v>
      </c>
      <c r="E49" s="24">
        <v>2.5581399999999999</v>
      </c>
      <c r="F49" s="24">
        <v>3.1856596869999998</v>
      </c>
      <c r="G49" s="24">
        <v>-0.38817037700000001</v>
      </c>
      <c r="H49" s="24">
        <v>3.8027880000000001</v>
      </c>
      <c r="I49" s="24">
        <v>4.1166669999999996</v>
      </c>
      <c r="J49" s="24"/>
      <c r="K49" s="1114"/>
      <c r="L49" s="1114"/>
      <c r="M49" s="1114"/>
      <c r="N49" s="1114"/>
      <c r="O49" s="1114"/>
      <c r="P49" s="1114"/>
      <c r="Q49" s="1114"/>
      <c r="R49" s="1114"/>
    </row>
    <row r="50" spans="2:18">
      <c r="B50" s="24"/>
      <c r="C50" s="24"/>
      <c r="D50" s="24" t="s">
        <v>1090</v>
      </c>
      <c r="E50" s="24">
        <v>2.5852010000000001</v>
      </c>
      <c r="F50" s="24">
        <v>3.2131746400000001</v>
      </c>
      <c r="G50" s="24">
        <v>-0.448504509</v>
      </c>
      <c r="H50" s="24">
        <v>3.8845109999999998</v>
      </c>
      <c r="I50" s="24">
        <v>3.1166670000000001</v>
      </c>
      <c r="J50" s="24"/>
      <c r="K50" s="1114"/>
      <c r="L50" s="1114"/>
      <c r="M50" s="1114"/>
      <c r="N50" s="1114"/>
      <c r="O50" s="1114"/>
      <c r="P50" s="1114"/>
      <c r="Q50" s="1114"/>
      <c r="R50" s="1114"/>
    </row>
    <row r="51" spans="2:18">
      <c r="B51" s="24"/>
      <c r="C51" s="24"/>
      <c r="D51" s="24" t="s">
        <v>1091</v>
      </c>
      <c r="E51" s="24">
        <v>2.6122619999999999</v>
      </c>
      <c r="F51" s="24">
        <v>3.2406895929999999</v>
      </c>
      <c r="G51" s="24">
        <v>-0.50883864099999998</v>
      </c>
      <c r="H51" s="24">
        <v>3.966234</v>
      </c>
      <c r="I51" s="24">
        <v>3.3376769999999998</v>
      </c>
      <c r="J51" s="24"/>
      <c r="K51" s="1114"/>
      <c r="L51" s="1114"/>
      <c r="M51" s="1114"/>
      <c r="N51" s="1114"/>
      <c r="O51" s="1114"/>
      <c r="P51" s="1114"/>
      <c r="Q51" s="1114"/>
      <c r="R51" s="1114"/>
    </row>
    <row r="52" spans="2:18">
      <c r="B52" s="24"/>
      <c r="C52" s="24"/>
      <c r="D52" s="24" t="s">
        <v>1092</v>
      </c>
      <c r="E52" s="24">
        <v>2.6393230000000001</v>
      </c>
      <c r="F52" s="24">
        <v>3.2682045450000001</v>
      </c>
      <c r="G52" s="24">
        <v>-0.56917277399999999</v>
      </c>
      <c r="H52" s="24">
        <v>4.0479580000000004</v>
      </c>
      <c r="I52" s="24">
        <v>2.2000000000000002</v>
      </c>
      <c r="J52" s="24"/>
      <c r="K52" s="1114"/>
      <c r="L52" s="1114"/>
      <c r="M52" s="1114"/>
      <c r="N52" s="1114"/>
      <c r="O52" s="1114"/>
      <c r="P52" s="1114"/>
      <c r="Q52" s="1114"/>
      <c r="R52" s="1114"/>
    </row>
    <row r="53" spans="2:18">
      <c r="B53" s="24"/>
      <c r="C53" s="24"/>
      <c r="D53" s="24" t="s">
        <v>1093</v>
      </c>
      <c r="E53" s="24">
        <v>2.666385</v>
      </c>
      <c r="F53" s="24">
        <v>3.295719498</v>
      </c>
      <c r="G53" s="24">
        <v>-0.62950690600000003</v>
      </c>
      <c r="H53" s="24">
        <v>4.1296809999999997</v>
      </c>
      <c r="I53" s="24">
        <v>2.5666669999999998</v>
      </c>
      <c r="J53" s="24"/>
      <c r="K53" s="1114"/>
      <c r="L53" s="1114"/>
      <c r="M53" s="1114"/>
      <c r="N53" s="1114"/>
      <c r="O53" s="1114"/>
      <c r="P53" s="1114"/>
      <c r="Q53" s="1114"/>
      <c r="R53" s="1114"/>
    </row>
    <row r="54" spans="2:18">
      <c r="B54" s="24"/>
      <c r="C54" s="24"/>
      <c r="D54" s="24" t="s">
        <v>1094</v>
      </c>
      <c r="E54" s="24">
        <v>2.6934459999999998</v>
      </c>
      <c r="F54" s="24">
        <v>3.3232344509999998</v>
      </c>
      <c r="G54" s="24">
        <v>-0.68984103900000004</v>
      </c>
      <c r="H54" s="24">
        <v>4.2114039999999999</v>
      </c>
      <c r="I54" s="24">
        <v>2.2000000000000002</v>
      </c>
      <c r="J54" s="24"/>
      <c r="K54" s="1114"/>
      <c r="L54" s="1114"/>
      <c r="M54" s="1114"/>
      <c r="N54" s="1114"/>
      <c r="O54" s="1114"/>
      <c r="P54" s="1114"/>
      <c r="Q54" s="1114"/>
      <c r="R54" s="1114"/>
    </row>
    <row r="55" spans="2:18">
      <c r="B55" s="24"/>
      <c r="C55" s="24"/>
      <c r="D55" s="24" t="s">
        <v>1095</v>
      </c>
      <c r="E55" s="24">
        <v>2.720507</v>
      </c>
      <c r="F55" s="24">
        <v>3.350749403</v>
      </c>
      <c r="G55" s="24">
        <v>-0.75017517099999997</v>
      </c>
      <c r="H55" s="24">
        <v>4.2931270000000001</v>
      </c>
      <c r="I55" s="24">
        <v>2.8</v>
      </c>
      <c r="J55" s="24"/>
      <c r="K55" s="1114"/>
      <c r="L55" s="1114"/>
      <c r="M55" s="1114"/>
      <c r="N55" s="1114"/>
      <c r="O55" s="1114"/>
      <c r="P55" s="1114"/>
      <c r="Q55" s="1114"/>
      <c r="R55" s="1114"/>
    </row>
    <row r="56" spans="2:18">
      <c r="B56" s="24"/>
      <c r="C56" s="24"/>
      <c r="D56" s="24" t="s">
        <v>1096</v>
      </c>
      <c r="E56" s="24">
        <v>2.7475689999999999</v>
      </c>
      <c r="F56" s="24">
        <v>3.3782643559999999</v>
      </c>
      <c r="G56" s="24">
        <v>-0.81050930399999999</v>
      </c>
      <c r="H56" s="24">
        <v>4.3748500000000003</v>
      </c>
      <c r="I56" s="24">
        <v>2.2000000000000002</v>
      </c>
      <c r="J56" s="24"/>
      <c r="K56" s="1114"/>
      <c r="L56" s="1114"/>
      <c r="M56" s="1114"/>
      <c r="N56" s="1114"/>
      <c r="O56" s="1114"/>
      <c r="P56" s="1114"/>
      <c r="Q56" s="1114"/>
      <c r="R56" s="1114"/>
    </row>
    <row r="57" spans="2:18">
      <c r="B57" s="24"/>
      <c r="C57" s="24"/>
      <c r="D57" s="24" t="s">
        <v>1097</v>
      </c>
      <c r="E57" s="24">
        <v>2.7746300000000002</v>
      </c>
      <c r="F57" s="24">
        <v>3.4057793090000001</v>
      </c>
      <c r="G57" s="24">
        <v>-0.87084343600000003</v>
      </c>
      <c r="H57" s="24">
        <v>4.4565729999999997</v>
      </c>
      <c r="I57" s="24">
        <v>1.4166669999999999</v>
      </c>
      <c r="J57" s="24"/>
      <c r="K57" s="1114"/>
      <c r="L57" s="1114"/>
      <c r="M57" s="1114"/>
      <c r="N57" s="1114"/>
      <c r="O57" s="1114"/>
      <c r="P57" s="1114"/>
      <c r="Q57" s="1114"/>
      <c r="R57" s="1114"/>
    </row>
    <row r="58" spans="2:18">
      <c r="B58" s="24"/>
      <c r="C58" s="24"/>
      <c r="D58" s="24" t="s">
        <v>1098</v>
      </c>
      <c r="E58" s="24">
        <v>2.8016909999999999</v>
      </c>
      <c r="F58" s="24">
        <v>3.4332942609999999</v>
      </c>
      <c r="G58" s="24">
        <v>-0.93117756799999996</v>
      </c>
      <c r="H58" s="24">
        <v>4.538297</v>
      </c>
      <c r="I58" s="24">
        <v>-0.05</v>
      </c>
      <c r="J58" s="24"/>
      <c r="K58" s="1114"/>
      <c r="L58" s="1114"/>
      <c r="M58" s="1114"/>
      <c r="N58" s="1114"/>
      <c r="O58" s="1114"/>
      <c r="P58" s="1114"/>
      <c r="Q58" s="1114"/>
      <c r="R58" s="1114"/>
    </row>
    <row r="59" spans="2:18">
      <c r="B59" s="24"/>
      <c r="C59" s="24"/>
      <c r="D59" s="24" t="s">
        <v>1099</v>
      </c>
      <c r="E59" s="24">
        <v>2.8287529999999999</v>
      </c>
      <c r="F59" s="24">
        <v>3.4608092140000002</v>
      </c>
      <c r="G59" s="24">
        <v>-0.99151170099999997</v>
      </c>
      <c r="H59" s="24">
        <v>4.6200200000000002</v>
      </c>
      <c r="I59" s="24">
        <v>1.516667</v>
      </c>
      <c r="J59" s="24"/>
      <c r="K59" s="1114"/>
      <c r="L59" s="1114"/>
      <c r="M59" s="1114"/>
      <c r="N59" s="1114"/>
      <c r="O59" s="1114"/>
      <c r="P59" s="1114"/>
      <c r="Q59" s="1114"/>
      <c r="R59" s="1114"/>
    </row>
    <row r="60" spans="2:18">
      <c r="B60" s="24"/>
      <c r="C60" s="24"/>
      <c r="D60" s="24" t="s">
        <v>1100</v>
      </c>
      <c r="E60" s="24">
        <v>2.8558140000000001</v>
      </c>
      <c r="F60" s="24">
        <v>3.4883241659999999</v>
      </c>
      <c r="G60" s="24">
        <v>-1.051845833</v>
      </c>
      <c r="H60" s="24">
        <v>4.7017429999999996</v>
      </c>
      <c r="I60" s="24">
        <v>1.1499999999999999</v>
      </c>
      <c r="J60" s="24"/>
      <c r="K60" s="24"/>
      <c r="L60" s="24"/>
      <c r="M60" s="24"/>
      <c r="N60" s="24"/>
      <c r="O60" s="24"/>
      <c r="P60" s="24"/>
      <c r="Q60" s="24"/>
      <c r="R60" s="24"/>
    </row>
    <row r="61" spans="2:18">
      <c r="B61" s="24"/>
      <c r="C61" s="24"/>
      <c r="D61" s="24" t="s">
        <v>1101</v>
      </c>
      <c r="E61" s="24">
        <v>2.8828749999999999</v>
      </c>
      <c r="F61" s="24">
        <v>3.5158391189999998</v>
      </c>
      <c r="G61" s="24">
        <v>-1.112179966</v>
      </c>
      <c r="H61" s="24">
        <v>4.7834659999999998</v>
      </c>
      <c r="I61" s="24">
        <v>1.8</v>
      </c>
      <c r="J61" s="24"/>
      <c r="K61" s="24"/>
      <c r="L61" s="24"/>
      <c r="M61" s="24"/>
      <c r="N61" s="24"/>
      <c r="O61" s="24"/>
      <c r="P61" s="24"/>
      <c r="Q61" s="24"/>
      <c r="R61" s="24"/>
    </row>
    <row r="62" spans="2:18">
      <c r="B62" s="24"/>
      <c r="C62" s="24"/>
      <c r="D62" s="24" t="s">
        <v>1102</v>
      </c>
      <c r="E62" s="24">
        <v>2.9099370000000002</v>
      </c>
      <c r="F62" s="24">
        <v>3.5433540720000001</v>
      </c>
      <c r="G62" s="24">
        <v>-1.1725140979999999</v>
      </c>
      <c r="H62" s="24">
        <v>4.865189</v>
      </c>
      <c r="I62" s="24">
        <v>0.56666700000000003</v>
      </c>
      <c r="J62" s="24"/>
      <c r="K62" s="24"/>
      <c r="L62" s="24"/>
      <c r="M62" s="24"/>
      <c r="N62" s="24"/>
      <c r="O62" s="24"/>
      <c r="P62" s="24"/>
      <c r="Q62" s="24"/>
      <c r="R62" s="24"/>
    </row>
    <row r="63" spans="2:18">
      <c r="B63" s="24"/>
      <c r="C63" s="24"/>
      <c r="D63" s="24" t="s">
        <v>1103</v>
      </c>
      <c r="E63" s="24">
        <v>2.936998</v>
      </c>
      <c r="F63" s="24">
        <v>3.5708690239999998</v>
      </c>
      <c r="G63" s="24">
        <v>-1.232848231</v>
      </c>
      <c r="H63" s="24">
        <v>4.9469120000000002</v>
      </c>
      <c r="I63" s="24">
        <v>0.58333299999999999</v>
      </c>
      <c r="J63" s="24"/>
      <c r="K63" s="24"/>
      <c r="L63" s="24"/>
      <c r="M63" s="24"/>
      <c r="N63" s="24"/>
      <c r="O63" s="24"/>
      <c r="P63" s="24"/>
      <c r="Q63" s="24"/>
      <c r="R63" s="24"/>
    </row>
    <row r="64" spans="2:18">
      <c r="B64" s="24"/>
      <c r="C64" s="24"/>
      <c r="D64" s="24" t="s">
        <v>1104</v>
      </c>
      <c r="E64" s="24">
        <v>2.9640590000000002</v>
      </c>
      <c r="F64" s="24">
        <v>3.5983839770000001</v>
      </c>
      <c r="G64" s="24">
        <v>-1.2931823629999999</v>
      </c>
      <c r="H64" s="24">
        <v>5.0286359999999997</v>
      </c>
      <c r="I64" s="24">
        <v>1.683333</v>
      </c>
      <c r="J64" s="24"/>
      <c r="K64" s="24"/>
      <c r="L64" s="24"/>
      <c r="M64" s="24"/>
      <c r="N64" s="24"/>
      <c r="O64" s="24"/>
      <c r="P64" s="24"/>
      <c r="Q64" s="24"/>
      <c r="R64" s="24"/>
    </row>
    <row r="65" spans="2:18">
      <c r="B65" s="24"/>
      <c r="C65" s="24"/>
      <c r="D65" s="24" t="s">
        <v>1105</v>
      </c>
      <c r="E65" s="24">
        <v>2.9911210000000001</v>
      </c>
      <c r="F65" s="24">
        <v>3.62589893</v>
      </c>
      <c r="G65" s="24">
        <v>-1.353516495</v>
      </c>
      <c r="H65" s="24">
        <v>5.1103589999999999</v>
      </c>
      <c r="I65" s="24">
        <v>0.88333300000000003</v>
      </c>
      <c r="J65" s="24"/>
      <c r="K65" s="24"/>
      <c r="L65" s="24"/>
      <c r="M65" s="24"/>
      <c r="N65" s="24"/>
      <c r="O65" s="24"/>
      <c r="P65" s="24"/>
      <c r="Q65" s="24"/>
      <c r="R65" s="24"/>
    </row>
    <row r="66" spans="2:18">
      <c r="B66" s="24"/>
      <c r="C66" s="24"/>
      <c r="D66" s="24" t="s">
        <v>1106</v>
      </c>
      <c r="E66" s="24">
        <v>3.0181819999999999</v>
      </c>
      <c r="F66" s="24">
        <v>3.6534138820000002</v>
      </c>
      <c r="G66" s="24">
        <v>-1.4138506280000001</v>
      </c>
      <c r="H66" s="24">
        <v>5.1920820000000001</v>
      </c>
      <c r="I66" s="24">
        <v>0.88333300000000003</v>
      </c>
      <c r="J66" s="24"/>
      <c r="K66" s="24"/>
      <c r="L66" s="24"/>
      <c r="M66" s="24"/>
      <c r="N66" s="24"/>
      <c r="O66" s="24"/>
      <c r="P66" s="24"/>
      <c r="Q66" s="24"/>
      <c r="R66" s="24"/>
    </row>
    <row r="67" spans="2:18">
      <c r="B67" s="24"/>
      <c r="C67" s="24"/>
      <c r="D67" s="24" t="s">
        <v>1107</v>
      </c>
      <c r="E67" s="24">
        <v>3.0452430000000001</v>
      </c>
      <c r="F67" s="24">
        <v>3.680928835</v>
      </c>
      <c r="G67" s="24">
        <v>-1.47418476</v>
      </c>
      <c r="H67" s="24">
        <v>5.2738050000000003</v>
      </c>
      <c r="I67" s="24">
        <v>3.9166669999999999</v>
      </c>
      <c r="J67" s="24"/>
      <c r="K67" s="24"/>
      <c r="L67" s="24"/>
      <c r="M67" s="24"/>
      <c r="N67" s="24"/>
      <c r="O67" s="24"/>
      <c r="P67" s="24"/>
      <c r="Q67" s="24"/>
      <c r="R67" s="24"/>
    </row>
    <row r="68" spans="2:18">
      <c r="B68" s="24"/>
      <c r="C68" s="24"/>
      <c r="D68" s="24" t="s">
        <v>1106</v>
      </c>
      <c r="E68" s="24">
        <v>3.0181819999999999</v>
      </c>
      <c r="F68" s="24">
        <v>3.6534138820000002</v>
      </c>
      <c r="G68" s="24">
        <v>-1.4138506280000001</v>
      </c>
      <c r="H68" s="24">
        <v>5.1920820000000001</v>
      </c>
      <c r="I68" s="24">
        <v>0.88333300000000003</v>
      </c>
      <c r="J68" s="24"/>
      <c r="K68" s="24"/>
      <c r="L68" s="24"/>
      <c r="M68" s="24"/>
      <c r="N68" s="24"/>
      <c r="O68" s="24"/>
      <c r="P68" s="24"/>
      <c r="Q68" s="24"/>
      <c r="R68" s="24"/>
    </row>
    <row r="69" spans="2:18">
      <c r="B69" s="24"/>
      <c r="C69" s="24"/>
      <c r="D69" s="734" t="s">
        <v>1107</v>
      </c>
      <c r="E69" s="734">
        <v>3.0452430000000001</v>
      </c>
      <c r="F69" s="734">
        <v>3.680928835</v>
      </c>
      <c r="G69" s="734">
        <v>-1.47418476</v>
      </c>
      <c r="H69" s="734">
        <v>5.2738050000000003</v>
      </c>
      <c r="I69" s="734">
        <v>3.9166669999999999</v>
      </c>
      <c r="J69" s="24"/>
      <c r="K69" s="24"/>
      <c r="L69" s="24"/>
      <c r="M69" s="24"/>
      <c r="N69" s="24"/>
      <c r="O69" s="24"/>
      <c r="P69" s="24"/>
      <c r="Q69" s="24"/>
      <c r="R69" s="24"/>
    </row>
    <row r="70" spans="2:18">
      <c r="B70" s="24"/>
      <c r="C70" s="24"/>
      <c r="D70" s="1041"/>
      <c r="E70" s="1042"/>
      <c r="F70" s="1042"/>
      <c r="G70" s="1042"/>
      <c r="H70" s="1042"/>
      <c r="I70" s="1043"/>
      <c r="J70" s="24"/>
      <c r="K70" s="24"/>
      <c r="L70" s="24"/>
      <c r="M70" s="24"/>
      <c r="N70" s="24"/>
      <c r="O70" s="24"/>
      <c r="P70" s="24"/>
      <c r="Q70" s="24"/>
      <c r="R70" s="24"/>
    </row>
    <row r="71" spans="2:18">
      <c r="B71" s="24"/>
      <c r="C71" s="24"/>
      <c r="D71" s="1037"/>
      <c r="E71" s="1038"/>
      <c r="F71" s="1038"/>
      <c r="G71" s="1038"/>
      <c r="H71" s="1038"/>
      <c r="I71" s="1039"/>
      <c r="J71" s="24"/>
      <c r="K71" s="24"/>
      <c r="L71" s="24"/>
      <c r="M71" s="24"/>
      <c r="N71" s="24"/>
      <c r="O71" s="24"/>
      <c r="P71" s="24"/>
      <c r="Q71" s="24"/>
      <c r="R71" s="24"/>
    </row>
    <row r="72" spans="2:18" ht="18.95">
      <c r="B72" s="24"/>
      <c r="C72" s="113"/>
      <c r="D72" s="1031"/>
      <c r="E72" s="1031"/>
      <c r="F72" s="1031"/>
      <c r="G72" s="1031"/>
      <c r="H72" s="1032"/>
      <c r="I72" s="1033"/>
      <c r="J72" s="24"/>
      <c r="K72" s="24"/>
      <c r="L72" s="24"/>
      <c r="M72" s="24"/>
      <c r="N72" s="24"/>
      <c r="O72" s="24"/>
      <c r="P72" s="24"/>
      <c r="Q72" s="24"/>
      <c r="R72" s="24"/>
    </row>
    <row r="73" spans="2:18">
      <c r="B73" s="24"/>
      <c r="C73" s="24"/>
      <c r="D73" s="1034"/>
      <c r="E73" s="1035"/>
      <c r="F73" s="1035"/>
      <c r="G73" s="1035"/>
      <c r="H73" s="1035"/>
      <c r="I73" s="1036"/>
      <c r="J73" s="24"/>
      <c r="K73" s="24"/>
      <c r="L73" s="24"/>
      <c r="M73" s="24"/>
      <c r="N73" s="24"/>
      <c r="O73" s="24"/>
      <c r="P73" s="24"/>
      <c r="Q73" s="24"/>
      <c r="R73" s="24"/>
    </row>
    <row r="74" spans="2:18">
      <c r="B74" s="24"/>
      <c r="C74" s="24"/>
      <c r="D74" s="24"/>
      <c r="E74" s="24"/>
      <c r="F74" s="24"/>
      <c r="G74" s="24"/>
      <c r="H74" s="24"/>
      <c r="I74" s="24"/>
      <c r="J74" s="24"/>
      <c r="K74" s="24"/>
      <c r="L74" s="24"/>
      <c r="M74" s="24"/>
      <c r="N74" s="24"/>
      <c r="O74" s="24"/>
      <c r="P74" s="24"/>
      <c r="Q74" s="24"/>
      <c r="R74" s="24"/>
    </row>
    <row r="75" spans="2:18">
      <c r="B75" s="24"/>
      <c r="C75" s="24"/>
      <c r="D75" s="24"/>
      <c r="E75" s="24"/>
      <c r="F75" s="24"/>
      <c r="G75" s="24"/>
      <c r="H75" s="24"/>
      <c r="I75" s="24"/>
      <c r="J75" s="24"/>
      <c r="K75" s="24"/>
      <c r="L75" s="24"/>
      <c r="M75" s="24"/>
      <c r="N75" s="24"/>
      <c r="O75" s="24"/>
      <c r="P75" s="24"/>
      <c r="Q75" s="24"/>
      <c r="R75" s="24"/>
    </row>
    <row r="76" spans="2:18">
      <c r="B76" s="24"/>
      <c r="C76" s="24"/>
      <c r="D76" s="24"/>
      <c r="E76" s="24"/>
      <c r="F76" s="24"/>
      <c r="G76" s="24"/>
      <c r="H76" s="24"/>
      <c r="I76" s="24"/>
      <c r="J76" s="24"/>
      <c r="K76" s="24"/>
      <c r="L76" s="24"/>
      <c r="M76" s="24"/>
      <c r="N76" s="24"/>
      <c r="O76" s="24"/>
      <c r="P76" s="24"/>
      <c r="Q76" s="24"/>
      <c r="R76" s="24"/>
    </row>
    <row r="77" spans="2:18">
      <c r="B77" s="24"/>
      <c r="C77" s="24"/>
      <c r="D77" s="24"/>
      <c r="E77" s="24"/>
      <c r="F77" s="24"/>
      <c r="G77" s="24"/>
      <c r="H77" s="24"/>
      <c r="I77" s="24"/>
      <c r="J77" s="24"/>
      <c r="K77" s="24"/>
      <c r="L77" s="24"/>
      <c r="M77" s="24"/>
      <c r="N77" s="24"/>
      <c r="O77" s="24"/>
      <c r="P77" s="24"/>
      <c r="Q77" s="24"/>
      <c r="R77" s="24"/>
    </row>
    <row r="78" spans="2:18">
      <c r="B78" s="24"/>
      <c r="C78" s="24"/>
      <c r="D78" s="24"/>
      <c r="E78" s="24"/>
      <c r="F78" s="24"/>
      <c r="G78" s="24"/>
      <c r="H78" s="24"/>
      <c r="I78" s="24"/>
      <c r="J78" s="24"/>
      <c r="K78" s="24"/>
      <c r="L78" s="24"/>
      <c r="M78" s="24"/>
      <c r="N78" s="24"/>
      <c r="O78" s="24"/>
      <c r="P78" s="24"/>
      <c r="Q78" s="24"/>
      <c r="R78" s="24"/>
    </row>
    <row r="79" spans="2:18">
      <c r="B79" s="24"/>
      <c r="J79" s="24"/>
      <c r="K79" s="24"/>
      <c r="L79" s="24"/>
      <c r="M79" s="24"/>
      <c r="N79" s="24"/>
      <c r="O79" s="24"/>
      <c r="P79" s="24"/>
      <c r="Q79" s="24"/>
      <c r="R79" s="24"/>
    </row>
    <row r="80" spans="2:18">
      <c r="B80" s="24"/>
      <c r="J80" s="24"/>
      <c r="K80" s="24"/>
      <c r="L80" s="24"/>
      <c r="M80" s="24"/>
      <c r="N80" s="24"/>
      <c r="O80" s="24"/>
      <c r="P80" s="24"/>
      <c r="Q80" s="24"/>
      <c r="R80" s="24"/>
    </row>
    <row r="81" spans="2:18">
      <c r="B81" s="24"/>
      <c r="J81" s="115"/>
      <c r="K81" s="24"/>
      <c r="L81" s="24"/>
      <c r="M81" s="24"/>
      <c r="N81" s="24"/>
      <c r="O81" s="24"/>
      <c r="P81" s="24"/>
      <c r="Q81" s="24"/>
      <c r="R81" s="24"/>
    </row>
    <row r="82" spans="2:18">
      <c r="B82" s="24"/>
      <c r="J82" s="24"/>
      <c r="K82" s="24"/>
      <c r="L82" s="24"/>
      <c r="M82" s="24"/>
      <c r="N82" s="24"/>
      <c r="O82" s="24"/>
      <c r="P82" s="24"/>
      <c r="Q82" s="24"/>
      <c r="R82" s="24"/>
    </row>
    <row r="83" spans="2:18">
      <c r="B83" s="24"/>
      <c r="J83" s="24"/>
      <c r="K83" s="24"/>
      <c r="L83" s="24"/>
      <c r="M83" s="24"/>
      <c r="N83" s="24"/>
      <c r="O83" s="24"/>
      <c r="P83" s="24"/>
      <c r="Q83" s="24"/>
      <c r="R83" s="24"/>
    </row>
    <row r="84" spans="2:18">
      <c r="B84" s="24"/>
      <c r="J84" s="24"/>
      <c r="K84" s="24"/>
      <c r="L84" s="24"/>
      <c r="M84" s="24"/>
      <c r="N84" s="24"/>
      <c r="O84" s="24"/>
      <c r="P84" s="24"/>
      <c r="Q84" s="24"/>
      <c r="R84" s="24"/>
    </row>
    <row r="85" spans="2:18">
      <c r="B85" s="24"/>
      <c r="J85" s="24"/>
      <c r="K85" s="24"/>
      <c r="L85" s="24"/>
      <c r="M85" s="24"/>
      <c r="N85" s="24"/>
      <c r="O85" s="24"/>
      <c r="P85" s="24"/>
      <c r="Q85" s="24"/>
      <c r="R85" s="24"/>
    </row>
    <row r="86" spans="2:18">
      <c r="B86" s="24"/>
      <c r="J86" s="24"/>
      <c r="K86" s="24"/>
      <c r="L86" s="24"/>
      <c r="M86" s="24"/>
      <c r="N86" s="24"/>
      <c r="O86" s="24"/>
      <c r="P86" s="24"/>
      <c r="Q86" s="24"/>
      <c r="R86" s="24"/>
    </row>
    <row r="87" spans="2:18">
      <c r="B87" s="24"/>
      <c r="J87" s="24"/>
      <c r="K87" s="24"/>
      <c r="L87" s="24"/>
      <c r="M87" s="24"/>
      <c r="N87" s="24"/>
      <c r="O87" s="24"/>
      <c r="P87" s="24"/>
      <c r="Q87" s="24"/>
      <c r="R87" s="24"/>
    </row>
    <row r="88" spans="2:18">
      <c r="B88" s="24"/>
      <c r="J88" s="24"/>
      <c r="K88" s="24"/>
      <c r="L88" s="24"/>
      <c r="M88" s="24"/>
      <c r="N88" s="24"/>
      <c r="O88" s="24"/>
      <c r="P88" s="24"/>
      <c r="Q88" s="24"/>
      <c r="R88" s="24"/>
    </row>
    <row r="89" spans="2:18">
      <c r="B89" s="24"/>
      <c r="J89" s="24"/>
      <c r="K89" s="24"/>
      <c r="L89" s="24"/>
      <c r="M89" s="24"/>
      <c r="N89" s="24"/>
      <c r="O89" s="24"/>
      <c r="P89" s="24"/>
      <c r="Q89" s="24"/>
      <c r="R89" s="24"/>
    </row>
    <row r="90" spans="2:18">
      <c r="B90" s="24"/>
      <c r="J90" s="24"/>
      <c r="K90" s="24"/>
      <c r="L90" s="24"/>
      <c r="M90" s="24"/>
      <c r="N90" s="24"/>
      <c r="O90" s="24"/>
      <c r="P90" s="24"/>
      <c r="Q90" s="24"/>
      <c r="R90" s="24"/>
    </row>
    <row r="91" spans="2:18">
      <c r="B91" s="24"/>
      <c r="J91" s="24"/>
      <c r="K91" s="24"/>
      <c r="L91" s="24"/>
      <c r="M91" s="24"/>
      <c r="N91" s="24"/>
      <c r="O91" s="24"/>
      <c r="P91" s="24"/>
      <c r="Q91" s="24"/>
      <c r="R91" s="24"/>
    </row>
    <row r="92" spans="2:18">
      <c r="B92" s="24"/>
      <c r="J92" s="24"/>
      <c r="K92" s="24"/>
      <c r="L92" s="24"/>
      <c r="M92" s="24"/>
      <c r="N92" s="24"/>
      <c r="O92" s="24"/>
      <c r="P92" s="24"/>
      <c r="Q92" s="24"/>
      <c r="R92" s="24"/>
    </row>
    <row r="93" spans="2:18">
      <c r="B93" s="24"/>
      <c r="J93" s="24"/>
      <c r="K93" s="24"/>
      <c r="L93" s="24"/>
      <c r="M93" s="24"/>
      <c r="N93" s="24"/>
      <c r="O93" s="24"/>
      <c r="P93" s="24"/>
      <c r="Q93" s="24"/>
      <c r="R93" s="24"/>
    </row>
    <row r="94" spans="2:18">
      <c r="B94" s="24"/>
      <c r="J94" s="24"/>
      <c r="K94" s="24"/>
      <c r="L94" s="24"/>
      <c r="M94" s="24"/>
      <c r="N94" s="24"/>
      <c r="O94" s="24"/>
      <c r="P94" s="24"/>
      <c r="Q94" s="24"/>
      <c r="R94" s="24"/>
    </row>
    <row r="95" spans="2:18">
      <c r="B95" s="24"/>
      <c r="J95" s="24"/>
      <c r="K95" s="24"/>
      <c r="L95" s="24"/>
      <c r="M95" s="24"/>
      <c r="N95" s="24"/>
      <c r="O95" s="24"/>
      <c r="P95" s="24"/>
      <c r="Q95" s="24"/>
      <c r="R95" s="24"/>
    </row>
    <row r="96" spans="2:18">
      <c r="B96" s="24"/>
      <c r="J96" s="24"/>
      <c r="K96" s="24"/>
      <c r="L96" s="24"/>
      <c r="M96" s="24"/>
      <c r="N96" s="24"/>
      <c r="O96" s="24"/>
      <c r="P96" s="24"/>
      <c r="Q96" s="24"/>
      <c r="R96" s="24"/>
    </row>
    <row r="97" spans="2:18">
      <c r="B97" s="24"/>
      <c r="J97" s="24"/>
      <c r="K97" s="24"/>
      <c r="L97" s="24"/>
      <c r="M97" s="24"/>
      <c r="N97" s="24"/>
      <c r="O97" s="24"/>
      <c r="P97" s="24"/>
      <c r="Q97" s="24"/>
      <c r="R97" s="24"/>
    </row>
    <row r="98" spans="2:18">
      <c r="B98" s="24"/>
      <c r="J98" s="24"/>
      <c r="K98" s="24"/>
      <c r="L98" s="24"/>
      <c r="M98" s="24"/>
      <c r="N98" s="24"/>
      <c r="O98" s="24"/>
      <c r="P98" s="24"/>
      <c r="Q98" s="24"/>
      <c r="R98" s="24"/>
    </row>
    <row r="99" spans="2:18">
      <c r="B99" s="24"/>
      <c r="J99" s="24"/>
      <c r="K99" s="1114"/>
      <c r="L99" s="1114"/>
      <c r="M99" s="1114"/>
      <c r="N99" s="1114"/>
      <c r="O99" s="1114"/>
      <c r="P99" s="1114"/>
      <c r="Q99" s="1114"/>
      <c r="R99" s="1114"/>
    </row>
    <row r="100" spans="2:18">
      <c r="B100" s="24"/>
      <c r="J100" s="24"/>
      <c r="K100" s="1114"/>
      <c r="L100" s="1114"/>
      <c r="M100" s="1114"/>
      <c r="N100" s="1114"/>
      <c r="O100" s="1114"/>
      <c r="P100" s="1114"/>
      <c r="Q100" s="1114"/>
      <c r="R100" s="1114"/>
    </row>
    <row r="101" spans="2:18">
      <c r="B101" s="24"/>
      <c r="J101" s="24"/>
      <c r="K101" s="1114"/>
      <c r="L101" s="1114"/>
      <c r="M101" s="1114"/>
      <c r="N101" s="1114"/>
      <c r="O101" s="1114"/>
      <c r="P101" s="1114"/>
      <c r="Q101" s="1114"/>
      <c r="R101" s="1114"/>
    </row>
    <row r="102" spans="2:18">
      <c r="B102" s="24"/>
      <c r="J102" s="24"/>
      <c r="K102" s="1114"/>
      <c r="L102" s="1114"/>
      <c r="M102" s="1114"/>
      <c r="N102" s="1114"/>
      <c r="O102" s="1114"/>
      <c r="P102" s="1114"/>
      <c r="Q102" s="1114"/>
      <c r="R102" s="1114"/>
    </row>
    <row r="103" spans="2:18">
      <c r="B103" s="24"/>
      <c r="J103" s="24"/>
      <c r="K103" s="1114"/>
      <c r="L103" s="1114"/>
      <c r="M103" s="1114"/>
      <c r="N103" s="1114"/>
      <c r="O103" s="1114"/>
      <c r="P103" s="1114"/>
      <c r="Q103" s="1114"/>
      <c r="R103" s="1114"/>
    </row>
    <row r="104" spans="2:18">
      <c r="B104" s="24"/>
      <c r="J104" s="24"/>
      <c r="K104" s="1114"/>
      <c r="L104" s="1114"/>
      <c r="M104" s="1114"/>
      <c r="N104" s="1114"/>
      <c r="O104" s="1114"/>
      <c r="P104" s="1114"/>
      <c r="Q104" s="1114"/>
      <c r="R104" s="1114"/>
    </row>
    <row r="105" spans="2:18">
      <c r="B105" s="24"/>
      <c r="J105" s="24"/>
      <c r="K105" s="1114"/>
      <c r="L105" s="1114"/>
      <c r="M105" s="1114"/>
      <c r="N105" s="1114"/>
      <c r="O105" s="1114"/>
      <c r="P105" s="1114"/>
      <c r="Q105" s="1114"/>
      <c r="R105" s="1114"/>
    </row>
    <row r="106" spans="2:18">
      <c r="B106" s="24"/>
      <c r="J106" s="24"/>
      <c r="K106" s="1114"/>
      <c r="L106" s="1114"/>
      <c r="M106" s="1114"/>
      <c r="N106" s="1114"/>
      <c r="O106" s="1114"/>
      <c r="P106" s="1114"/>
      <c r="Q106" s="1114"/>
      <c r="R106" s="1114"/>
    </row>
    <row r="107" spans="2:18">
      <c r="B107" s="24"/>
      <c r="J107" s="24"/>
      <c r="K107" s="1114"/>
      <c r="L107" s="1114"/>
      <c r="M107" s="1114"/>
      <c r="N107" s="1114"/>
      <c r="O107" s="1114"/>
      <c r="P107" s="1114"/>
      <c r="Q107" s="1114"/>
      <c r="R107" s="1114"/>
    </row>
    <row r="108" spans="2:18">
      <c r="B108" s="24"/>
      <c r="J108" s="24"/>
      <c r="K108" s="1114"/>
      <c r="L108" s="1114"/>
      <c r="M108" s="1114"/>
      <c r="N108" s="1114"/>
      <c r="O108" s="1114"/>
      <c r="P108" s="1114"/>
      <c r="Q108" s="1114"/>
      <c r="R108" s="1114"/>
    </row>
    <row r="109" spans="2:18">
      <c r="B109" s="24"/>
      <c r="J109" s="24"/>
      <c r="K109" s="1114"/>
      <c r="L109" s="1114"/>
      <c r="M109" s="1114"/>
      <c r="N109" s="1114"/>
      <c r="O109" s="1114"/>
      <c r="P109" s="1114"/>
      <c r="Q109" s="1114"/>
      <c r="R109" s="1114"/>
    </row>
    <row r="110" spans="2:18">
      <c r="B110" s="24"/>
      <c r="J110" s="24"/>
      <c r="K110" s="1114"/>
      <c r="L110" s="1114"/>
      <c r="M110" s="1114"/>
      <c r="N110" s="1114"/>
      <c r="O110" s="1114"/>
      <c r="P110" s="1114"/>
      <c r="Q110" s="1114"/>
      <c r="R110" s="1114"/>
    </row>
    <row r="111" spans="2:18">
      <c r="B111" s="24"/>
      <c r="J111" s="24"/>
      <c r="K111" s="1114"/>
      <c r="L111" s="1114"/>
      <c r="M111" s="1114"/>
      <c r="N111" s="1114"/>
      <c r="O111" s="1114"/>
      <c r="P111" s="1114"/>
      <c r="Q111" s="1114"/>
      <c r="R111" s="1114"/>
    </row>
    <row r="112" spans="2:18">
      <c r="B112" s="24"/>
      <c r="J112" s="24"/>
      <c r="K112" s="1114"/>
      <c r="L112" s="1114"/>
      <c r="M112" s="1114"/>
      <c r="N112" s="1114"/>
      <c r="O112" s="1114"/>
      <c r="P112" s="1114"/>
      <c r="Q112" s="1114"/>
      <c r="R112" s="1114"/>
    </row>
    <row r="113" spans="2:18">
      <c r="B113" s="24"/>
      <c r="J113" s="24"/>
      <c r="K113" s="1114"/>
      <c r="L113" s="1114"/>
      <c r="M113" s="1114"/>
      <c r="N113" s="1114"/>
      <c r="O113" s="1114"/>
      <c r="P113" s="1114"/>
      <c r="Q113" s="1114"/>
      <c r="R113" s="1114"/>
    </row>
    <row r="114" spans="2:18">
      <c r="B114" s="24"/>
      <c r="J114" s="24"/>
      <c r="K114" s="24"/>
      <c r="L114" s="24"/>
      <c r="M114" s="24"/>
      <c r="N114" s="24"/>
      <c r="O114" s="24"/>
      <c r="P114" s="24"/>
      <c r="Q114" s="24"/>
      <c r="R114" s="24"/>
    </row>
    <row r="115" spans="2:18">
      <c r="B115" s="24"/>
      <c r="J115" s="24"/>
      <c r="K115" s="24"/>
      <c r="L115" s="24"/>
      <c r="M115" s="24"/>
      <c r="N115" s="24"/>
      <c r="O115" s="24"/>
      <c r="P115" s="24"/>
      <c r="Q115" s="24"/>
      <c r="R115" s="24"/>
    </row>
    <row r="116" spans="2:18">
      <c r="B116" s="24"/>
      <c r="J116" s="24"/>
      <c r="K116" s="24"/>
      <c r="L116" s="24"/>
      <c r="M116" s="24"/>
      <c r="N116" s="24"/>
      <c r="O116" s="24"/>
      <c r="P116" s="24"/>
      <c r="Q116" s="24"/>
      <c r="R116" s="24"/>
    </row>
    <row r="117" spans="2:18">
      <c r="B117" s="24"/>
      <c r="J117" s="24"/>
      <c r="K117" s="24"/>
      <c r="L117" s="24"/>
      <c r="M117" s="24"/>
      <c r="N117" s="24"/>
      <c r="O117" s="24"/>
      <c r="P117" s="24"/>
      <c r="Q117" s="24"/>
      <c r="R117" s="24"/>
    </row>
    <row r="118" spans="2:18">
      <c r="B118" s="24"/>
      <c r="J118" s="24"/>
      <c r="K118" s="24"/>
      <c r="L118" s="24"/>
      <c r="M118" s="24"/>
      <c r="N118" s="24"/>
      <c r="O118" s="24"/>
      <c r="P118" s="24"/>
      <c r="Q118" s="24"/>
      <c r="R118" s="24"/>
    </row>
    <row r="119" spans="2:18">
      <c r="B119" s="24"/>
      <c r="J119" s="24"/>
      <c r="K119" s="24"/>
      <c r="L119" s="24"/>
      <c r="M119" s="24"/>
      <c r="N119" s="24"/>
      <c r="O119" s="24"/>
      <c r="P119" s="24"/>
      <c r="Q119" s="24"/>
      <c r="R119" s="24"/>
    </row>
    <row r="120" spans="2:18">
      <c r="B120" s="24"/>
      <c r="J120" s="24"/>
      <c r="K120" s="24"/>
      <c r="L120" s="24"/>
      <c r="M120" s="24"/>
      <c r="N120" s="24"/>
      <c r="O120" s="24"/>
      <c r="P120" s="24"/>
      <c r="Q120" s="24"/>
      <c r="R120" s="24"/>
    </row>
    <row r="121" spans="2:18">
      <c r="B121" s="24"/>
      <c r="J121" s="24"/>
      <c r="K121" s="24"/>
      <c r="L121" s="24"/>
      <c r="M121" s="24"/>
      <c r="N121" s="24"/>
      <c r="O121" s="24"/>
      <c r="P121" s="24"/>
      <c r="Q121" s="24"/>
      <c r="R121" s="24"/>
    </row>
    <row r="122" spans="2:18">
      <c r="B122" s="24"/>
      <c r="J122" s="24"/>
      <c r="K122" s="24"/>
      <c r="L122" s="24"/>
      <c r="M122" s="24"/>
      <c r="N122" s="24"/>
      <c r="O122" s="24"/>
      <c r="P122" s="24"/>
      <c r="Q122" s="24"/>
      <c r="R122" s="24"/>
    </row>
    <row r="123" spans="2:18">
      <c r="B123" s="24"/>
      <c r="J123" s="24"/>
      <c r="K123" s="24"/>
      <c r="L123" s="24"/>
      <c r="M123" s="24"/>
      <c r="N123" s="24"/>
      <c r="O123" s="24"/>
      <c r="P123" s="24"/>
      <c r="Q123" s="24"/>
      <c r="R123" s="24"/>
    </row>
    <row r="124" spans="2:18">
      <c r="B124" s="24"/>
      <c r="J124" s="24"/>
      <c r="K124" s="24"/>
      <c r="L124" s="24"/>
      <c r="M124" s="24"/>
      <c r="N124" s="24"/>
      <c r="O124" s="24"/>
      <c r="P124" s="24"/>
      <c r="Q124" s="24"/>
      <c r="R124" s="24"/>
    </row>
    <row r="125" spans="2:18">
      <c r="B125" s="24"/>
      <c r="J125" s="24"/>
      <c r="K125" s="24"/>
      <c r="L125" s="24"/>
      <c r="M125" s="24"/>
      <c r="N125" s="24"/>
      <c r="O125" s="24"/>
      <c r="P125" s="24"/>
      <c r="Q125" s="24"/>
      <c r="R125" s="24"/>
    </row>
    <row r="126" spans="2:18">
      <c r="B126" s="24"/>
      <c r="J126" s="24"/>
      <c r="K126" s="24"/>
      <c r="L126" s="24"/>
      <c r="M126" s="24"/>
      <c r="N126" s="24"/>
      <c r="O126" s="24"/>
      <c r="P126" s="24"/>
      <c r="Q126" s="24"/>
      <c r="R126" s="24"/>
    </row>
    <row r="127" spans="2:18">
      <c r="B127" s="24"/>
      <c r="J127" s="24"/>
      <c r="K127" s="24"/>
      <c r="L127" s="24"/>
      <c r="M127" s="24"/>
      <c r="N127" s="24"/>
      <c r="O127" s="24"/>
      <c r="P127" s="24"/>
      <c r="Q127" s="24"/>
      <c r="R127" s="24"/>
    </row>
  </sheetData>
  <mergeCells count="10">
    <mergeCell ref="K99:R113"/>
    <mergeCell ref="K45:R59"/>
    <mergeCell ref="K19:L19"/>
    <mergeCell ref="B1:L6"/>
    <mergeCell ref="C18:L18"/>
    <mergeCell ref="O18:R18"/>
    <mergeCell ref="C19:D19"/>
    <mergeCell ref="E19:F19"/>
    <mergeCell ref="G19:H19"/>
    <mergeCell ref="I19:J19"/>
  </mergeCells>
  <hyperlinks>
    <hyperlink ref="C19" location="RANGE!B10:B10" display="Cluster Labels" xr:uid="{FB5716CC-401E-40AB-963D-EE15774133B2}"/>
    <hyperlink ref="E19" location="'KMC_Output'!$B$10:$B$10" display="Inputs" xr:uid="{6129BDFF-8225-4A5B-9F5E-4FCCC8C1D202}"/>
    <hyperlink ref="G19" location="'KMC_Output'!$B$33:$B$33" display="Cluster Centers" xr:uid="{743057F8-79B1-4A43-814C-3DC6A5C6E73E}"/>
    <hyperlink ref="K19" location="'KMC_Output'!$B$45:$B$45" display="Cluster Summary" xr:uid="{1E07BE1E-6ED9-46E3-8AF5-48F622CB3E76}"/>
    <hyperlink ref="I19" location="'KMC_Output'!$B$39:$B$39" display="Inter-Cluster Distances" xr:uid="{468343E1-B466-4027-A37E-705DABE7A943}"/>
    <hyperlink ref="A1" location="'Index'!A1" display="Back to Index" xr:uid="{87B4C6EC-157A-48AF-AD59-B471208F50B6}"/>
  </hyperlinks>
  <pageMargins left="0.7" right="0.7" top="0.75" bottom="0.75" header="0.3" footer="0.3"/>
  <drawing r:id="rId1"/>
  <tableParts count="2">
    <tablePart r:id="rId2"/>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69016-900C-BA42-9DEB-7C75C5D8A04B}">
  <sheetPr>
    <tabColor rgb="FFDEDCE8"/>
  </sheetPr>
  <dimension ref="A1:H19"/>
  <sheetViews>
    <sheetView workbookViewId="0">
      <selection activeCell="B9" sqref="B9"/>
    </sheetView>
  </sheetViews>
  <sheetFormatPr defaultColWidth="11" defaultRowHeight="15.95"/>
  <cols>
    <col min="2" max="2" width="13.375" customWidth="1"/>
    <col min="3" max="3" width="43" bestFit="1" customWidth="1"/>
    <col min="4" max="4" width="45.125" bestFit="1" customWidth="1"/>
    <col min="6" max="6" width="15.875" customWidth="1"/>
    <col min="7" max="7" width="17.625" bestFit="1" customWidth="1"/>
    <col min="8" max="8" width="22.375" customWidth="1"/>
  </cols>
  <sheetData>
    <row r="1" spans="1:8">
      <c r="A1" s="44" t="s">
        <v>41</v>
      </c>
    </row>
    <row r="2" spans="1:8" ht="15.95" customHeight="1">
      <c r="B2" s="1078"/>
      <c r="C2" s="671" t="s">
        <v>1108</v>
      </c>
      <c r="D2" s="675" t="s">
        <v>1109</v>
      </c>
    </row>
    <row r="3" spans="1:8" ht="15.95" customHeight="1">
      <c r="B3" s="1079"/>
      <c r="C3" s="672" t="s">
        <v>1110</v>
      </c>
      <c r="D3" s="676"/>
      <c r="F3" s="333"/>
      <c r="G3" s="333"/>
      <c r="H3" s="333"/>
    </row>
    <row r="4" spans="1:8" ht="15.95" customHeight="1">
      <c r="B4" s="1079"/>
      <c r="C4" s="672" t="s">
        <v>1111</v>
      </c>
      <c r="D4" s="677"/>
      <c r="F4" s="334"/>
      <c r="G4" s="334"/>
      <c r="H4" s="299"/>
    </row>
    <row r="5" spans="1:8" ht="15.95" customHeight="1">
      <c r="B5" s="1077" t="s">
        <v>1112</v>
      </c>
      <c r="C5" s="672" t="s">
        <v>1113</v>
      </c>
      <c r="D5" s="678"/>
    </row>
    <row r="6" spans="1:8" ht="0.75" customHeight="1">
      <c r="B6" s="1077" t="s">
        <v>1112</v>
      </c>
      <c r="C6" s="673" t="s">
        <v>1111</v>
      </c>
      <c r="D6" s="677" t="s">
        <v>1114</v>
      </c>
    </row>
    <row r="7" spans="1:8" ht="3.75" hidden="1" customHeight="1">
      <c r="B7" s="1077"/>
      <c r="C7" s="673" t="s">
        <v>1115</v>
      </c>
      <c r="D7" s="677" t="s">
        <v>1116</v>
      </c>
    </row>
    <row r="8" spans="1:8">
      <c r="B8" s="1077"/>
      <c r="C8" s="673" t="s">
        <v>1117</v>
      </c>
      <c r="D8" s="677"/>
    </row>
    <row r="9" spans="1:8">
      <c r="B9" s="1077"/>
      <c r="C9" s="673" t="s">
        <v>1118</v>
      </c>
      <c r="D9" s="677"/>
    </row>
    <row r="10" spans="1:8">
      <c r="B10" s="1077"/>
      <c r="C10" s="672" t="s">
        <v>1119</v>
      </c>
      <c r="D10" s="677"/>
    </row>
    <row r="11" spans="1:8">
      <c r="B11" s="1077"/>
      <c r="C11" s="672" t="s">
        <v>1120</v>
      </c>
      <c r="D11" s="678"/>
    </row>
    <row r="12" spans="1:8" ht="17.100000000000001">
      <c r="B12" s="1080"/>
      <c r="C12" s="1074" t="s">
        <v>1121</v>
      </c>
      <c r="D12" s="1071" t="s">
        <v>1122</v>
      </c>
    </row>
    <row r="13" spans="1:8" ht="15.75">
      <c r="B13" s="1077"/>
      <c r="C13" s="1075" t="s">
        <v>1123</v>
      </c>
      <c r="D13" s="1072"/>
    </row>
    <row r="14" spans="1:8" ht="15.95" customHeight="1">
      <c r="B14" s="1077" t="s">
        <v>1124</v>
      </c>
      <c r="C14" s="1075" t="s">
        <v>1125</v>
      </c>
      <c r="D14" s="679"/>
    </row>
    <row r="15" spans="1:8">
      <c r="B15" s="1079"/>
      <c r="C15" s="1075" t="s">
        <v>1126</v>
      </c>
      <c r="D15" s="679"/>
    </row>
    <row r="16" spans="1:8" ht="15.75">
      <c r="B16" s="1081"/>
      <c r="C16" s="1076" t="s">
        <v>1127</v>
      </c>
      <c r="D16" s="1073"/>
    </row>
    <row r="17" spans="2:4" ht="15.75">
      <c r="B17" s="1082"/>
      <c r="C17" s="1084"/>
      <c r="D17" s="1084"/>
    </row>
    <row r="18" spans="2:4" ht="15.75">
      <c r="B18" s="1082"/>
      <c r="C18" s="1085" t="s">
        <v>1128</v>
      </c>
      <c r="D18" s="1085" t="s">
        <v>1129</v>
      </c>
    </row>
    <row r="19" spans="2:4">
      <c r="B19" s="1083"/>
      <c r="C19" s="1086"/>
      <c r="D19" s="1086"/>
    </row>
  </sheetData>
  <hyperlinks>
    <hyperlink ref="A1" location="'Index'!A1" display="Back to Index" xr:uid="{6A468FC7-6A42-4C92-948A-C285A929624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A4C29-CC8E-9E47-8E1B-800B2D86BD0D}">
  <sheetPr>
    <tabColor rgb="FFDEDCE8"/>
  </sheetPr>
  <dimension ref="A1:E16"/>
  <sheetViews>
    <sheetView workbookViewId="0">
      <selection activeCell="E20" sqref="E20"/>
    </sheetView>
  </sheetViews>
  <sheetFormatPr defaultColWidth="11" defaultRowHeight="15.95"/>
  <cols>
    <col min="3" max="3" width="48.625" bestFit="1" customWidth="1"/>
    <col min="4" max="4" width="47.875" bestFit="1" customWidth="1"/>
  </cols>
  <sheetData>
    <row r="1" spans="1:5">
      <c r="A1" s="44" t="s">
        <v>41</v>
      </c>
    </row>
    <row r="3" spans="1:5">
      <c r="B3" s="96"/>
      <c r="C3" s="896" t="s">
        <v>762</v>
      </c>
      <c r="D3" s="992" t="s">
        <v>1130</v>
      </c>
    </row>
    <row r="4" spans="1:5">
      <c r="B4" s="133"/>
      <c r="C4" s="897" t="s">
        <v>68</v>
      </c>
      <c r="D4" s="993" t="s">
        <v>1131</v>
      </c>
    </row>
    <row r="5" spans="1:5">
      <c r="B5" s="892" t="s">
        <v>1112</v>
      </c>
      <c r="C5" s="897" t="s">
        <v>1132</v>
      </c>
      <c r="D5" s="993" t="s">
        <v>67</v>
      </c>
    </row>
    <row r="6" spans="1:5">
      <c r="B6" s="892"/>
      <c r="C6" s="898" t="s">
        <v>1133</v>
      </c>
      <c r="D6" s="993" t="s">
        <v>1134</v>
      </c>
      <c r="E6" s="1"/>
    </row>
    <row r="7" spans="1:5">
      <c r="B7" s="892"/>
      <c r="C7" s="898" t="s">
        <v>1135</v>
      </c>
      <c r="D7" s="993" t="s">
        <v>1114</v>
      </c>
      <c r="E7" s="1"/>
    </row>
    <row r="8" spans="1:5">
      <c r="B8" s="892"/>
      <c r="C8" s="891"/>
      <c r="D8" s="993" t="s">
        <v>600</v>
      </c>
      <c r="E8" s="1"/>
    </row>
    <row r="9" spans="1:5">
      <c r="B9" s="893"/>
      <c r="C9" s="899"/>
      <c r="D9" s="994" t="s">
        <v>1136</v>
      </c>
      <c r="E9" s="1"/>
    </row>
    <row r="10" spans="1:5">
      <c r="B10" s="298"/>
      <c r="C10" s="894" t="s">
        <v>1137</v>
      </c>
      <c r="D10" s="679" t="s">
        <v>1138</v>
      </c>
    </row>
    <row r="11" spans="1:5">
      <c r="B11" s="298"/>
      <c r="C11" s="674" t="s">
        <v>765</v>
      </c>
      <c r="D11" s="679" t="s">
        <v>1139</v>
      </c>
    </row>
    <row r="12" spans="1:5">
      <c r="B12" s="298" t="s">
        <v>1124</v>
      </c>
      <c r="C12" s="674" t="s">
        <v>1140</v>
      </c>
      <c r="D12" s="679" t="s">
        <v>1141</v>
      </c>
    </row>
    <row r="13" spans="1:5">
      <c r="B13" s="298"/>
      <c r="C13" s="674"/>
      <c r="D13" s="895" t="s">
        <v>1142</v>
      </c>
    </row>
    <row r="14" spans="1:5">
      <c r="B14" s="96"/>
      <c r="C14" s="297"/>
      <c r="D14" s="299"/>
    </row>
    <row r="15" spans="1:5">
      <c r="B15" s="133"/>
      <c r="C15" s="327" t="s">
        <v>1128</v>
      </c>
      <c r="D15" s="327" t="s">
        <v>1129</v>
      </c>
    </row>
    <row r="16" spans="1:5">
      <c r="B16" s="93"/>
      <c r="C16" s="141"/>
      <c r="D16" s="141"/>
    </row>
  </sheetData>
  <hyperlinks>
    <hyperlink ref="A1" location="'Index'!A1" display="Back to Index" xr:uid="{1EAC067B-664F-471F-8061-D5491484721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08353-DA77-49AF-98D9-72F09770CC23}">
  <sheetPr>
    <tabColor rgb="FFDEDCE8"/>
  </sheetPr>
  <dimension ref="A1:Q43"/>
  <sheetViews>
    <sheetView workbookViewId="0">
      <selection activeCell="H11" sqref="H11"/>
    </sheetView>
  </sheetViews>
  <sheetFormatPr defaultColWidth="8.875" defaultRowHeight="15.95"/>
  <cols>
    <col min="1" max="1" width="43.375" customWidth="1"/>
    <col min="2" max="2" width="14" customWidth="1"/>
    <col min="3" max="3" width="15.125" customWidth="1"/>
    <col min="4" max="4" width="10.625" customWidth="1"/>
    <col min="5" max="5" width="23.375" customWidth="1"/>
    <col min="6" max="6" width="11.75" bestFit="1" customWidth="1"/>
    <col min="7" max="7" width="14.625" customWidth="1"/>
    <col min="8" max="8" width="13.625" customWidth="1"/>
    <col min="9" max="9" width="6.625" customWidth="1"/>
    <col min="10" max="10" width="14.875" customWidth="1"/>
    <col min="11" max="11" width="47.625" bestFit="1" customWidth="1"/>
    <col min="13" max="13" width="11.125" bestFit="1" customWidth="1"/>
    <col min="14" max="14" width="55.5" customWidth="1"/>
    <col min="15" max="15" width="17.625" customWidth="1"/>
    <col min="16" max="16" width="26.875" bestFit="1" customWidth="1"/>
    <col min="17" max="17" width="47.875" bestFit="1" customWidth="1"/>
  </cols>
  <sheetData>
    <row r="1" spans="1:12" ht="55.5" customHeight="1">
      <c r="A1" s="44" t="s">
        <v>41</v>
      </c>
      <c r="E1" s="20"/>
    </row>
    <row r="2" spans="1:12" ht="42.95">
      <c r="A2" s="813"/>
      <c r="B2" s="814" t="s">
        <v>1143</v>
      </c>
      <c r="C2" s="814" t="s">
        <v>1144</v>
      </c>
      <c r="D2" s="814" t="s">
        <v>1145</v>
      </c>
      <c r="E2" s="814" t="s">
        <v>1146</v>
      </c>
      <c r="F2" s="814" t="s">
        <v>1147</v>
      </c>
      <c r="G2" s="814" t="s">
        <v>1148</v>
      </c>
      <c r="H2" s="815" t="s">
        <v>1149</v>
      </c>
      <c r="I2" s="815" t="s">
        <v>1022</v>
      </c>
      <c r="J2" s="815" t="s">
        <v>1150</v>
      </c>
    </row>
    <row r="3" spans="1:12">
      <c r="A3" s="816" t="s">
        <v>1130</v>
      </c>
      <c r="B3" s="833">
        <v>13000000</v>
      </c>
      <c r="C3" s="1058">
        <v>12632317.5</v>
      </c>
      <c r="D3" s="823">
        <f>-(B3-C3)/B3</f>
        <v>-2.828326923076923E-2</v>
      </c>
      <c r="E3" s="1064">
        <v>249820.05799999999</v>
      </c>
      <c r="F3" s="1058">
        <f>E3-$B$23</f>
        <v>65252.832822835335</v>
      </c>
      <c r="G3" s="823">
        <f>F3/$B$23</f>
        <v>0.3535450715055159</v>
      </c>
      <c r="H3" s="818">
        <f t="shared" ref="H3:H18" si="0">ABS(G3)</f>
        <v>0.3535450715055159</v>
      </c>
      <c r="I3" s="821" t="str">
        <f>IF(H3&gt;'QM Assumptions'!$B$3,"High","Low")</f>
        <v>High</v>
      </c>
      <c r="J3" s="824" t="s">
        <v>1151</v>
      </c>
    </row>
    <row r="4" spans="1:12">
      <c r="A4" s="816" t="s">
        <v>1152</v>
      </c>
      <c r="B4" s="818">
        <v>0.25580000000000003</v>
      </c>
      <c r="C4" s="1059">
        <v>0.248252</v>
      </c>
      <c r="D4" s="823">
        <f t="shared" ref="D3:D18" si="1">-(B4-C4)/B4</f>
        <v>-2.9507427677873441E-2</v>
      </c>
      <c r="E4" s="1064">
        <v>246669.03</v>
      </c>
      <c r="F4" s="822">
        <f t="shared" ref="F3:F18" si="2">E4-$B$23</f>
        <v>62101.804822835344</v>
      </c>
      <c r="G4" s="823">
        <f t="shared" ref="G3:G18" si="3">F4/$B$23</f>
        <v>0.33647254957224554</v>
      </c>
      <c r="H4" s="818">
        <f t="shared" si="0"/>
        <v>0.33647254957224554</v>
      </c>
      <c r="I4" s="821" t="str">
        <f>IF(H4&gt;'QM Assumptions'!$B$3,"High","Low")</f>
        <v>High</v>
      </c>
      <c r="J4" s="824" t="s">
        <v>1151</v>
      </c>
    </row>
    <row r="5" spans="1:12">
      <c r="A5" s="816" t="s">
        <v>68</v>
      </c>
      <c r="B5" s="818">
        <v>0.14000000000000001</v>
      </c>
      <c r="C5" s="1059">
        <v>0.1043</v>
      </c>
      <c r="D5" s="823">
        <f t="shared" si="1"/>
        <v>-0.25500000000000006</v>
      </c>
      <c r="E5" s="1064">
        <v>246669.03</v>
      </c>
      <c r="F5" s="822">
        <f t="shared" si="2"/>
        <v>62101.804822835344</v>
      </c>
      <c r="G5" s="823">
        <f t="shared" si="3"/>
        <v>0.33647254957224554</v>
      </c>
      <c r="H5" s="818">
        <f t="shared" si="0"/>
        <v>0.33647254957224554</v>
      </c>
      <c r="I5" s="821" t="str">
        <f>IF(H5&gt;'QM Assumptions'!$B$3,"High","Low")</f>
        <v>High</v>
      </c>
      <c r="J5" s="825" t="s">
        <v>1153</v>
      </c>
    </row>
    <row r="6" spans="1:12">
      <c r="A6" s="816" t="s">
        <v>67</v>
      </c>
      <c r="B6" s="818">
        <v>0.1075</v>
      </c>
      <c r="C6" s="1059">
        <v>0.13584772000000001</v>
      </c>
      <c r="D6" s="823">
        <f t="shared" si="1"/>
        <v>0.26369972093023264</v>
      </c>
      <c r="E6" s="1064">
        <v>246669.03</v>
      </c>
      <c r="F6" s="822">
        <f t="shared" si="2"/>
        <v>62101.804822835344</v>
      </c>
      <c r="G6" s="823">
        <f t="shared" si="3"/>
        <v>0.33647254957224554</v>
      </c>
      <c r="H6" s="818">
        <f t="shared" si="0"/>
        <v>0.33647254957224554</v>
      </c>
      <c r="I6" s="821" t="str">
        <f>IF(H6&gt;'QM Assumptions'!$B$3,"High","Low")</f>
        <v>High</v>
      </c>
      <c r="J6" s="824" t="s">
        <v>1151</v>
      </c>
      <c r="L6" t="s">
        <v>833</v>
      </c>
    </row>
    <row r="7" spans="1:12">
      <c r="A7" s="816" t="s">
        <v>1154</v>
      </c>
      <c r="B7" s="837">
        <v>452483.63</v>
      </c>
      <c r="C7" s="1060">
        <v>492744.38408892188</v>
      </c>
      <c r="D7" s="823">
        <f t="shared" si="1"/>
        <v>8.8977261097648724E-2</v>
      </c>
      <c r="E7" s="838">
        <v>163824.03496201406</v>
      </c>
      <c r="F7" s="822">
        <f t="shared" si="2"/>
        <v>-20743.190215150593</v>
      </c>
      <c r="G7" s="823">
        <f t="shared" si="3"/>
        <v>-0.11238826500880297</v>
      </c>
      <c r="H7" s="818">
        <f t="shared" si="0"/>
        <v>0.11238826500880297</v>
      </c>
      <c r="I7" s="821" t="str">
        <f>IF(H7&gt;'QM Assumptions'!$B$3,"High","Low")</f>
        <v>High</v>
      </c>
      <c r="J7" s="826" t="s">
        <v>1153</v>
      </c>
    </row>
    <row r="8" spans="1:12">
      <c r="A8" s="817" t="s">
        <v>1136</v>
      </c>
      <c r="B8" s="830">
        <v>12.75</v>
      </c>
      <c r="C8" s="1060">
        <v>13.93</v>
      </c>
      <c r="D8" s="823">
        <f t="shared" si="1"/>
        <v>9.2549019607843119E-2</v>
      </c>
      <c r="E8" s="838">
        <v>164584.50219734223</v>
      </c>
      <c r="F8" s="822">
        <f t="shared" si="2"/>
        <v>-19982.722979822429</v>
      </c>
      <c r="G8" s="823">
        <f t="shared" si="3"/>
        <v>-0.10826799265493192</v>
      </c>
      <c r="H8" s="818">
        <f t="shared" si="0"/>
        <v>0.10826799265493192</v>
      </c>
      <c r="I8" s="821" t="str">
        <f>IF(H8&gt;'QM Assumptions'!$B$3,"High","Low")</f>
        <v>High</v>
      </c>
      <c r="J8" s="824" t="s">
        <v>1151</v>
      </c>
      <c r="K8" s="65"/>
    </row>
    <row r="9" spans="1:12">
      <c r="A9" s="816" t="s">
        <v>1155</v>
      </c>
      <c r="B9" s="830">
        <v>2.5</v>
      </c>
      <c r="C9" s="1060">
        <v>2.9146936100990199</v>
      </c>
      <c r="D9" s="823">
        <f t="shared" si="1"/>
        <v>0.16587744403960797</v>
      </c>
      <c r="E9" s="838">
        <v>166158.11277130479</v>
      </c>
      <c r="F9" s="822">
        <f t="shared" si="2"/>
        <v>-18409.112405859865</v>
      </c>
      <c r="G9" s="823">
        <f t="shared" si="3"/>
        <v>-9.9742044602930457E-2</v>
      </c>
      <c r="H9" s="818">
        <f t="shared" si="0"/>
        <v>9.9742044602930457E-2</v>
      </c>
      <c r="I9" s="821" t="str">
        <f>IF(H9&gt;'QM Assumptions'!$B$3,"High","Low")</f>
        <v>High</v>
      </c>
      <c r="J9" s="824" t="s">
        <v>1151</v>
      </c>
    </row>
    <row r="10" spans="1:12">
      <c r="A10" s="816" t="s">
        <v>578</v>
      </c>
      <c r="B10" s="820">
        <v>238000</v>
      </c>
      <c r="C10" s="1060">
        <v>269887.8096445569</v>
      </c>
      <c r="D10" s="823">
        <f t="shared" si="1"/>
        <v>0.13398239346452476</v>
      </c>
      <c r="E10" s="838">
        <v>170791.74166738335</v>
      </c>
      <c r="F10" s="822">
        <f t="shared" si="2"/>
        <v>-13775.483509781305</v>
      </c>
      <c r="G10" s="823">
        <f t="shared" si="3"/>
        <v>-7.4636672337454954E-2</v>
      </c>
      <c r="H10" s="818">
        <f t="shared" si="0"/>
        <v>7.4636672337454954E-2</v>
      </c>
      <c r="I10" s="821" t="str">
        <f>IF(H10&gt;'QM Assumptions'!$B$3,"High","Low")</f>
        <v>High</v>
      </c>
      <c r="J10" s="826" t="s">
        <v>1153</v>
      </c>
    </row>
    <row r="11" spans="1:12">
      <c r="A11" s="816" t="s">
        <v>1156</v>
      </c>
      <c r="B11" s="833">
        <v>267259</v>
      </c>
      <c r="C11" s="1060">
        <v>309611.16832389106</v>
      </c>
      <c r="D11" s="823">
        <f t="shared" si="1"/>
        <v>0.15846863276406431</v>
      </c>
      <c r="E11" s="838">
        <v>172920.30035943398</v>
      </c>
      <c r="F11" s="822">
        <f t="shared" si="2"/>
        <v>-11646.924817730673</v>
      </c>
      <c r="G11" s="823">
        <f t="shared" si="3"/>
        <v>-6.3103970959908398E-2</v>
      </c>
      <c r="H11" s="818">
        <f t="shared" si="0"/>
        <v>6.3103970959908398E-2</v>
      </c>
      <c r="I11" s="821" t="str">
        <f>IF(H11&gt;'QM Assumptions'!$B$3,"High","Low")</f>
        <v>High</v>
      </c>
      <c r="J11" s="827" t="s">
        <v>1153</v>
      </c>
    </row>
    <row r="12" spans="1:12">
      <c r="A12" s="817" t="s">
        <v>1157</v>
      </c>
      <c r="B12" s="833">
        <v>210000</v>
      </c>
      <c r="C12" s="1060">
        <v>266083.26178114378</v>
      </c>
      <c r="D12" s="823">
        <f t="shared" si="1"/>
        <v>0.26706315133877989</v>
      </c>
      <c r="E12" s="838">
        <v>177656.22962229582</v>
      </c>
      <c r="F12" s="822">
        <f t="shared" si="2"/>
        <v>-6910.9955548688304</v>
      </c>
      <c r="G12" s="823">
        <f t="shared" si="3"/>
        <v>-3.7444327118398291E-2</v>
      </c>
      <c r="H12" s="818">
        <f t="shared" si="0"/>
        <v>3.7444327118398291E-2</v>
      </c>
      <c r="I12" s="821" t="str">
        <f>IF(H12&gt;'QM Assumptions'!$B$3,"High","Low")</f>
        <v>Low</v>
      </c>
      <c r="J12" s="828" t="s">
        <v>1153</v>
      </c>
      <c r="K12" s="65"/>
    </row>
    <row r="13" spans="1:12">
      <c r="A13" s="816" t="s">
        <v>765</v>
      </c>
      <c r="B13" s="838">
        <v>0.76</v>
      </c>
      <c r="C13" s="1060">
        <v>1.0078005938879333</v>
      </c>
      <c r="D13" s="823">
        <f t="shared" si="1"/>
        <v>0.32605341301043855</v>
      </c>
      <c r="E13" s="838">
        <v>179050.42791755591</v>
      </c>
      <c r="F13" s="822">
        <f t="shared" si="2"/>
        <v>-5516.7972596087493</v>
      </c>
      <c r="G13" s="823">
        <f t="shared" si="3"/>
        <v>-2.989044915376074E-2</v>
      </c>
      <c r="H13" s="818">
        <f t="shared" si="0"/>
        <v>2.989044915376074E-2</v>
      </c>
      <c r="I13" s="821" t="str">
        <f>IF(H13&gt;'QM Assumptions'!$B$3,"High","Low")</f>
        <v>Low</v>
      </c>
      <c r="J13" s="829" t="s">
        <v>1153</v>
      </c>
    </row>
    <row r="14" spans="1:12">
      <c r="A14" s="817" t="s">
        <v>1142</v>
      </c>
      <c r="B14" s="820">
        <v>29261</v>
      </c>
      <c r="C14" s="1060">
        <v>41093.239164874401</v>
      </c>
      <c r="D14" s="823">
        <f t="shared" si="1"/>
        <v>0.40436892672411745</v>
      </c>
      <c r="E14" s="838">
        <v>180002.76303562382</v>
      </c>
      <c r="F14" s="822">
        <f t="shared" si="2"/>
        <v>-4564.4621415408328</v>
      </c>
      <c r="G14" s="823">
        <f t="shared" si="3"/>
        <v>-2.473062125282233E-2</v>
      </c>
      <c r="H14" s="818">
        <f t="shared" si="0"/>
        <v>2.473062125282233E-2</v>
      </c>
      <c r="I14" s="821" t="str">
        <f>IF(H14&gt;'QM Assumptions'!$B$3,"High","Low")</f>
        <v>Low</v>
      </c>
      <c r="J14" s="824" t="s">
        <v>1158</v>
      </c>
      <c r="K14" s="65"/>
    </row>
    <row r="15" spans="1:12">
      <c r="A15" s="816" t="s">
        <v>1159</v>
      </c>
      <c r="B15" s="819">
        <v>45</v>
      </c>
      <c r="C15" s="1061">
        <v>77.421787087641576</v>
      </c>
      <c r="D15" s="823">
        <f t="shared" si="1"/>
        <v>0.72048415750314609</v>
      </c>
      <c r="E15" s="1065">
        <v>182005.5140936512</v>
      </c>
      <c r="F15" s="822">
        <f t="shared" si="2"/>
        <v>-2561.7110835134517</v>
      </c>
      <c r="G15" s="823">
        <f t="shared" si="3"/>
        <v>-1.3879555706894791E-2</v>
      </c>
      <c r="H15" s="818">
        <f t="shared" si="0"/>
        <v>1.3879555706894791E-2</v>
      </c>
      <c r="I15" s="821" t="str">
        <f>IF(H15&gt;'QM Assumptions'!$B$3,"High","Low")</f>
        <v>Low</v>
      </c>
      <c r="J15" s="824" t="s">
        <v>1158</v>
      </c>
    </row>
    <row r="16" spans="1:12">
      <c r="A16" s="816" t="s">
        <v>884</v>
      </c>
      <c r="B16" s="837">
        <v>65822</v>
      </c>
      <c r="C16" s="1062">
        <v>130548.85156536812</v>
      </c>
      <c r="D16" s="823">
        <f t="shared" si="1"/>
        <v>0.98336196963580758</v>
      </c>
      <c r="E16" s="1065">
        <v>182690.29905140214</v>
      </c>
      <c r="F16" s="822">
        <f t="shared" si="2"/>
        <v>-1876.9261257625185</v>
      </c>
      <c r="G16" s="823">
        <f t="shared" si="3"/>
        <v>-1.0169335991050804E-2</v>
      </c>
      <c r="H16" s="818">
        <f t="shared" si="0"/>
        <v>1.0169335991050804E-2</v>
      </c>
      <c r="I16" s="821" t="str">
        <f>IF(H16&gt;'QM Assumptions'!$B$3,"High","Low")</f>
        <v>Low</v>
      </c>
      <c r="J16" s="824" t="s">
        <v>1158</v>
      </c>
    </row>
    <row r="17" spans="1:17">
      <c r="A17" s="816" t="s">
        <v>532</v>
      </c>
      <c r="B17" s="820">
        <v>30688.63</v>
      </c>
      <c r="C17" s="1060">
        <v>62502</v>
      </c>
      <c r="D17" s="823">
        <f t="shared" si="1"/>
        <v>1.0366500557372551</v>
      </c>
      <c r="E17" s="838">
        <v>182695.6432244028</v>
      </c>
      <c r="F17" s="822">
        <f t="shared" si="2"/>
        <v>-1871.5819527618587</v>
      </c>
      <c r="G17" s="823">
        <f t="shared" si="3"/>
        <v>-1.0140380833950023E-2</v>
      </c>
      <c r="H17" s="818">
        <f t="shared" si="0"/>
        <v>1.0140380833950023E-2</v>
      </c>
      <c r="I17" s="821" t="str">
        <f>IF(H17&gt;'QM Assumptions'!$B$3,"High","Low")</f>
        <v>Low</v>
      </c>
      <c r="J17" s="827" t="s">
        <v>1153</v>
      </c>
    </row>
    <row r="18" spans="1:17">
      <c r="A18" s="817" t="s">
        <v>1160</v>
      </c>
      <c r="B18" s="819">
        <v>30</v>
      </c>
      <c r="C18" s="1063">
        <v>0</v>
      </c>
      <c r="D18" s="823">
        <f t="shared" si="1"/>
        <v>-1</v>
      </c>
      <c r="E18" s="1065">
        <v>185559.16706012189</v>
      </c>
      <c r="F18" s="822">
        <f t="shared" si="2"/>
        <v>991.9418829572387</v>
      </c>
      <c r="G18" s="823">
        <f t="shared" si="3"/>
        <v>5.3744205234980448E-3</v>
      </c>
      <c r="H18" s="818">
        <f t="shared" si="0"/>
        <v>5.3744205234980448E-3</v>
      </c>
      <c r="I18" s="821" t="str">
        <f>IF(H18&gt;'QM Assumptions'!$B$3,"High","Low")</f>
        <v>Low</v>
      </c>
      <c r="J18" s="824" t="s">
        <v>1158</v>
      </c>
      <c r="K18" s="65"/>
    </row>
    <row r="19" spans="1:17" ht="16.5" customHeight="1">
      <c r="A19" s="239"/>
      <c r="C19" s="238"/>
      <c r="D19" s="238"/>
      <c r="F19" s="238"/>
      <c r="G19" s="238"/>
      <c r="H19" s="20"/>
    </row>
    <row r="20" spans="1:17">
      <c r="B20" s="322"/>
      <c r="C20" s="238"/>
      <c r="D20" s="241"/>
      <c r="J20" s="19"/>
    </row>
    <row r="21" spans="1:17">
      <c r="E21" s="65"/>
      <c r="H21" s="241"/>
    </row>
    <row r="22" spans="1:17">
      <c r="A22" s="240"/>
      <c r="B22" s="240"/>
      <c r="C22" s="240"/>
      <c r="D22" s="240"/>
      <c r="F22" s="19"/>
      <c r="H22" s="240"/>
    </row>
    <row r="23" spans="1:17">
      <c r="A23" s="242" t="s">
        <v>1161</v>
      </c>
      <c r="B23" s="322">
        <v>184567.22517716466</v>
      </c>
      <c r="C23" s="242" t="s">
        <v>1162</v>
      </c>
      <c r="F23" s="65"/>
      <c r="G23" s="225"/>
      <c r="H23" s="240"/>
    </row>
    <row r="24" spans="1:17">
      <c r="A24" s="847"/>
      <c r="B24" s="238"/>
      <c r="C24" s="238"/>
      <c r="D24" s="238"/>
      <c r="F24" s="225"/>
      <c r="G24" s="225"/>
      <c r="H24" s="848"/>
      <c r="I24" s="848"/>
      <c r="J24" s="848"/>
    </row>
    <row r="25" spans="1:17">
      <c r="B25" s="849"/>
      <c r="C25" s="136"/>
      <c r="D25" s="850"/>
      <c r="F25" s="225"/>
      <c r="G25" s="225"/>
      <c r="H25" s="850"/>
      <c r="J25" s="851"/>
    </row>
    <row r="26" spans="1:17">
      <c r="A26" s="847"/>
      <c r="B26" s="238"/>
      <c r="C26" s="238"/>
      <c r="D26" s="848"/>
      <c r="E26" s="65"/>
      <c r="F26" s="225"/>
      <c r="G26" s="225"/>
    </row>
    <row r="27" spans="1:17" ht="29.1">
      <c r="A27" s="813"/>
      <c r="B27" s="814" t="s">
        <v>1145</v>
      </c>
      <c r="C27" s="814" t="s">
        <v>1147</v>
      </c>
      <c r="D27" s="815" t="s">
        <v>1149</v>
      </c>
      <c r="E27" s="815" t="s">
        <v>1022</v>
      </c>
      <c r="F27" s="815" t="s">
        <v>1150</v>
      </c>
    </row>
    <row r="28" spans="1:17">
      <c r="A28" s="816" t="s">
        <v>1130</v>
      </c>
      <c r="B28" s="823">
        <v>-2.828326923076923E-2</v>
      </c>
      <c r="C28" s="822">
        <v>65252.832822835335</v>
      </c>
      <c r="D28" s="818">
        <v>0.3535450715055159</v>
      </c>
      <c r="E28" s="821" t="s">
        <v>1151</v>
      </c>
      <c r="F28" s="824" t="s">
        <v>1151</v>
      </c>
      <c r="P28" s="680"/>
      <c r="Q28" s="1056"/>
    </row>
    <row r="29" spans="1:17">
      <c r="A29" s="816" t="s">
        <v>1152</v>
      </c>
      <c r="B29" s="823">
        <v>-2.9507427677873441E-2</v>
      </c>
      <c r="C29" s="822">
        <v>62101.804822835344</v>
      </c>
      <c r="D29" s="818">
        <v>0.33647254957224554</v>
      </c>
      <c r="E29" s="821" t="s">
        <v>1151</v>
      </c>
      <c r="F29" s="824" t="s">
        <v>1151</v>
      </c>
      <c r="P29" s="680"/>
      <c r="Q29" s="1056"/>
    </row>
    <row r="30" spans="1:17">
      <c r="A30" s="816" t="s">
        <v>68</v>
      </c>
      <c r="B30" s="823">
        <v>-0.25500000000000006</v>
      </c>
      <c r="C30" s="822">
        <v>62101.804822835344</v>
      </c>
      <c r="D30" s="818">
        <v>0.33647254957224554</v>
      </c>
      <c r="E30" s="821" t="s">
        <v>1151</v>
      </c>
      <c r="F30" s="825" t="s">
        <v>1153</v>
      </c>
      <c r="O30" s="1"/>
      <c r="P30" s="680"/>
      <c r="Q30" s="1056"/>
    </row>
    <row r="31" spans="1:17">
      <c r="A31" s="816" t="s">
        <v>67</v>
      </c>
      <c r="B31" s="823">
        <v>0.26369972093023264</v>
      </c>
      <c r="C31" s="822">
        <v>62101.804822835344</v>
      </c>
      <c r="D31" s="818">
        <v>0.33647254957224554</v>
      </c>
      <c r="E31" s="821" t="s">
        <v>1151</v>
      </c>
      <c r="F31" s="824" t="s">
        <v>1151</v>
      </c>
      <c r="O31" s="1"/>
      <c r="P31" s="1"/>
      <c r="Q31" s="1056"/>
    </row>
    <row r="32" spans="1:17">
      <c r="A32" s="816" t="s">
        <v>1154</v>
      </c>
      <c r="B32" s="823">
        <v>8.8977261097648724E-2</v>
      </c>
      <c r="C32" s="822">
        <v>-20743.190215150593</v>
      </c>
      <c r="D32" s="818">
        <v>0.11238826500880297</v>
      </c>
      <c r="E32" s="821" t="s">
        <v>1151</v>
      </c>
      <c r="F32" s="826" t="s">
        <v>1153</v>
      </c>
      <c r="O32" s="1"/>
      <c r="P32" s="1"/>
      <c r="Q32" s="1056"/>
    </row>
    <row r="33" spans="1:17">
      <c r="A33" s="817" t="s">
        <v>1136</v>
      </c>
      <c r="B33" s="823">
        <v>9.2549019607843119E-2</v>
      </c>
      <c r="C33" s="822">
        <v>-19982.722979822429</v>
      </c>
      <c r="D33" s="818">
        <v>0.10826799265493192</v>
      </c>
      <c r="E33" s="821" t="s">
        <v>1151</v>
      </c>
      <c r="F33" s="824" t="s">
        <v>1151</v>
      </c>
      <c r="O33" s="1"/>
      <c r="Q33" s="1056"/>
    </row>
    <row r="34" spans="1:17">
      <c r="A34" s="816" t="s">
        <v>1155</v>
      </c>
      <c r="B34" s="823">
        <v>0.16587744403960797</v>
      </c>
      <c r="C34" s="822">
        <v>-18409.112405859865</v>
      </c>
      <c r="D34" s="818">
        <v>9.9742044602930457E-2</v>
      </c>
      <c r="E34" s="821" t="s">
        <v>1151</v>
      </c>
      <c r="F34" s="824" t="s">
        <v>1151</v>
      </c>
      <c r="O34" s="1"/>
      <c r="P34" s="680"/>
      <c r="Q34" s="680"/>
    </row>
    <row r="35" spans="1:17">
      <c r="A35" s="816" t="s">
        <v>578</v>
      </c>
      <c r="B35" s="823">
        <v>0.13398239346452476</v>
      </c>
      <c r="C35" s="822">
        <v>-13775.483509781305</v>
      </c>
      <c r="D35" s="818">
        <v>7.4636672337454954E-2</v>
      </c>
      <c r="E35" s="821" t="s">
        <v>1151</v>
      </c>
      <c r="F35" s="826" t="s">
        <v>1153</v>
      </c>
      <c r="O35" s="1"/>
      <c r="P35" s="680"/>
      <c r="Q35" s="1"/>
    </row>
    <row r="36" spans="1:17">
      <c r="A36" s="816" t="s">
        <v>1156</v>
      </c>
      <c r="B36" s="823">
        <v>0.15846863276406431</v>
      </c>
      <c r="C36" s="822">
        <v>-11646.924817730673</v>
      </c>
      <c r="D36" s="818">
        <v>6.3103970959908398E-2</v>
      </c>
      <c r="E36" s="821" t="s">
        <v>1153</v>
      </c>
      <c r="F36" s="827" t="s">
        <v>1153</v>
      </c>
      <c r="O36" s="1"/>
      <c r="P36" s="1"/>
      <c r="Q36" s="1"/>
    </row>
    <row r="37" spans="1:17">
      <c r="A37" s="817" t="s">
        <v>1157</v>
      </c>
      <c r="B37" s="823">
        <v>0.26706315133877989</v>
      </c>
      <c r="C37" s="822">
        <v>-6910.9955548688304</v>
      </c>
      <c r="D37" s="818">
        <v>3.7444327118398291E-2</v>
      </c>
      <c r="E37" s="821" t="s">
        <v>1153</v>
      </c>
      <c r="F37" s="828" t="s">
        <v>1153</v>
      </c>
      <c r="O37" s="1"/>
      <c r="P37" s="1"/>
      <c r="Q37" s="1"/>
    </row>
    <row r="38" spans="1:17">
      <c r="A38" s="816" t="s">
        <v>765</v>
      </c>
      <c r="B38" s="823">
        <v>0.32605341301043855</v>
      </c>
      <c r="C38" s="822">
        <v>-5516.7972596087493</v>
      </c>
      <c r="D38" s="818">
        <v>2.989044915376074E-2</v>
      </c>
      <c r="E38" s="821" t="s">
        <v>1153</v>
      </c>
      <c r="F38" s="829" t="s">
        <v>1153</v>
      </c>
      <c r="O38" s="1"/>
      <c r="P38" s="1"/>
      <c r="Q38" s="680"/>
    </row>
    <row r="39" spans="1:17">
      <c r="A39" s="817" t="s">
        <v>1142</v>
      </c>
      <c r="B39" s="823">
        <v>0.40436892672411745</v>
      </c>
      <c r="C39" s="822">
        <v>-4564.4621415408328</v>
      </c>
      <c r="D39" s="818">
        <v>2.473062125282233E-2</v>
      </c>
      <c r="E39" s="821" t="s">
        <v>1153</v>
      </c>
      <c r="F39" s="824" t="s">
        <v>1158</v>
      </c>
    </row>
    <row r="40" spans="1:17">
      <c r="A40" s="816" t="s">
        <v>1159</v>
      </c>
      <c r="B40" s="823">
        <v>0.72048415750314609</v>
      </c>
      <c r="C40" s="822">
        <v>-2561.7110835134517</v>
      </c>
      <c r="D40" s="818">
        <v>1.3879555706894791E-2</v>
      </c>
      <c r="E40" s="821" t="s">
        <v>1153</v>
      </c>
      <c r="F40" s="824" t="s">
        <v>1158</v>
      </c>
      <c r="P40" s="1"/>
      <c r="Q40" s="1"/>
    </row>
    <row r="41" spans="1:17">
      <c r="A41" s="816" t="s">
        <v>884</v>
      </c>
      <c r="B41" s="823">
        <v>0.98336196963580758</v>
      </c>
      <c r="C41" s="822">
        <v>-1876.9261257625185</v>
      </c>
      <c r="D41" s="818">
        <v>1.0169335991050804E-2</v>
      </c>
      <c r="E41" s="821" t="s">
        <v>1153</v>
      </c>
      <c r="F41" s="824" t="s">
        <v>1158</v>
      </c>
    </row>
    <row r="42" spans="1:17">
      <c r="A42" s="816" t="s">
        <v>532</v>
      </c>
      <c r="B42" s="823">
        <v>1.0366500557372551</v>
      </c>
      <c r="C42" s="822">
        <v>-1871.5819527618587</v>
      </c>
      <c r="D42" s="818">
        <v>1.0140380833950023E-2</v>
      </c>
      <c r="E42" s="821" t="s">
        <v>1153</v>
      </c>
      <c r="F42" s="827" t="s">
        <v>1153</v>
      </c>
    </row>
    <row r="43" spans="1:17">
      <c r="A43" s="817" t="s">
        <v>1160</v>
      </c>
      <c r="B43" s="823">
        <v>-1</v>
      </c>
      <c r="C43" s="822">
        <v>991.9418829572387</v>
      </c>
      <c r="D43" s="818">
        <v>5.3744205234980448E-3</v>
      </c>
      <c r="E43" s="821" t="s">
        <v>1153</v>
      </c>
      <c r="F43" s="824" t="s">
        <v>1158</v>
      </c>
    </row>
  </sheetData>
  <sortState xmlns:xlrd2="http://schemas.microsoft.com/office/spreadsheetml/2017/richdata2" ref="A3:J18">
    <sortCondition descending="1" ref="H3:H18"/>
  </sortState>
  <hyperlinks>
    <hyperlink ref="A1" location="'Index'!A1" display="Back to Index" xr:uid="{EAD716E6-65E5-402D-9FA1-31346D9889FB}"/>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AE03-1927-4EFE-BA7E-4F69617E624B}">
  <sheetPr>
    <tabColor rgb="FFDEDCE8"/>
  </sheetPr>
  <dimension ref="A1:E12"/>
  <sheetViews>
    <sheetView topLeftCell="B1" workbookViewId="0">
      <selection activeCell="D22" sqref="D22"/>
    </sheetView>
  </sheetViews>
  <sheetFormatPr defaultColWidth="11" defaultRowHeight="15.95"/>
  <cols>
    <col min="2" max="2" width="45.5" bestFit="1" customWidth="1"/>
    <col min="3" max="3" width="47" bestFit="1" customWidth="1"/>
    <col min="4" max="4" width="46.625" customWidth="1"/>
    <col min="5" max="5" width="28.875" bestFit="1" customWidth="1"/>
  </cols>
  <sheetData>
    <row r="1" spans="1:5">
      <c r="A1" s="44" t="s">
        <v>41</v>
      </c>
    </row>
    <row r="2" spans="1:5">
      <c r="B2" s="907" t="s">
        <v>0</v>
      </c>
      <c r="C2" s="907" t="s">
        <v>1</v>
      </c>
      <c r="D2" s="907" t="s">
        <v>1</v>
      </c>
      <c r="E2" s="908" t="s">
        <v>2</v>
      </c>
    </row>
    <row r="3" spans="1:5">
      <c r="B3" s="905" t="s">
        <v>68</v>
      </c>
      <c r="C3" s="905" t="s">
        <v>600</v>
      </c>
      <c r="D3" s="905" t="s">
        <v>1108</v>
      </c>
      <c r="E3" s="906" t="s">
        <v>1138</v>
      </c>
    </row>
    <row r="4" spans="1:5">
      <c r="B4" s="900" t="s">
        <v>1131</v>
      </c>
      <c r="C4" s="900" t="s">
        <v>327</v>
      </c>
      <c r="D4" s="900" t="s">
        <v>1110</v>
      </c>
      <c r="E4" s="903" t="s">
        <v>1139</v>
      </c>
    </row>
    <row r="5" spans="1:5">
      <c r="B5" s="900" t="s">
        <v>67</v>
      </c>
      <c r="C5" s="900" t="s">
        <v>765</v>
      </c>
      <c r="D5" s="900" t="s">
        <v>1111</v>
      </c>
      <c r="E5" s="903" t="s">
        <v>1141</v>
      </c>
    </row>
    <row r="6" spans="1:5">
      <c r="B6" s="900" t="s">
        <v>1130</v>
      </c>
      <c r="C6" s="900" t="s">
        <v>945</v>
      </c>
      <c r="D6" s="900" t="s">
        <v>1117</v>
      </c>
      <c r="E6" s="903" t="s">
        <v>1163</v>
      </c>
    </row>
    <row r="7" spans="1:5">
      <c r="B7" s="900" t="s">
        <v>1113</v>
      </c>
      <c r="C7" s="900" t="s">
        <v>727</v>
      </c>
      <c r="D7" s="900" t="s">
        <v>1118</v>
      </c>
      <c r="E7" s="903" t="s">
        <v>1135</v>
      </c>
    </row>
    <row r="8" spans="1:5">
      <c r="B8" s="900" t="s">
        <v>1123</v>
      </c>
      <c r="C8" s="900" t="s">
        <v>329</v>
      </c>
      <c r="D8" s="900" t="s">
        <v>1125</v>
      </c>
      <c r="E8" s="903" t="s">
        <v>762</v>
      </c>
    </row>
    <row r="9" spans="1:5">
      <c r="B9" s="900" t="s">
        <v>1164</v>
      </c>
      <c r="C9" s="900" t="s">
        <v>1140</v>
      </c>
      <c r="D9" s="903" t="s">
        <v>1127</v>
      </c>
      <c r="E9" s="901" t="s">
        <v>1119</v>
      </c>
    </row>
    <row r="10" spans="1:5">
      <c r="B10" s="900" t="s">
        <v>1134</v>
      </c>
      <c r="C10" s="900" t="s">
        <v>1137</v>
      </c>
      <c r="D10" s="903" t="s">
        <v>1126</v>
      </c>
      <c r="E10" s="299"/>
    </row>
    <row r="11" spans="1:5">
      <c r="B11" s="900"/>
      <c r="C11" s="900" t="s">
        <v>1133</v>
      </c>
      <c r="D11" s="903" t="s">
        <v>1165</v>
      </c>
      <c r="E11" s="901"/>
    </row>
    <row r="12" spans="1:5">
      <c r="B12" s="902"/>
      <c r="C12" s="904" t="s">
        <v>1120</v>
      </c>
      <c r="D12" s="93"/>
      <c r="E12" s="141"/>
    </row>
  </sheetData>
  <hyperlinks>
    <hyperlink ref="A1" location="'Index'!A1" display="Back to Index" xr:uid="{366A9536-BB72-45D2-BC56-3E43941A3E5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B4884-13B0-224C-982C-4B6FEF9BC891}">
  <sheetPr>
    <tabColor rgb="FFDEDCE8"/>
  </sheetPr>
  <dimension ref="C1:T34"/>
  <sheetViews>
    <sheetView topLeftCell="C1" workbookViewId="0">
      <selection activeCell="E19" sqref="E19"/>
    </sheetView>
  </sheetViews>
  <sheetFormatPr defaultColWidth="11" defaultRowHeight="15.95"/>
  <cols>
    <col min="1" max="1" width="2.375" customWidth="1"/>
    <col min="2" max="2" width="2.625" customWidth="1"/>
    <col min="3" max="3" width="46.875" bestFit="1" customWidth="1"/>
    <col min="4" max="4" width="14.875" customWidth="1"/>
    <col min="5" max="5" width="39.875" bestFit="1" customWidth="1"/>
    <col min="6" max="6" width="38.875" bestFit="1" customWidth="1"/>
    <col min="7" max="7" width="24.5" bestFit="1" customWidth="1"/>
    <col min="8" max="8" width="17.5" bestFit="1" customWidth="1"/>
    <col min="9" max="9" width="21.125" customWidth="1"/>
    <col min="10" max="10" width="33.625" customWidth="1"/>
    <col min="11" max="11" width="21.625" customWidth="1"/>
    <col min="12" max="12" width="20.375" bestFit="1" customWidth="1"/>
    <col min="13" max="13" width="20.125" customWidth="1"/>
    <col min="15" max="15" width="31.125" customWidth="1"/>
    <col min="16" max="16" width="41.625" customWidth="1"/>
    <col min="17" max="17" width="21.5" customWidth="1"/>
    <col min="18" max="18" width="17.125" customWidth="1"/>
    <col min="19" max="19" width="16.875" customWidth="1"/>
  </cols>
  <sheetData>
    <row r="1" spans="3:20">
      <c r="C1" s="44" t="s">
        <v>41</v>
      </c>
    </row>
    <row r="2" spans="3:20">
      <c r="C2" s="44" t="s">
        <v>1166</v>
      </c>
      <c r="O2" s="1007"/>
    </row>
    <row r="3" spans="3:20">
      <c r="C3" s="44" t="s">
        <v>1167</v>
      </c>
      <c r="O3" s="1008"/>
    </row>
    <row r="4" spans="3:20">
      <c r="C4" s="21"/>
      <c r="O4" s="1008"/>
    </row>
    <row r="5" spans="3:20">
      <c r="C5" s="302" t="s">
        <v>1168</v>
      </c>
      <c r="D5" s="303">
        <v>0</v>
      </c>
      <c r="E5" s="303">
        <v>1</v>
      </c>
      <c r="F5" s="303">
        <v>2</v>
      </c>
      <c r="G5" s="303">
        <v>3</v>
      </c>
      <c r="H5" s="300"/>
      <c r="P5" s="132"/>
    </row>
    <row r="6" spans="3:20" ht="15.95" customHeight="1">
      <c r="C6" s="302" t="s">
        <v>1169</v>
      </c>
      <c r="D6" s="303" t="s">
        <v>1170</v>
      </c>
      <c r="E6" s="303" t="s">
        <v>1130</v>
      </c>
      <c r="F6" s="303" t="s">
        <v>327</v>
      </c>
      <c r="G6" s="303" t="s">
        <v>1171</v>
      </c>
      <c r="H6" s="300"/>
      <c r="J6" s="1100" t="s">
        <v>1172</v>
      </c>
      <c r="K6" s="1101"/>
      <c r="L6" s="1101"/>
      <c r="M6" s="1102"/>
      <c r="O6" s="1106" t="s">
        <v>1173</v>
      </c>
      <c r="P6" s="1106"/>
      <c r="Q6" s="1106"/>
    </row>
    <row r="7" spans="3:20" ht="15.95" customHeight="1">
      <c r="C7" t="s">
        <v>1174</v>
      </c>
      <c r="D7" s="300" t="s">
        <v>1170</v>
      </c>
      <c r="E7" s="335" t="s">
        <v>1175</v>
      </c>
      <c r="F7" s="300" t="s">
        <v>1175</v>
      </c>
      <c r="G7" s="300" t="s">
        <v>1171</v>
      </c>
      <c r="H7" s="300"/>
      <c r="J7" s="1103"/>
      <c r="K7" s="1104"/>
      <c r="L7" s="1104"/>
      <c r="M7" s="1105"/>
      <c r="O7" s="996" t="s">
        <v>1176</v>
      </c>
      <c r="P7" s="1009" t="s">
        <v>1177</v>
      </c>
      <c r="Q7" s="1009" t="s">
        <v>1178</v>
      </c>
      <c r="R7" s="2"/>
      <c r="S7" s="2"/>
    </row>
    <row r="8" spans="3:20">
      <c r="C8" t="s">
        <v>1179</v>
      </c>
      <c r="D8" s="300" t="s">
        <v>1170</v>
      </c>
      <c r="E8" s="335" t="s">
        <v>1180</v>
      </c>
      <c r="F8" s="811" t="s">
        <v>1181</v>
      </c>
      <c r="G8" s="300" t="s">
        <v>1171</v>
      </c>
      <c r="H8" s="300"/>
      <c r="J8" s="1019"/>
      <c r="K8" s="1020" t="s">
        <v>1182</v>
      </c>
      <c r="L8" s="1020" t="s">
        <v>1183</v>
      </c>
      <c r="M8" s="1020" t="s">
        <v>1184</v>
      </c>
      <c r="O8" s="996" t="s">
        <v>1185</v>
      </c>
      <c r="P8" s="1010">
        <f>'QM Assumptions'!B14</f>
        <v>0.68</v>
      </c>
      <c r="Q8" s="1011">
        <f>'QM Assumptions'!B15</f>
        <v>72186219</v>
      </c>
      <c r="R8" s="132"/>
      <c r="S8" s="132"/>
      <c r="T8" s="132"/>
    </row>
    <row r="9" spans="3:20">
      <c r="C9" t="s">
        <v>1186</v>
      </c>
      <c r="D9" s="300" t="s">
        <v>1170</v>
      </c>
      <c r="E9" s="335" t="s">
        <v>1182</v>
      </c>
      <c r="F9" s="300" t="s">
        <v>1182</v>
      </c>
      <c r="G9" s="300" t="s">
        <v>1171</v>
      </c>
      <c r="H9" s="300"/>
      <c r="J9" s="1021" t="s">
        <v>1187</v>
      </c>
      <c r="K9" s="1000">
        <f>L9*0.99</f>
        <v>75240000</v>
      </c>
      <c r="L9" s="1000">
        <f>'QM Assumptions'!B10</f>
        <v>76000000</v>
      </c>
      <c r="M9" s="1000">
        <f>L9*1.01</f>
        <v>76760000</v>
      </c>
      <c r="O9" s="1012" t="s">
        <v>1188</v>
      </c>
      <c r="P9" s="1013">
        <f>'QM Assumptions'!B13</f>
        <v>0.6</v>
      </c>
      <c r="Q9" s="1022">
        <f>'QM Assumptions'!B16</f>
        <v>65800910</v>
      </c>
      <c r="R9" s="132"/>
      <c r="S9" s="132"/>
      <c r="T9" s="132"/>
    </row>
    <row r="10" spans="3:20">
      <c r="C10" t="s">
        <v>1189</v>
      </c>
      <c r="D10" s="300" t="s">
        <v>1170</v>
      </c>
      <c r="E10" s="335" t="s">
        <v>1190</v>
      </c>
      <c r="F10" s="300" t="s">
        <v>1190</v>
      </c>
      <c r="G10" s="300" t="s">
        <v>1171</v>
      </c>
      <c r="H10" s="300"/>
      <c r="J10" s="1021" t="s">
        <v>1191</v>
      </c>
      <c r="K10" s="1023">
        <f>K9*'QM Assumptions'!B6</f>
        <v>38372400</v>
      </c>
      <c r="L10" s="1024">
        <f>L9*'QM Assumptions'!B6</f>
        <v>38760000</v>
      </c>
      <c r="M10" s="1023">
        <f>P14</f>
        <v>45169259.209200002</v>
      </c>
      <c r="O10" s="995"/>
      <c r="P10" s="1015"/>
      <c r="Q10" s="998"/>
    </row>
    <row r="11" spans="3:20">
      <c r="C11" t="s">
        <v>1192</v>
      </c>
      <c r="D11" s="300" t="s">
        <v>1170</v>
      </c>
      <c r="E11" s="335" t="s">
        <v>1184</v>
      </c>
      <c r="F11" s="300" t="s">
        <v>1184</v>
      </c>
      <c r="G11" s="300" t="s">
        <v>1171</v>
      </c>
      <c r="H11" s="300"/>
      <c r="J11" s="1021" t="s">
        <v>1193</v>
      </c>
      <c r="K11" s="1025">
        <f>K10*'QM Assumptions'!B9</f>
        <v>11127996</v>
      </c>
      <c r="L11" s="1025">
        <f>L10*'QM Assumptions'!B7</f>
        <v>14728800</v>
      </c>
      <c r="M11" s="1025">
        <f>P15</f>
        <v>15200000</v>
      </c>
      <c r="O11" s="1014" t="s">
        <v>1194</v>
      </c>
      <c r="P11" s="998"/>
      <c r="Q11" s="1057">
        <f>P8*Q8+P9*Q9</f>
        <v>88567174.920000002</v>
      </c>
    </row>
    <row r="12" spans="3:20">
      <c r="C12" t="s">
        <v>1195</v>
      </c>
      <c r="D12" s="300" t="s">
        <v>1170</v>
      </c>
      <c r="E12" s="301">
        <v>0.7</v>
      </c>
      <c r="F12" s="301">
        <v>0.94</v>
      </c>
      <c r="G12" s="300" t="s">
        <v>1171</v>
      </c>
      <c r="H12" s="301"/>
      <c r="J12" s="1021" t="s">
        <v>1196</v>
      </c>
      <c r="K12" s="1025">
        <f>K11*'QM Assumptions'!B12</f>
        <v>9013676.7599999998</v>
      </c>
      <c r="L12" s="1025">
        <f>L11*'QM Assumptions'!B11</f>
        <v>12814056</v>
      </c>
      <c r="M12" s="1025">
        <f>M11*'QM Assumptions'!B11</f>
        <v>13224000</v>
      </c>
    </row>
    <row r="13" spans="3:20">
      <c r="C13" t="s">
        <v>1197</v>
      </c>
      <c r="D13" s="300" t="s">
        <v>1170</v>
      </c>
      <c r="E13" s="301">
        <v>1</v>
      </c>
      <c r="F13" s="301">
        <v>1</v>
      </c>
      <c r="G13" s="300" t="s">
        <v>1171</v>
      </c>
      <c r="H13" s="301"/>
      <c r="J13" s="1020"/>
      <c r="K13" s="1024"/>
      <c r="L13" s="1024"/>
      <c r="M13" s="1024"/>
      <c r="O13" s="1001" t="s">
        <v>1198</v>
      </c>
      <c r="P13" s="1001" t="s">
        <v>1199</v>
      </c>
      <c r="Q13" s="1001" t="s">
        <v>1200</v>
      </c>
    </row>
    <row r="14" spans="3:20">
      <c r="C14" t="s">
        <v>1201</v>
      </c>
      <c r="D14" s="300" t="s">
        <v>1170</v>
      </c>
      <c r="E14" s="301">
        <v>1.03199174406605</v>
      </c>
      <c r="F14" s="301">
        <v>1.1499999999999999</v>
      </c>
      <c r="G14" s="300" t="s">
        <v>1171</v>
      </c>
      <c r="H14" s="301"/>
      <c r="J14" s="1020" t="s">
        <v>1202</v>
      </c>
      <c r="K14" s="1055">
        <f>1*(K12/L12)</f>
        <v>0.70342105263157895</v>
      </c>
      <c r="L14" s="1026">
        <f>L12/L12</f>
        <v>1</v>
      </c>
      <c r="M14" s="1026">
        <f>1*(M12/L12)</f>
        <v>1.0319917440660475</v>
      </c>
      <c r="O14" s="996" t="s">
        <v>1203</v>
      </c>
      <c r="P14" s="997">
        <f>Q11*'QM Assumptions'!B6</f>
        <v>45169259.209200002</v>
      </c>
      <c r="Q14" s="998" t="s">
        <v>1204</v>
      </c>
    </row>
    <row r="15" spans="3:20">
      <c r="C15" t="s">
        <v>1205</v>
      </c>
      <c r="D15" s="300" t="s">
        <v>1170</v>
      </c>
      <c r="E15" s="335" t="s">
        <v>1206</v>
      </c>
      <c r="F15" s="300" t="s">
        <v>1207</v>
      </c>
      <c r="G15" s="300" t="s">
        <v>1171</v>
      </c>
      <c r="H15" s="300"/>
      <c r="O15" s="996" t="s">
        <v>1208</v>
      </c>
      <c r="P15" s="1016">
        <f>'QM Assumptions'!B8*'QM Assumptions'!B10</f>
        <v>15200000</v>
      </c>
      <c r="Q15" s="999" t="s">
        <v>1204</v>
      </c>
    </row>
    <row r="16" spans="3:20">
      <c r="C16" t="s">
        <v>1209</v>
      </c>
      <c r="D16" s="300" t="s">
        <v>1170</v>
      </c>
      <c r="E16" s="335" t="s">
        <v>681</v>
      </c>
      <c r="F16" s="300" t="s">
        <v>1210</v>
      </c>
      <c r="G16" s="300" t="s">
        <v>1171</v>
      </c>
      <c r="H16" s="300"/>
      <c r="O16" s="996" t="s">
        <v>1211</v>
      </c>
      <c r="P16" s="1016" t="s">
        <v>1204</v>
      </c>
      <c r="Q16" s="1002">
        <f>'QM Assumptions'!B12</f>
        <v>0.81</v>
      </c>
    </row>
    <row r="17" spans="3:15">
      <c r="C17" t="s">
        <v>1212</v>
      </c>
      <c r="D17" s="300" t="s">
        <v>1170</v>
      </c>
      <c r="E17" s="1027" t="s">
        <v>1213</v>
      </c>
      <c r="F17" s="300" t="s">
        <v>1214</v>
      </c>
      <c r="G17" s="300" t="s">
        <v>1171</v>
      </c>
      <c r="H17" s="300"/>
    </row>
    <row r="18" spans="3:15">
      <c r="C18" t="s">
        <v>1215</v>
      </c>
      <c r="D18" s="300" t="s">
        <v>1170</v>
      </c>
      <c r="E18" s="832">
        <f ca="1">IF(E$19&lt;=(E$13-E$12)/(E$14-E$12),E$12+SQRT(E$19*(E$14-E$12)*(E$13-E$12)),E$14-SQRT((1-E$19)*(E$14-E$12)*(-E$13+E$14)))</f>
        <v>0.99892621813611582</v>
      </c>
      <c r="F18" s="301">
        <f ca="1">IF(F$19&lt;=(F$13-F$12)/(F$14-F$12),F$12+SQRT(F$19*(F$14-F$12)*(F$13-F$12)),F$14-SQRT((1-F$19)*(F$14-F$12)*(-F$13+F$14)))</f>
        <v>1.0472079367120901</v>
      </c>
      <c r="G18" s="300" t="s">
        <v>1171</v>
      </c>
      <c r="H18" s="301"/>
      <c r="J18" s="1106" t="s">
        <v>1216</v>
      </c>
      <c r="K18" s="1106"/>
      <c r="L18" s="1106"/>
      <c r="M18" s="1106"/>
      <c r="O18" s="1053"/>
    </row>
    <row r="19" spans="3:15" ht="15.95" customHeight="1">
      <c r="C19" t="s">
        <v>1217</v>
      </c>
      <c r="D19" s="300" t="s">
        <v>1170</v>
      </c>
      <c r="E19" s="831">
        <f ca="1">RAND()</f>
        <v>0.89717977917931935</v>
      </c>
      <c r="F19" s="301">
        <f ca="1">RAND()</f>
        <v>0.66456481666712219</v>
      </c>
      <c r="G19" s="300" t="s">
        <v>1171</v>
      </c>
      <c r="H19" s="301"/>
      <c r="J19" s="1106"/>
      <c r="K19" s="1106"/>
      <c r="L19" s="1106"/>
      <c r="M19" s="1106"/>
      <c r="O19" s="1052"/>
    </row>
    <row r="20" spans="3:15">
      <c r="E20" s="225"/>
      <c r="J20" s="1003"/>
      <c r="K20" s="1004" t="s">
        <v>1182</v>
      </c>
      <c r="L20" s="1028" t="s">
        <v>1183</v>
      </c>
      <c r="M20" s="1004" t="s">
        <v>1184</v>
      </c>
    </row>
    <row r="21" spans="3:15">
      <c r="J21" s="996" t="s">
        <v>1218</v>
      </c>
      <c r="K21" s="1005">
        <f>'QM Assumptions'!B21</f>
        <v>12</v>
      </c>
      <c r="L21" s="1017">
        <f>'OM Assumptions'!B31</f>
        <v>12.75</v>
      </c>
      <c r="M21" s="1005">
        <f>L21*(1+'QM Assumptions'!B20)</f>
        <v>14.6625</v>
      </c>
    </row>
    <row r="22" spans="3:15">
      <c r="J22" s="996"/>
      <c r="K22" s="998"/>
      <c r="L22" s="998"/>
      <c r="M22" s="998"/>
      <c r="O22" s="44"/>
    </row>
    <row r="23" spans="3:15">
      <c r="J23" s="996" t="s">
        <v>1202</v>
      </c>
      <c r="K23" s="1006">
        <f>K21/L21</f>
        <v>0.94117647058823528</v>
      </c>
      <c r="L23" s="1006">
        <f>L21/L21</f>
        <v>1</v>
      </c>
      <c r="M23" s="1006">
        <f>M21/L21</f>
        <v>1.1499999999999999</v>
      </c>
    </row>
    <row r="26" spans="3:15">
      <c r="O26" s="44"/>
    </row>
    <row r="28" spans="3:15">
      <c r="O28" s="44"/>
    </row>
    <row r="31" spans="3:15">
      <c r="O31" s="44"/>
    </row>
    <row r="34" spans="15:15">
      <c r="O34" s="44"/>
    </row>
  </sheetData>
  <mergeCells count="3">
    <mergeCell ref="J6:M7"/>
    <mergeCell ref="J18:M19"/>
    <mergeCell ref="O6:Q6"/>
  </mergeCells>
  <hyperlinks>
    <hyperlink ref="C2" location="'QM RUN Simulations'!A1" display="Go to RUN Simulations" xr:uid="{632818A4-29D2-8C4D-83B5-0030F7BEDDD0}"/>
    <hyperlink ref="C3" location="'QM Simulation Summary Stats'!A1" display="Go to Simmulation Summary" xr:uid="{66808BC9-FE28-D249-9B0A-EAE37014C490}"/>
    <hyperlink ref="C1" location="'Index'!A1" display="Back to Index" xr:uid="{BF0C2B9B-7F9F-48D1-A956-5091CB9CA95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59E29-0AC8-3F4C-8538-6F73493ED55A}">
  <sheetPr>
    <tabColor rgb="FFDEDCE8"/>
  </sheetPr>
  <dimension ref="A1:F1012"/>
  <sheetViews>
    <sheetView workbookViewId="0">
      <selection activeCell="E13" sqref="E13"/>
    </sheetView>
  </sheetViews>
  <sheetFormatPr defaultColWidth="9.125" defaultRowHeight="12.95"/>
  <cols>
    <col min="1" max="1" width="25.625" style="307" customWidth="1"/>
    <col min="2" max="2" width="13.5" style="313" customWidth="1"/>
    <col min="3" max="3" width="25.625" style="307" customWidth="1"/>
    <col min="4" max="4" width="15.625" style="311" customWidth="1"/>
    <col min="5" max="12" width="15.625" style="307" customWidth="1"/>
    <col min="13" max="16384" width="9.125" style="307"/>
  </cols>
  <sheetData>
    <row r="1" spans="1:6" ht="55.5" customHeight="1">
      <c r="A1" s="329" t="s">
        <v>1219</v>
      </c>
      <c r="B1" s="336">
        <f>Simulation_Number</f>
        <v>0</v>
      </c>
      <c r="C1" s="337" t="s">
        <v>1220</v>
      </c>
      <c r="D1" s="330" t="s">
        <v>1221</v>
      </c>
      <c r="E1" s="338"/>
      <c r="F1" s="308" t="s">
        <v>41</v>
      </c>
    </row>
    <row r="2" spans="1:6" ht="15.95">
      <c r="A2" s="339" t="s">
        <v>1169</v>
      </c>
      <c r="B2" s="117" t="str">
        <f>HLOOKUP(Simulation_Number,'QM Parameters for Simulation'!$D$5:$I$19,2)</f>
        <v>Base Case</v>
      </c>
      <c r="C2" s="338" t="str">
        <f>HLOOKUP(Simulation_Number,'QM Parameters for Simulation'!$D$5:$I$19,4)</f>
        <v>Base Case</v>
      </c>
      <c r="D2" s="337" t="s">
        <v>1222</v>
      </c>
      <c r="E2" s="340">
        <f>AVERAGE(NPV_RunSimul)</f>
        <v>184567.22517716678</v>
      </c>
      <c r="F2" s="44" t="s">
        <v>1223</v>
      </c>
    </row>
    <row r="3" spans="1:6" ht="15.95">
      <c r="A3" s="339" t="s">
        <v>1174</v>
      </c>
      <c r="B3" s="117" t="str">
        <f>HLOOKUP(Simulation_Number,'QM Parameters for Simulation'!$D$5:$I$19,3)</f>
        <v>Base Case</v>
      </c>
      <c r="C3" s="338"/>
      <c r="D3" s="337" t="s">
        <v>1224</v>
      </c>
      <c r="E3" s="340">
        <f>MEDIAN(NPV_RunSimul)</f>
        <v>184567.22517716466</v>
      </c>
      <c r="F3" s="44" t="s">
        <v>1225</v>
      </c>
    </row>
    <row r="4" spans="1:6" ht="15.95">
      <c r="A4" s="339" t="str">
        <f>HLOOKUP(Simulation_Number,'QM Parameters for Simulation'!$D$5:$I$19,5)</f>
        <v>Base Case</v>
      </c>
      <c r="B4" s="341" t="str">
        <f>HLOOKUP(Simulation_Number,'QM Parameters for Simulation'!$D$5:$I$19,8)</f>
        <v>Base Case</v>
      </c>
      <c r="C4" s="338" t="str">
        <f>HLOOKUP(Simulation_Number,'QM Parameters for Simulation'!$D$5:$I$19,11)</f>
        <v>Base Case</v>
      </c>
      <c r="D4" s="337" t="s">
        <v>1226</v>
      </c>
      <c r="E4" s="340">
        <f>STDEV(NPV_RunSimul)</f>
        <v>2.1256416477134815E-9</v>
      </c>
    </row>
    <row r="5" spans="1:6" ht="15.95">
      <c r="A5" s="339" t="str">
        <f>HLOOKUP(Simulation_Number,'QM Parameters for Simulation'!$D$5:$I$19,6)</f>
        <v>Base Case</v>
      </c>
      <c r="B5" s="341" t="str">
        <f>HLOOKUP(Simulation_Number,'QM Parameters for Simulation'!$D$5:$I$19,9)</f>
        <v>Base Case</v>
      </c>
      <c r="C5" s="338" t="str">
        <f>HLOOKUP(Simulation_Number,'QM Parameters for Simulation'!$D$5:$I$19,12)</f>
        <v>Base Case</v>
      </c>
      <c r="D5" s="337" t="s">
        <v>1227</v>
      </c>
      <c r="E5" s="340">
        <f>PERCENTILE(NPV_RunSimul,0.05)</f>
        <v>184567.22517716466</v>
      </c>
    </row>
    <row r="6" spans="1:6" ht="15.95">
      <c r="A6" s="339" t="str">
        <f>HLOOKUP(Simulation_Number,'QM Parameters for Simulation'!$D$5:$I$19,7)</f>
        <v>Base Case</v>
      </c>
      <c r="B6" s="341" t="str">
        <f>HLOOKUP(Simulation_Number,'QM Parameters for Simulation'!$D$5:$I$19,10)</f>
        <v>Base Case</v>
      </c>
      <c r="C6" s="338" t="str">
        <f>HLOOKUP(Simulation_Number,'QM Parameters for Simulation'!$D$5:$I$19,13)</f>
        <v>Base Case</v>
      </c>
      <c r="D6" s="337" t="s">
        <v>1228</v>
      </c>
      <c r="E6" s="340">
        <f>PERCENTILE(NPV_RunSimul,0.95)</f>
        <v>184567.22517716466</v>
      </c>
    </row>
    <row r="7" spans="1:6" ht="15.95">
      <c r="A7" s="44"/>
      <c r="B7" s="339"/>
      <c r="C7" s="339"/>
      <c r="D7" s="337" t="s">
        <v>1229</v>
      </c>
      <c r="E7" s="812">
        <f>COUNTIF(NPV_RunSimul,"&lt;0")/1000</f>
        <v>0</v>
      </c>
    </row>
    <row r="8" spans="1:6" ht="15.95">
      <c r="A8" s="339"/>
      <c r="B8" s="339"/>
      <c r="C8" s="339"/>
      <c r="D8" s="342"/>
      <c r="E8" s="338"/>
    </row>
    <row r="9" spans="1:6" ht="15.95">
      <c r="A9" s="339"/>
      <c r="B9" s="339"/>
      <c r="C9" s="339"/>
      <c r="D9" s="342"/>
      <c r="E9" s="338"/>
    </row>
    <row r="10" spans="1:6" ht="15.95">
      <c r="A10" s="339"/>
      <c r="B10" s="339"/>
      <c r="C10" s="339"/>
      <c r="D10" s="342"/>
      <c r="E10" s="338"/>
    </row>
    <row r="11" spans="1:6" ht="15.95">
      <c r="A11" s="343" t="s">
        <v>1230</v>
      </c>
      <c r="B11" s="343" t="s">
        <v>1231</v>
      </c>
      <c r="C11" s="336" t="s">
        <v>1232</v>
      </c>
      <c r="D11" s="344" t="s">
        <v>1233</v>
      </c>
      <c r="E11" s="336"/>
      <c r="F11" s="317" t="s">
        <v>1234</v>
      </c>
    </row>
    <row r="12" spans="1:6" ht="15.95">
      <c r="A12" s="345">
        <f ca="1">RAND()</f>
        <v>0.54720082289033811</v>
      </c>
      <c r="B12" s="346"/>
      <c r="C12" s="346">
        <v>0</v>
      </c>
      <c r="D12" s="342">
        <f>'FE Cash Flow Y1-Y5'!B17</f>
        <v>184567.22517716466</v>
      </c>
      <c r="E12" s="338"/>
    </row>
    <row r="13" spans="1:6" ht="15.95">
      <c r="A13" s="345">
        <f t="shared" ref="A13:A76" ca="1" si="0">RAND()</f>
        <v>0.58745667209077923</v>
      </c>
      <c r="B13" s="347" t="str">
        <f t="shared" ref="B13:B76" si="1">IF(OR($B$1=1, $B$1=2), IF(A13&lt;=(B$5-B$4)/(B$6-B$4),$B$4+SQRT(A13*(B$6-B$4)*(B$5-B$4)),B$6-SQRT((1-A13)*(B$6-B$4)*(-B$5+B$6))),IF($B$1=3, "All Simuls","Base Case"))</f>
        <v>Base Case</v>
      </c>
      <c r="C13" s="346">
        <v>1</v>
      </c>
      <c r="D13" s="342">
        <f t="dataTable" ref="D13:D1012" dt2D="0" dtr="0" r1="E12"/>
        <v>184567.22517716466</v>
      </c>
      <c r="E13" s="338"/>
    </row>
    <row r="14" spans="1:6" ht="15.95">
      <c r="A14" s="345">
        <f t="shared" ca="1" si="0"/>
        <v>0.30282937586650194</v>
      </c>
      <c r="B14" s="347" t="str">
        <f t="shared" si="1"/>
        <v>Base Case</v>
      </c>
      <c r="C14" s="346">
        <v>2</v>
      </c>
      <c r="D14" s="342">
        <v>184567.22517716466</v>
      </c>
      <c r="E14" s="338"/>
    </row>
    <row r="15" spans="1:6" ht="15.95">
      <c r="A15" s="345">
        <f t="shared" ca="1" si="0"/>
        <v>0.55388876040195345</v>
      </c>
      <c r="B15" s="347" t="str">
        <f t="shared" si="1"/>
        <v>Base Case</v>
      </c>
      <c r="C15" s="346">
        <v>3</v>
      </c>
      <c r="D15" s="342">
        <v>184567.22517716466</v>
      </c>
      <c r="E15" s="338"/>
    </row>
    <row r="16" spans="1:6" ht="15.95">
      <c r="A16" s="345">
        <f t="shared" ca="1" si="0"/>
        <v>0.3717040555220289</v>
      </c>
      <c r="B16" s="347" t="str">
        <f t="shared" si="1"/>
        <v>Base Case</v>
      </c>
      <c r="C16" s="346">
        <v>4</v>
      </c>
      <c r="D16" s="342">
        <v>184567.22517716466</v>
      </c>
      <c r="E16" s="338"/>
    </row>
    <row r="17" spans="1:5" ht="15.95">
      <c r="A17" s="345">
        <f ca="1">RAND()</f>
        <v>0.48346758904569065</v>
      </c>
      <c r="B17" s="347" t="str">
        <f t="shared" si="1"/>
        <v>Base Case</v>
      </c>
      <c r="C17" s="346">
        <v>5</v>
      </c>
      <c r="D17" s="342">
        <v>184567.22517716466</v>
      </c>
      <c r="E17" s="338"/>
    </row>
    <row r="18" spans="1:5" ht="15.95">
      <c r="A18" s="345">
        <f t="shared" ca="1" si="0"/>
        <v>0.78116248579802439</v>
      </c>
      <c r="B18" s="347" t="str">
        <f t="shared" si="1"/>
        <v>Base Case</v>
      </c>
      <c r="C18" s="346">
        <v>6</v>
      </c>
      <c r="D18" s="342">
        <v>184567.22517716466</v>
      </c>
      <c r="E18" s="338"/>
    </row>
    <row r="19" spans="1:5" ht="15.95">
      <c r="A19" s="345">
        <f t="shared" ca="1" si="0"/>
        <v>6.692790636834256E-2</v>
      </c>
      <c r="B19" s="347" t="str">
        <f t="shared" si="1"/>
        <v>Base Case</v>
      </c>
      <c r="C19" s="346">
        <v>7</v>
      </c>
      <c r="D19" s="342">
        <v>184567.22517716466</v>
      </c>
      <c r="E19" s="338"/>
    </row>
    <row r="20" spans="1:5" ht="15.95">
      <c r="A20" s="345">
        <f t="shared" ca="1" si="0"/>
        <v>0.600902019698214</v>
      </c>
      <c r="B20" s="347" t="str">
        <f t="shared" si="1"/>
        <v>Base Case</v>
      </c>
      <c r="C20" s="346">
        <v>8</v>
      </c>
      <c r="D20" s="342">
        <v>184567.22517716466</v>
      </c>
      <c r="E20" s="338"/>
    </row>
    <row r="21" spans="1:5" ht="15.95">
      <c r="A21" s="345">
        <f t="shared" ca="1" si="0"/>
        <v>0.46754716890732628</v>
      </c>
      <c r="B21" s="347" t="str">
        <f t="shared" si="1"/>
        <v>Base Case</v>
      </c>
      <c r="C21" s="346">
        <v>9</v>
      </c>
      <c r="D21" s="342">
        <v>184567.22517716466</v>
      </c>
      <c r="E21" s="338"/>
    </row>
    <row r="22" spans="1:5" ht="15.95">
      <c r="A22" s="345">
        <f t="shared" ca="1" si="0"/>
        <v>0.25446768775409934</v>
      </c>
      <c r="B22" s="347" t="str">
        <f t="shared" si="1"/>
        <v>Base Case</v>
      </c>
      <c r="C22" s="346">
        <v>10</v>
      </c>
      <c r="D22" s="342">
        <v>184567.22517716466</v>
      </c>
      <c r="E22" s="338"/>
    </row>
    <row r="23" spans="1:5" ht="15.95">
      <c r="A23" s="345">
        <f t="shared" ca="1" si="0"/>
        <v>0.82059599662035709</v>
      </c>
      <c r="B23" s="347" t="str">
        <f t="shared" si="1"/>
        <v>Base Case</v>
      </c>
      <c r="C23" s="346">
        <v>11</v>
      </c>
      <c r="D23" s="342">
        <v>184567.22517716466</v>
      </c>
    </row>
    <row r="24" spans="1:5" ht="15.95">
      <c r="A24" s="345">
        <f t="shared" ca="1" si="0"/>
        <v>0.7805777849538662</v>
      </c>
      <c r="B24" s="347" t="str">
        <f t="shared" si="1"/>
        <v>Base Case</v>
      </c>
      <c r="C24" s="346">
        <v>12</v>
      </c>
      <c r="D24" s="342">
        <v>184567.22517716466</v>
      </c>
    </row>
    <row r="25" spans="1:5" ht="15.95">
      <c r="A25" s="345">
        <f t="shared" ca="1" si="0"/>
        <v>0.54628897051814906</v>
      </c>
      <c r="B25" s="347" t="str">
        <f t="shared" si="1"/>
        <v>Base Case</v>
      </c>
      <c r="C25" s="346">
        <v>13</v>
      </c>
      <c r="D25" s="342">
        <v>184567.22517716466</v>
      </c>
    </row>
    <row r="26" spans="1:5" ht="15.95">
      <c r="A26" s="345">
        <f t="shared" ca="1" si="0"/>
        <v>7.323259013485317E-2</v>
      </c>
      <c r="B26" s="347" t="str">
        <f t="shared" si="1"/>
        <v>Base Case</v>
      </c>
      <c r="C26" s="346">
        <v>14</v>
      </c>
      <c r="D26" s="342">
        <v>184567.22517716466</v>
      </c>
    </row>
    <row r="27" spans="1:5" ht="15.95">
      <c r="A27" s="345">
        <f t="shared" ca="1" si="0"/>
        <v>0.51734819578912827</v>
      </c>
      <c r="B27" s="347" t="str">
        <f t="shared" si="1"/>
        <v>Base Case</v>
      </c>
      <c r="C27" s="346">
        <v>15</v>
      </c>
      <c r="D27" s="342">
        <v>184567.22517716466</v>
      </c>
    </row>
    <row r="28" spans="1:5" ht="15.95">
      <c r="A28" s="345">
        <f t="shared" ca="1" si="0"/>
        <v>0.14977780109347949</v>
      </c>
      <c r="B28" s="347" t="str">
        <f t="shared" si="1"/>
        <v>Base Case</v>
      </c>
      <c r="C28" s="346">
        <v>16</v>
      </c>
      <c r="D28" s="342">
        <v>184567.22517716466</v>
      </c>
    </row>
    <row r="29" spans="1:5" ht="15.95">
      <c r="A29" s="345">
        <f t="shared" ca="1" si="0"/>
        <v>0.26158855645102475</v>
      </c>
      <c r="B29" s="347" t="str">
        <f t="shared" si="1"/>
        <v>Base Case</v>
      </c>
      <c r="C29" s="346">
        <v>17</v>
      </c>
      <c r="D29" s="342">
        <v>184567.22517716466</v>
      </c>
    </row>
    <row r="30" spans="1:5" ht="15.95">
      <c r="A30" s="345">
        <f t="shared" ca="1" si="0"/>
        <v>0.35531356099835565</v>
      </c>
      <c r="B30" s="347" t="str">
        <f t="shared" si="1"/>
        <v>Base Case</v>
      </c>
      <c r="C30" s="346">
        <v>18</v>
      </c>
      <c r="D30" s="342">
        <v>184567.22517716466</v>
      </c>
    </row>
    <row r="31" spans="1:5" ht="15.95">
      <c r="A31" s="345">
        <f t="shared" ca="1" si="0"/>
        <v>0.15738262235335809</v>
      </c>
      <c r="B31" s="347" t="str">
        <f t="shared" si="1"/>
        <v>Base Case</v>
      </c>
      <c r="C31" s="346">
        <v>19</v>
      </c>
      <c r="D31" s="342">
        <v>184567.22517716466</v>
      </c>
    </row>
    <row r="32" spans="1:5" ht="15.95">
      <c r="A32" s="345">
        <f t="shared" ca="1" si="0"/>
        <v>0.14056490588586878</v>
      </c>
      <c r="B32" s="347" t="str">
        <f t="shared" si="1"/>
        <v>Base Case</v>
      </c>
      <c r="C32" s="346">
        <v>20</v>
      </c>
      <c r="D32" s="342">
        <v>184567.22517716466</v>
      </c>
    </row>
    <row r="33" spans="1:6" ht="15.95">
      <c r="A33" s="345">
        <f t="shared" ca="1" si="0"/>
        <v>0.74071879922844852</v>
      </c>
      <c r="B33" s="347" t="str">
        <f t="shared" si="1"/>
        <v>Base Case</v>
      </c>
      <c r="C33" s="346">
        <v>21</v>
      </c>
      <c r="D33" s="342">
        <v>184567.22517716466</v>
      </c>
    </row>
    <row r="34" spans="1:6" ht="15.95">
      <c r="A34" s="345">
        <f t="shared" ca="1" si="0"/>
        <v>0.24336034407081586</v>
      </c>
      <c r="B34" s="347" t="str">
        <f t="shared" si="1"/>
        <v>Base Case</v>
      </c>
      <c r="C34" s="346">
        <v>22</v>
      </c>
      <c r="D34" s="342">
        <v>184567.22517716466</v>
      </c>
    </row>
    <row r="35" spans="1:6" ht="15.95">
      <c r="A35" s="345">
        <f t="shared" ca="1" si="0"/>
        <v>0.14025801475924893</v>
      </c>
      <c r="B35" s="347" t="str">
        <f t="shared" si="1"/>
        <v>Base Case</v>
      </c>
      <c r="C35" s="346">
        <v>23</v>
      </c>
      <c r="D35" s="342">
        <v>184567.22517716466</v>
      </c>
    </row>
    <row r="36" spans="1:6" ht="15.95">
      <c r="A36" s="345">
        <f t="shared" ca="1" si="0"/>
        <v>8.4709652386221856E-2</v>
      </c>
      <c r="B36" s="347" t="str">
        <f t="shared" si="1"/>
        <v>Base Case</v>
      </c>
      <c r="C36" s="346">
        <v>24</v>
      </c>
      <c r="D36" s="342">
        <v>184567.22517716466</v>
      </c>
    </row>
    <row r="37" spans="1:6" ht="15.95">
      <c r="A37" s="345">
        <f t="shared" ca="1" si="0"/>
        <v>0.85004478218075163</v>
      </c>
      <c r="B37" s="347" t="str">
        <f t="shared" si="1"/>
        <v>Base Case</v>
      </c>
      <c r="C37" s="346">
        <v>25</v>
      </c>
      <c r="D37" s="342">
        <v>184567.22517716466</v>
      </c>
    </row>
    <row r="38" spans="1:6" ht="15.95">
      <c r="A38" s="345">
        <f t="shared" ca="1" si="0"/>
        <v>0.27112719843322319</v>
      </c>
      <c r="B38" s="347" t="str">
        <f t="shared" si="1"/>
        <v>Base Case</v>
      </c>
      <c r="C38" s="346">
        <v>26</v>
      </c>
      <c r="D38" s="342">
        <v>184567.22517716466</v>
      </c>
    </row>
    <row r="39" spans="1:6" ht="15.95">
      <c r="A39" s="345">
        <f t="shared" ca="1" si="0"/>
        <v>0.90233068971554453</v>
      </c>
      <c r="B39" s="347" t="str">
        <f t="shared" si="1"/>
        <v>Base Case</v>
      </c>
      <c r="C39" s="346">
        <v>27</v>
      </c>
      <c r="D39" s="342">
        <v>184567.22517716466</v>
      </c>
    </row>
    <row r="40" spans="1:6" ht="15.95">
      <c r="A40" s="345">
        <f t="shared" ca="1" si="0"/>
        <v>0.15135718184051994</v>
      </c>
      <c r="B40" s="347" t="str">
        <f t="shared" si="1"/>
        <v>Base Case</v>
      </c>
      <c r="C40" s="346">
        <v>28</v>
      </c>
      <c r="D40" s="342">
        <v>184567.22517716466</v>
      </c>
    </row>
    <row r="41" spans="1:6" ht="15.95">
      <c r="A41" s="345">
        <f t="shared" ca="1" si="0"/>
        <v>0.18651878379117148</v>
      </c>
      <c r="B41" s="347" t="str">
        <f t="shared" si="1"/>
        <v>Base Case</v>
      </c>
      <c r="C41" s="346">
        <v>29</v>
      </c>
      <c r="D41" s="342">
        <v>184567.22517716466</v>
      </c>
    </row>
    <row r="42" spans="1:6" ht="15.95">
      <c r="A42" s="345">
        <f t="shared" ca="1" si="0"/>
        <v>0.95660276702420444</v>
      </c>
      <c r="B42" s="347" t="str">
        <f t="shared" si="1"/>
        <v>Base Case</v>
      </c>
      <c r="C42" s="346">
        <v>30</v>
      </c>
      <c r="D42" s="342">
        <v>184567.22517716466</v>
      </c>
    </row>
    <row r="43" spans="1:6" ht="15.95">
      <c r="A43" s="345">
        <f t="shared" ca="1" si="0"/>
        <v>0.58097783964532512</v>
      </c>
      <c r="B43" s="347" t="str">
        <f t="shared" si="1"/>
        <v>Base Case</v>
      </c>
      <c r="C43" s="346">
        <v>31</v>
      </c>
      <c r="D43" s="342">
        <v>184567.22517716466</v>
      </c>
      <c r="F43" s="307" t="s">
        <v>1235</v>
      </c>
    </row>
    <row r="44" spans="1:6" ht="15.95">
      <c r="A44" s="345">
        <f t="shared" ca="1" si="0"/>
        <v>1.9086086444719208E-2</v>
      </c>
      <c r="B44" s="347" t="str">
        <f t="shared" si="1"/>
        <v>Base Case</v>
      </c>
      <c r="C44" s="346">
        <v>32</v>
      </c>
      <c r="D44" s="342">
        <v>184567.22517716466</v>
      </c>
    </row>
    <row r="45" spans="1:6" ht="15.95">
      <c r="A45" s="345">
        <f t="shared" ca="1" si="0"/>
        <v>2.5003187296464335E-2</v>
      </c>
      <c r="B45" s="347" t="str">
        <f t="shared" si="1"/>
        <v>Base Case</v>
      </c>
      <c r="C45" s="346">
        <v>33</v>
      </c>
      <c r="D45" s="342">
        <v>184567.22517716466</v>
      </c>
    </row>
    <row r="46" spans="1:6" ht="15.95">
      <c r="A46" s="345">
        <f t="shared" ca="1" si="0"/>
        <v>0.68460948328144255</v>
      </c>
      <c r="B46" s="347" t="str">
        <f t="shared" si="1"/>
        <v>Base Case</v>
      </c>
      <c r="C46" s="346">
        <v>34</v>
      </c>
      <c r="D46" s="342">
        <v>184567.22517716466</v>
      </c>
    </row>
    <row r="47" spans="1:6" ht="15.95">
      <c r="A47" s="345">
        <f t="shared" ca="1" si="0"/>
        <v>0.73345842185428933</v>
      </c>
      <c r="B47" s="347" t="str">
        <f t="shared" si="1"/>
        <v>Base Case</v>
      </c>
      <c r="C47" s="346">
        <v>35</v>
      </c>
      <c r="D47" s="342">
        <v>184567.22517716466</v>
      </c>
    </row>
    <row r="48" spans="1:6" ht="15.95">
      <c r="A48" s="345">
        <f t="shared" ca="1" si="0"/>
        <v>0.47318515488441037</v>
      </c>
      <c r="B48" s="347" t="str">
        <f t="shared" si="1"/>
        <v>Base Case</v>
      </c>
      <c r="C48" s="346">
        <v>36</v>
      </c>
      <c r="D48" s="342">
        <v>184567.22517716466</v>
      </c>
    </row>
    <row r="49" spans="1:4" ht="15.95">
      <c r="A49" s="345">
        <f t="shared" ca="1" si="0"/>
        <v>0.6627792133083602</v>
      </c>
      <c r="B49" s="347" t="str">
        <f t="shared" si="1"/>
        <v>Base Case</v>
      </c>
      <c r="C49" s="346">
        <v>37</v>
      </c>
      <c r="D49" s="342">
        <v>184567.22517716466</v>
      </c>
    </row>
    <row r="50" spans="1:4" ht="15.95">
      <c r="A50" s="345">
        <f t="shared" ca="1" si="0"/>
        <v>0.73645541082864119</v>
      </c>
      <c r="B50" s="347" t="str">
        <f t="shared" si="1"/>
        <v>Base Case</v>
      </c>
      <c r="C50" s="346">
        <v>38</v>
      </c>
      <c r="D50" s="342">
        <v>184567.22517716466</v>
      </c>
    </row>
    <row r="51" spans="1:4" ht="15.95">
      <c r="A51" s="345">
        <f t="shared" ca="1" si="0"/>
        <v>0.17532161908678368</v>
      </c>
      <c r="B51" s="347" t="str">
        <f t="shared" si="1"/>
        <v>Base Case</v>
      </c>
      <c r="C51" s="346">
        <v>39</v>
      </c>
      <c r="D51" s="342">
        <v>184567.22517716466</v>
      </c>
    </row>
    <row r="52" spans="1:4" ht="15.95">
      <c r="A52" s="345">
        <f t="shared" ca="1" si="0"/>
        <v>0.73761777023419905</v>
      </c>
      <c r="B52" s="347" t="str">
        <f t="shared" si="1"/>
        <v>Base Case</v>
      </c>
      <c r="C52" s="346">
        <v>40</v>
      </c>
      <c r="D52" s="342">
        <v>184567.22517716466</v>
      </c>
    </row>
    <row r="53" spans="1:4" ht="15.95">
      <c r="A53" s="345">
        <f t="shared" ca="1" si="0"/>
        <v>0.77807987360440078</v>
      </c>
      <c r="B53" s="347" t="str">
        <f t="shared" si="1"/>
        <v>Base Case</v>
      </c>
      <c r="C53" s="346">
        <v>41</v>
      </c>
      <c r="D53" s="342">
        <v>184567.22517716466</v>
      </c>
    </row>
    <row r="54" spans="1:4" ht="15.95">
      <c r="A54" s="345">
        <f t="shared" ca="1" si="0"/>
        <v>0.93024364811951865</v>
      </c>
      <c r="B54" s="347" t="str">
        <f t="shared" si="1"/>
        <v>Base Case</v>
      </c>
      <c r="C54" s="346">
        <v>42</v>
      </c>
      <c r="D54" s="342">
        <v>184567.22517716466</v>
      </c>
    </row>
    <row r="55" spans="1:4" ht="15.95">
      <c r="A55" s="345">
        <f t="shared" ca="1" si="0"/>
        <v>8.7881664516816005E-2</v>
      </c>
      <c r="B55" s="347" t="str">
        <f t="shared" si="1"/>
        <v>Base Case</v>
      </c>
      <c r="C55" s="346">
        <v>43</v>
      </c>
      <c r="D55" s="342">
        <v>184567.22517716466</v>
      </c>
    </row>
    <row r="56" spans="1:4" ht="15.95">
      <c r="A56" s="345">
        <f t="shared" ca="1" si="0"/>
        <v>0.10267420808866456</v>
      </c>
      <c r="B56" s="347" t="str">
        <f t="shared" si="1"/>
        <v>Base Case</v>
      </c>
      <c r="C56" s="346">
        <v>44</v>
      </c>
      <c r="D56" s="342">
        <v>184567.22517716466</v>
      </c>
    </row>
    <row r="57" spans="1:4" ht="15.95">
      <c r="A57" s="345">
        <f t="shared" ca="1" si="0"/>
        <v>0.87076944101455422</v>
      </c>
      <c r="B57" s="347" t="str">
        <f t="shared" si="1"/>
        <v>Base Case</v>
      </c>
      <c r="C57" s="346">
        <v>45</v>
      </c>
      <c r="D57" s="342">
        <v>184567.22517716466</v>
      </c>
    </row>
    <row r="58" spans="1:4" ht="15.95">
      <c r="A58" s="345">
        <f t="shared" ca="1" si="0"/>
        <v>0.15865577229547956</v>
      </c>
      <c r="B58" s="347" t="str">
        <f t="shared" si="1"/>
        <v>Base Case</v>
      </c>
      <c r="C58" s="346">
        <v>46</v>
      </c>
      <c r="D58" s="342">
        <v>184567.22517716466</v>
      </c>
    </row>
    <row r="59" spans="1:4" ht="15.95">
      <c r="A59" s="345">
        <f t="shared" ca="1" si="0"/>
        <v>0.47622267378258398</v>
      </c>
      <c r="B59" s="347" t="str">
        <f t="shared" si="1"/>
        <v>Base Case</v>
      </c>
      <c r="C59" s="346">
        <v>47</v>
      </c>
      <c r="D59" s="342">
        <v>184567.22517716466</v>
      </c>
    </row>
    <row r="60" spans="1:4" ht="15.95">
      <c r="A60" s="345">
        <f t="shared" ca="1" si="0"/>
        <v>0.44986782648303314</v>
      </c>
      <c r="B60" s="347" t="str">
        <f t="shared" si="1"/>
        <v>Base Case</v>
      </c>
      <c r="C60" s="346">
        <v>48</v>
      </c>
      <c r="D60" s="342">
        <v>184567.22517716466</v>
      </c>
    </row>
    <row r="61" spans="1:4" ht="15.95">
      <c r="A61" s="345">
        <f t="shared" ca="1" si="0"/>
        <v>0.55738317553459737</v>
      </c>
      <c r="B61" s="347" t="str">
        <f t="shared" si="1"/>
        <v>Base Case</v>
      </c>
      <c r="C61" s="346">
        <v>49</v>
      </c>
      <c r="D61" s="342">
        <v>184567.22517716466</v>
      </c>
    </row>
    <row r="62" spans="1:4" ht="15.95">
      <c r="A62" s="345">
        <f t="shared" ca="1" si="0"/>
        <v>0.51225151100993038</v>
      </c>
      <c r="B62" s="347" t="str">
        <f t="shared" si="1"/>
        <v>Base Case</v>
      </c>
      <c r="C62" s="346">
        <v>50</v>
      </c>
      <c r="D62" s="342">
        <v>184567.22517716466</v>
      </c>
    </row>
    <row r="63" spans="1:4" ht="15.95">
      <c r="A63" s="345">
        <f t="shared" ca="1" si="0"/>
        <v>0.43812121094472434</v>
      </c>
      <c r="B63" s="347" t="str">
        <f t="shared" si="1"/>
        <v>Base Case</v>
      </c>
      <c r="C63" s="346">
        <v>51</v>
      </c>
      <c r="D63" s="342">
        <v>184567.22517716466</v>
      </c>
    </row>
    <row r="64" spans="1:4" ht="15.95">
      <c r="A64" s="345">
        <f t="shared" ca="1" si="0"/>
        <v>0.10547011416094731</v>
      </c>
      <c r="B64" s="347" t="str">
        <f t="shared" si="1"/>
        <v>Base Case</v>
      </c>
      <c r="C64" s="346">
        <v>52</v>
      </c>
      <c r="D64" s="342">
        <v>184567.22517716466</v>
      </c>
    </row>
    <row r="65" spans="1:4" ht="15.95">
      <c r="A65" s="345">
        <f t="shared" ca="1" si="0"/>
        <v>0.11945652782763549</v>
      </c>
      <c r="B65" s="347" t="str">
        <f t="shared" si="1"/>
        <v>Base Case</v>
      </c>
      <c r="C65" s="346">
        <v>53</v>
      </c>
      <c r="D65" s="342">
        <v>184567.22517716466</v>
      </c>
    </row>
    <row r="66" spans="1:4" ht="15.95">
      <c r="A66" s="345">
        <f t="shared" ca="1" si="0"/>
        <v>0.51332499616603389</v>
      </c>
      <c r="B66" s="347" t="str">
        <f t="shared" si="1"/>
        <v>Base Case</v>
      </c>
      <c r="C66" s="346">
        <v>54</v>
      </c>
      <c r="D66" s="342">
        <v>184567.22517716466</v>
      </c>
    </row>
    <row r="67" spans="1:4" ht="15.95">
      <c r="A67" s="345">
        <f t="shared" ca="1" si="0"/>
        <v>0.76819765808088358</v>
      </c>
      <c r="B67" s="347" t="str">
        <f t="shared" si="1"/>
        <v>Base Case</v>
      </c>
      <c r="C67" s="346">
        <v>55</v>
      </c>
      <c r="D67" s="342">
        <v>184567.22517716466</v>
      </c>
    </row>
    <row r="68" spans="1:4" ht="15.95">
      <c r="A68" s="345">
        <f t="shared" ca="1" si="0"/>
        <v>0.89020491508555577</v>
      </c>
      <c r="B68" s="347" t="str">
        <f t="shared" si="1"/>
        <v>Base Case</v>
      </c>
      <c r="C68" s="346">
        <v>56</v>
      </c>
      <c r="D68" s="342">
        <v>184567.22517716466</v>
      </c>
    </row>
    <row r="69" spans="1:4" ht="15.95">
      <c r="A69" s="345">
        <f t="shared" ca="1" si="0"/>
        <v>7.9228118427379313E-2</v>
      </c>
      <c r="B69" s="347" t="str">
        <f t="shared" si="1"/>
        <v>Base Case</v>
      </c>
      <c r="C69" s="346">
        <v>57</v>
      </c>
      <c r="D69" s="342">
        <v>184567.22517716466</v>
      </c>
    </row>
    <row r="70" spans="1:4" ht="15.95">
      <c r="A70" s="345">
        <f t="shared" ca="1" si="0"/>
        <v>0.83169720749478893</v>
      </c>
      <c r="B70" s="347" t="str">
        <f t="shared" si="1"/>
        <v>Base Case</v>
      </c>
      <c r="C70" s="346">
        <v>58</v>
      </c>
      <c r="D70" s="342">
        <v>184567.22517716466</v>
      </c>
    </row>
    <row r="71" spans="1:4" ht="15.95">
      <c r="A71" s="345">
        <f t="shared" ca="1" si="0"/>
        <v>0.89773583048874173</v>
      </c>
      <c r="B71" s="347" t="str">
        <f t="shared" si="1"/>
        <v>Base Case</v>
      </c>
      <c r="C71" s="346">
        <v>59</v>
      </c>
      <c r="D71" s="342">
        <v>184567.22517716466</v>
      </c>
    </row>
    <row r="72" spans="1:4" ht="15.95">
      <c r="A72" s="345">
        <f t="shared" ca="1" si="0"/>
        <v>9.4352395659599853E-2</v>
      </c>
      <c r="B72" s="347" t="str">
        <f t="shared" si="1"/>
        <v>Base Case</v>
      </c>
      <c r="C72" s="346">
        <v>60</v>
      </c>
      <c r="D72" s="342">
        <v>184567.22517716466</v>
      </c>
    </row>
    <row r="73" spans="1:4" ht="15.95">
      <c r="A73" s="345">
        <f t="shared" ca="1" si="0"/>
        <v>0.4061204396858662</v>
      </c>
      <c r="B73" s="347" t="str">
        <f t="shared" si="1"/>
        <v>Base Case</v>
      </c>
      <c r="C73" s="346">
        <v>61</v>
      </c>
      <c r="D73" s="342">
        <v>184567.22517716466</v>
      </c>
    </row>
    <row r="74" spans="1:4" ht="15.95">
      <c r="A74" s="345">
        <f t="shared" ca="1" si="0"/>
        <v>5.1638629828617777E-2</v>
      </c>
      <c r="B74" s="347" t="str">
        <f t="shared" si="1"/>
        <v>Base Case</v>
      </c>
      <c r="C74" s="346">
        <v>62</v>
      </c>
      <c r="D74" s="342">
        <v>184567.22517716466</v>
      </c>
    </row>
    <row r="75" spans="1:4" ht="15.95">
      <c r="A75" s="345">
        <f t="shared" ca="1" si="0"/>
        <v>4.40785614352176E-2</v>
      </c>
      <c r="B75" s="347" t="str">
        <f t="shared" si="1"/>
        <v>Base Case</v>
      </c>
      <c r="C75" s="346">
        <v>63</v>
      </c>
      <c r="D75" s="342">
        <v>184567.22517716466</v>
      </c>
    </row>
    <row r="76" spans="1:4" ht="15.95">
      <c r="A76" s="345">
        <f t="shared" ca="1" si="0"/>
        <v>0.74734168198061202</v>
      </c>
      <c r="B76" s="347" t="str">
        <f t="shared" si="1"/>
        <v>Base Case</v>
      </c>
      <c r="C76" s="346">
        <v>64</v>
      </c>
      <c r="D76" s="342">
        <v>184567.22517716466</v>
      </c>
    </row>
    <row r="77" spans="1:4" ht="15.95">
      <c r="A77" s="345">
        <f t="shared" ref="A77:A140" ca="1" si="2">RAND()</f>
        <v>0.28662206133087498</v>
      </c>
      <c r="B77" s="347" t="str">
        <f t="shared" ref="B77:B140" si="3">IF(OR($B$1=1, $B$1=2), IF(A77&lt;=(B$5-B$4)/(B$6-B$4),$B$4+SQRT(A77*(B$6-B$4)*(B$5-B$4)),B$6-SQRT((1-A77)*(B$6-B$4)*(-B$5+B$6))),IF($B$1=3, "All Simuls","Base Case"))</f>
        <v>Base Case</v>
      </c>
      <c r="C77" s="346">
        <v>65</v>
      </c>
      <c r="D77" s="342">
        <v>184567.22517716466</v>
      </c>
    </row>
    <row r="78" spans="1:4" ht="15.95">
      <c r="A78" s="345">
        <f t="shared" ca="1" si="2"/>
        <v>0.81758352531820566</v>
      </c>
      <c r="B78" s="347" t="str">
        <f t="shared" si="3"/>
        <v>Base Case</v>
      </c>
      <c r="C78" s="346">
        <v>66</v>
      </c>
      <c r="D78" s="342">
        <v>184567.22517716466</v>
      </c>
    </row>
    <row r="79" spans="1:4" ht="15.95">
      <c r="A79" s="345">
        <f t="shared" ca="1" si="2"/>
        <v>6.4689434020803183E-2</v>
      </c>
      <c r="B79" s="347" t="str">
        <f t="shared" si="3"/>
        <v>Base Case</v>
      </c>
      <c r="C79" s="346">
        <v>67</v>
      </c>
      <c r="D79" s="342">
        <v>184567.22517716466</v>
      </c>
    </row>
    <row r="80" spans="1:4" ht="15.95">
      <c r="A80" s="345">
        <f t="shared" ca="1" si="2"/>
        <v>0.89792154375772393</v>
      </c>
      <c r="B80" s="347" t="str">
        <f t="shared" si="3"/>
        <v>Base Case</v>
      </c>
      <c r="C80" s="346">
        <v>68</v>
      </c>
      <c r="D80" s="342">
        <v>184567.22517716466</v>
      </c>
    </row>
    <row r="81" spans="1:4" ht="15.95">
      <c r="A81" s="345">
        <f t="shared" ca="1" si="2"/>
        <v>0.71086821394226041</v>
      </c>
      <c r="B81" s="347" t="str">
        <f t="shared" si="3"/>
        <v>Base Case</v>
      </c>
      <c r="C81" s="346">
        <v>69</v>
      </c>
      <c r="D81" s="342">
        <v>184567.22517716466</v>
      </c>
    </row>
    <row r="82" spans="1:4" ht="15.95">
      <c r="A82" s="345">
        <f t="shared" ca="1" si="2"/>
        <v>0.5429592323431045</v>
      </c>
      <c r="B82" s="347" t="str">
        <f t="shared" si="3"/>
        <v>Base Case</v>
      </c>
      <c r="C82" s="346">
        <v>70</v>
      </c>
      <c r="D82" s="342">
        <v>184567.22517716466</v>
      </c>
    </row>
    <row r="83" spans="1:4" ht="15.95">
      <c r="A83" s="345">
        <f t="shared" ca="1" si="2"/>
        <v>0.75373587504097883</v>
      </c>
      <c r="B83" s="347" t="str">
        <f t="shared" si="3"/>
        <v>Base Case</v>
      </c>
      <c r="C83" s="346">
        <v>71</v>
      </c>
      <c r="D83" s="342">
        <v>184567.22517716466</v>
      </c>
    </row>
    <row r="84" spans="1:4" ht="15.95">
      <c r="A84" s="345">
        <f t="shared" ca="1" si="2"/>
        <v>0.53694298934745566</v>
      </c>
      <c r="B84" s="347" t="str">
        <f t="shared" si="3"/>
        <v>Base Case</v>
      </c>
      <c r="C84" s="346">
        <v>72</v>
      </c>
      <c r="D84" s="342">
        <v>184567.22517716466</v>
      </c>
    </row>
    <row r="85" spans="1:4" ht="15.95">
      <c r="A85" s="345">
        <f t="shared" ca="1" si="2"/>
        <v>0.84978526531601806</v>
      </c>
      <c r="B85" s="347" t="str">
        <f t="shared" si="3"/>
        <v>Base Case</v>
      </c>
      <c r="C85" s="346">
        <v>73</v>
      </c>
      <c r="D85" s="342">
        <v>184567.22517716466</v>
      </c>
    </row>
    <row r="86" spans="1:4" ht="15.95">
      <c r="A86" s="345">
        <f t="shared" ca="1" si="2"/>
        <v>0.40404678311860909</v>
      </c>
      <c r="B86" s="347" t="str">
        <f t="shared" si="3"/>
        <v>Base Case</v>
      </c>
      <c r="C86" s="346">
        <v>74</v>
      </c>
      <c r="D86" s="342">
        <v>184567.22517716466</v>
      </c>
    </row>
    <row r="87" spans="1:4" ht="15.95">
      <c r="A87" s="345">
        <f t="shared" ca="1" si="2"/>
        <v>0.36122062745330064</v>
      </c>
      <c r="B87" s="347" t="str">
        <f t="shared" si="3"/>
        <v>Base Case</v>
      </c>
      <c r="C87" s="346">
        <v>75</v>
      </c>
      <c r="D87" s="342">
        <v>184567.22517716466</v>
      </c>
    </row>
    <row r="88" spans="1:4" ht="15.95">
      <c r="A88" s="345">
        <f t="shared" ca="1" si="2"/>
        <v>0.67874644146875518</v>
      </c>
      <c r="B88" s="347" t="str">
        <f t="shared" si="3"/>
        <v>Base Case</v>
      </c>
      <c r="C88" s="346">
        <v>76</v>
      </c>
      <c r="D88" s="342">
        <v>184567.22517716466</v>
      </c>
    </row>
    <row r="89" spans="1:4" ht="15.95">
      <c r="A89" s="345">
        <f t="shared" ca="1" si="2"/>
        <v>0.22745735187732308</v>
      </c>
      <c r="B89" s="347" t="str">
        <f t="shared" si="3"/>
        <v>Base Case</v>
      </c>
      <c r="C89" s="346">
        <v>77</v>
      </c>
      <c r="D89" s="342">
        <v>184567.22517716466</v>
      </c>
    </row>
    <row r="90" spans="1:4" ht="15.95">
      <c r="A90" s="345">
        <f t="shared" ca="1" si="2"/>
        <v>0.27528423145476899</v>
      </c>
      <c r="B90" s="347" t="str">
        <f t="shared" si="3"/>
        <v>Base Case</v>
      </c>
      <c r="C90" s="346">
        <v>78</v>
      </c>
      <c r="D90" s="342">
        <v>184567.22517716466</v>
      </c>
    </row>
    <row r="91" spans="1:4" ht="15.95">
      <c r="A91" s="345">
        <f t="shared" ca="1" si="2"/>
        <v>0.60031835616790641</v>
      </c>
      <c r="B91" s="347" t="str">
        <f t="shared" si="3"/>
        <v>Base Case</v>
      </c>
      <c r="C91" s="346">
        <v>79</v>
      </c>
      <c r="D91" s="342">
        <v>184567.22517716466</v>
      </c>
    </row>
    <row r="92" spans="1:4" ht="15.95">
      <c r="A92" s="345">
        <f t="shared" ca="1" si="2"/>
        <v>8.2707585238427361E-3</v>
      </c>
      <c r="B92" s="347" t="str">
        <f t="shared" si="3"/>
        <v>Base Case</v>
      </c>
      <c r="C92" s="346">
        <v>80</v>
      </c>
      <c r="D92" s="342">
        <v>184567.22517716466</v>
      </c>
    </row>
    <row r="93" spans="1:4" ht="15.95">
      <c r="A93" s="345">
        <f t="shared" ca="1" si="2"/>
        <v>0.22698855207229507</v>
      </c>
      <c r="B93" s="347" t="str">
        <f t="shared" si="3"/>
        <v>Base Case</v>
      </c>
      <c r="C93" s="346">
        <v>81</v>
      </c>
      <c r="D93" s="342">
        <v>184567.22517716466</v>
      </c>
    </row>
    <row r="94" spans="1:4" ht="15.95">
      <c r="A94" s="345">
        <f t="shared" ca="1" si="2"/>
        <v>0.95611318596085981</v>
      </c>
      <c r="B94" s="347" t="str">
        <f t="shared" si="3"/>
        <v>Base Case</v>
      </c>
      <c r="C94" s="346">
        <v>82</v>
      </c>
      <c r="D94" s="342">
        <v>184567.22517716466</v>
      </c>
    </row>
    <row r="95" spans="1:4" ht="15.95">
      <c r="A95" s="345">
        <f t="shared" ca="1" si="2"/>
        <v>9.3763465271361479E-3</v>
      </c>
      <c r="B95" s="347" t="str">
        <f t="shared" si="3"/>
        <v>Base Case</v>
      </c>
      <c r="C95" s="346">
        <v>83</v>
      </c>
      <c r="D95" s="342">
        <v>184567.22517716466</v>
      </c>
    </row>
    <row r="96" spans="1:4" ht="15.95">
      <c r="A96" s="345">
        <f t="shared" ca="1" si="2"/>
        <v>0.38747419276555217</v>
      </c>
      <c r="B96" s="347" t="str">
        <f t="shared" si="3"/>
        <v>Base Case</v>
      </c>
      <c r="C96" s="346">
        <v>84</v>
      </c>
      <c r="D96" s="342">
        <v>184567.22517716466</v>
      </c>
    </row>
    <row r="97" spans="1:4" ht="15.95">
      <c r="A97" s="345">
        <f t="shared" ca="1" si="2"/>
        <v>0.79618131606581155</v>
      </c>
      <c r="B97" s="347" t="str">
        <f t="shared" si="3"/>
        <v>Base Case</v>
      </c>
      <c r="C97" s="346">
        <v>85</v>
      </c>
      <c r="D97" s="342">
        <v>184567.22517716466</v>
      </c>
    </row>
    <row r="98" spans="1:4" ht="15.95">
      <c r="A98" s="345">
        <f t="shared" ca="1" si="2"/>
        <v>0.80021585288482411</v>
      </c>
      <c r="B98" s="347" t="str">
        <f t="shared" si="3"/>
        <v>Base Case</v>
      </c>
      <c r="C98" s="346">
        <v>86</v>
      </c>
      <c r="D98" s="342">
        <v>184567.22517716466</v>
      </c>
    </row>
    <row r="99" spans="1:4" ht="15.95">
      <c r="A99" s="345">
        <f t="shared" ca="1" si="2"/>
        <v>0.53142076581053521</v>
      </c>
      <c r="B99" s="347" t="str">
        <f t="shared" si="3"/>
        <v>Base Case</v>
      </c>
      <c r="C99" s="346">
        <v>87</v>
      </c>
      <c r="D99" s="342">
        <v>184567.22517716466</v>
      </c>
    </row>
    <row r="100" spans="1:4" ht="15.95">
      <c r="A100" s="345">
        <f t="shared" ca="1" si="2"/>
        <v>1.8016605701886457E-2</v>
      </c>
      <c r="B100" s="347" t="str">
        <f t="shared" si="3"/>
        <v>Base Case</v>
      </c>
      <c r="C100" s="346">
        <v>88</v>
      </c>
      <c r="D100" s="342">
        <v>184567.22517716466</v>
      </c>
    </row>
    <row r="101" spans="1:4" ht="15.95">
      <c r="A101" s="345">
        <f t="shared" ca="1" si="2"/>
        <v>0.7681866848989547</v>
      </c>
      <c r="B101" s="347" t="str">
        <f t="shared" si="3"/>
        <v>Base Case</v>
      </c>
      <c r="C101" s="346">
        <v>89</v>
      </c>
      <c r="D101" s="342">
        <v>184567.22517716466</v>
      </c>
    </row>
    <row r="102" spans="1:4" ht="15.95">
      <c r="A102" s="345">
        <f t="shared" ca="1" si="2"/>
        <v>0.79001561143317511</v>
      </c>
      <c r="B102" s="347" t="str">
        <f t="shared" si="3"/>
        <v>Base Case</v>
      </c>
      <c r="C102" s="346">
        <v>90</v>
      </c>
      <c r="D102" s="342">
        <v>184567.22517716466</v>
      </c>
    </row>
    <row r="103" spans="1:4" ht="15.95">
      <c r="A103" s="345">
        <f t="shared" ca="1" si="2"/>
        <v>0.1979938221520241</v>
      </c>
      <c r="B103" s="347" t="str">
        <f t="shared" si="3"/>
        <v>Base Case</v>
      </c>
      <c r="C103" s="346">
        <v>91</v>
      </c>
      <c r="D103" s="342">
        <v>184567.22517716466</v>
      </c>
    </row>
    <row r="104" spans="1:4" ht="15.95">
      <c r="A104" s="345">
        <f t="shared" ca="1" si="2"/>
        <v>0.71303650417206721</v>
      </c>
      <c r="B104" s="347" t="str">
        <f t="shared" si="3"/>
        <v>Base Case</v>
      </c>
      <c r="C104" s="346">
        <v>92</v>
      </c>
      <c r="D104" s="342">
        <v>184567.22517716466</v>
      </c>
    </row>
    <row r="105" spans="1:4" ht="15.95">
      <c r="A105" s="345">
        <f t="shared" ca="1" si="2"/>
        <v>2.514063496065333E-2</v>
      </c>
      <c r="B105" s="347" t="str">
        <f t="shared" si="3"/>
        <v>Base Case</v>
      </c>
      <c r="C105" s="346">
        <v>93</v>
      </c>
      <c r="D105" s="342">
        <v>184567.22517716466</v>
      </c>
    </row>
    <row r="106" spans="1:4" ht="15.95">
      <c r="A106" s="345">
        <f t="shared" ca="1" si="2"/>
        <v>0.19927670389917951</v>
      </c>
      <c r="B106" s="347" t="str">
        <f t="shared" si="3"/>
        <v>Base Case</v>
      </c>
      <c r="C106" s="346">
        <v>94</v>
      </c>
      <c r="D106" s="342">
        <v>184567.22517716466</v>
      </c>
    </row>
    <row r="107" spans="1:4" ht="15.95">
      <c r="A107" s="345">
        <f t="shared" ca="1" si="2"/>
        <v>0.7217341871999432</v>
      </c>
      <c r="B107" s="347" t="str">
        <f t="shared" si="3"/>
        <v>Base Case</v>
      </c>
      <c r="C107" s="346">
        <v>95</v>
      </c>
      <c r="D107" s="342">
        <v>184567.22517716466</v>
      </c>
    </row>
    <row r="108" spans="1:4" ht="15.95">
      <c r="A108" s="345">
        <f t="shared" ca="1" si="2"/>
        <v>0.70576031408695861</v>
      </c>
      <c r="B108" s="347" t="str">
        <f t="shared" si="3"/>
        <v>Base Case</v>
      </c>
      <c r="C108" s="346">
        <v>96</v>
      </c>
      <c r="D108" s="342">
        <v>184567.22517716466</v>
      </c>
    </row>
    <row r="109" spans="1:4" ht="15.95">
      <c r="A109" s="345">
        <f t="shared" ca="1" si="2"/>
        <v>0.41756786077178254</v>
      </c>
      <c r="B109" s="347" t="str">
        <f t="shared" si="3"/>
        <v>Base Case</v>
      </c>
      <c r="C109" s="346">
        <v>97</v>
      </c>
      <c r="D109" s="342">
        <v>184567.22517716466</v>
      </c>
    </row>
    <row r="110" spans="1:4" ht="15.95">
      <c r="A110" s="345">
        <f t="shared" ca="1" si="2"/>
        <v>0.23432411079272697</v>
      </c>
      <c r="B110" s="347" t="str">
        <f t="shared" si="3"/>
        <v>Base Case</v>
      </c>
      <c r="C110" s="346">
        <v>98</v>
      </c>
      <c r="D110" s="342">
        <v>184567.22517716466</v>
      </c>
    </row>
    <row r="111" spans="1:4" ht="15.95">
      <c r="A111" s="345">
        <f t="shared" ca="1" si="2"/>
        <v>0.57299384505382212</v>
      </c>
      <c r="B111" s="347" t="str">
        <f t="shared" si="3"/>
        <v>Base Case</v>
      </c>
      <c r="C111" s="346">
        <v>99</v>
      </c>
      <c r="D111" s="342">
        <v>184567.22517716466</v>
      </c>
    </row>
    <row r="112" spans="1:4" ht="15.95">
      <c r="A112" s="345">
        <f t="shared" ca="1" si="2"/>
        <v>0.33152788763110841</v>
      </c>
      <c r="B112" s="347" t="str">
        <f t="shared" si="3"/>
        <v>Base Case</v>
      </c>
      <c r="C112" s="346">
        <v>100</v>
      </c>
      <c r="D112" s="342">
        <v>184567.22517716466</v>
      </c>
    </row>
    <row r="113" spans="1:4" ht="15.95">
      <c r="A113" s="345">
        <f t="shared" ca="1" si="2"/>
        <v>4.769889302601471E-3</v>
      </c>
      <c r="B113" s="347" t="str">
        <f t="shared" si="3"/>
        <v>Base Case</v>
      </c>
      <c r="C113" s="346">
        <v>101</v>
      </c>
      <c r="D113" s="342">
        <v>184567.22517716466</v>
      </c>
    </row>
    <row r="114" spans="1:4" ht="15.95">
      <c r="A114" s="345">
        <f t="shared" ca="1" si="2"/>
        <v>0.39073476481207625</v>
      </c>
      <c r="B114" s="347" t="str">
        <f t="shared" si="3"/>
        <v>Base Case</v>
      </c>
      <c r="C114" s="346">
        <v>102</v>
      </c>
      <c r="D114" s="342">
        <v>184567.22517716466</v>
      </c>
    </row>
    <row r="115" spans="1:4" ht="15.95">
      <c r="A115" s="345">
        <f t="shared" ca="1" si="2"/>
        <v>0.78399020680916132</v>
      </c>
      <c r="B115" s="347" t="str">
        <f t="shared" si="3"/>
        <v>Base Case</v>
      </c>
      <c r="C115" s="346">
        <v>103</v>
      </c>
      <c r="D115" s="342">
        <v>184567.22517716466</v>
      </c>
    </row>
    <row r="116" spans="1:4" ht="15.95">
      <c r="A116" s="345">
        <f t="shared" ca="1" si="2"/>
        <v>0.73967069448085654</v>
      </c>
      <c r="B116" s="347" t="str">
        <f t="shared" si="3"/>
        <v>Base Case</v>
      </c>
      <c r="C116" s="346">
        <v>104</v>
      </c>
      <c r="D116" s="342">
        <v>184567.22517716466</v>
      </c>
    </row>
    <row r="117" spans="1:4" ht="15.95">
      <c r="A117" s="345">
        <f t="shared" ca="1" si="2"/>
        <v>0.60003284163875137</v>
      </c>
      <c r="B117" s="347" t="str">
        <f t="shared" si="3"/>
        <v>Base Case</v>
      </c>
      <c r="C117" s="346">
        <v>105</v>
      </c>
      <c r="D117" s="342">
        <v>184567.22517716466</v>
      </c>
    </row>
    <row r="118" spans="1:4" ht="15.95">
      <c r="A118" s="345">
        <f t="shared" ca="1" si="2"/>
        <v>0.35351118424137051</v>
      </c>
      <c r="B118" s="347" t="str">
        <f t="shared" si="3"/>
        <v>Base Case</v>
      </c>
      <c r="C118" s="346">
        <v>106</v>
      </c>
      <c r="D118" s="342">
        <v>184567.22517716466</v>
      </c>
    </row>
    <row r="119" spans="1:4" ht="15.95">
      <c r="A119" s="345">
        <f t="shared" ca="1" si="2"/>
        <v>0.38756361079688184</v>
      </c>
      <c r="B119" s="347" t="str">
        <f t="shared" si="3"/>
        <v>Base Case</v>
      </c>
      <c r="C119" s="346">
        <v>107</v>
      </c>
      <c r="D119" s="342">
        <v>184567.22517716466</v>
      </c>
    </row>
    <row r="120" spans="1:4" ht="15.95">
      <c r="A120" s="345">
        <f t="shared" ca="1" si="2"/>
        <v>6.1216704782765641E-2</v>
      </c>
      <c r="B120" s="347" t="str">
        <f t="shared" si="3"/>
        <v>Base Case</v>
      </c>
      <c r="C120" s="346">
        <v>108</v>
      </c>
      <c r="D120" s="342">
        <v>184567.22517716466</v>
      </c>
    </row>
    <row r="121" spans="1:4" ht="15.95">
      <c r="A121" s="345">
        <f t="shared" ca="1" si="2"/>
        <v>0.91148447261681564</v>
      </c>
      <c r="B121" s="347" t="str">
        <f t="shared" si="3"/>
        <v>Base Case</v>
      </c>
      <c r="C121" s="346">
        <v>109</v>
      </c>
      <c r="D121" s="342">
        <v>184567.22517716466</v>
      </c>
    </row>
    <row r="122" spans="1:4" ht="15.95">
      <c r="A122" s="345">
        <f t="shared" ca="1" si="2"/>
        <v>0.39504364317362195</v>
      </c>
      <c r="B122" s="347" t="str">
        <f t="shared" si="3"/>
        <v>Base Case</v>
      </c>
      <c r="C122" s="346">
        <v>110</v>
      </c>
      <c r="D122" s="342">
        <v>184567.22517716466</v>
      </c>
    </row>
    <row r="123" spans="1:4" ht="15.95">
      <c r="A123" s="345">
        <f t="shared" ca="1" si="2"/>
        <v>0.97010253800239021</v>
      </c>
      <c r="B123" s="347" t="str">
        <f t="shared" si="3"/>
        <v>Base Case</v>
      </c>
      <c r="C123" s="346">
        <v>111</v>
      </c>
      <c r="D123" s="342">
        <v>184567.22517716466</v>
      </c>
    </row>
    <row r="124" spans="1:4" ht="15.95">
      <c r="A124" s="345">
        <f t="shared" ca="1" si="2"/>
        <v>0.49398869590509953</v>
      </c>
      <c r="B124" s="347" t="str">
        <f t="shared" si="3"/>
        <v>Base Case</v>
      </c>
      <c r="C124" s="346">
        <v>112</v>
      </c>
      <c r="D124" s="342">
        <v>184567.22517716466</v>
      </c>
    </row>
    <row r="125" spans="1:4" ht="15.95">
      <c r="A125" s="345">
        <f t="shared" ca="1" si="2"/>
        <v>0.84880821328029232</v>
      </c>
      <c r="B125" s="347" t="str">
        <f t="shared" si="3"/>
        <v>Base Case</v>
      </c>
      <c r="C125" s="346">
        <v>113</v>
      </c>
      <c r="D125" s="342">
        <v>184567.22517716466</v>
      </c>
    </row>
    <row r="126" spans="1:4" ht="15.95">
      <c r="A126" s="345">
        <f t="shared" ca="1" si="2"/>
        <v>0.11933647983675122</v>
      </c>
      <c r="B126" s="347" t="str">
        <f t="shared" si="3"/>
        <v>Base Case</v>
      </c>
      <c r="C126" s="346">
        <v>114</v>
      </c>
      <c r="D126" s="342">
        <v>184567.22517716466</v>
      </c>
    </row>
    <row r="127" spans="1:4" ht="15.95">
      <c r="A127" s="345">
        <f t="shared" ca="1" si="2"/>
        <v>0.46005351048551835</v>
      </c>
      <c r="B127" s="347" t="str">
        <f t="shared" si="3"/>
        <v>Base Case</v>
      </c>
      <c r="C127" s="346">
        <v>115</v>
      </c>
      <c r="D127" s="342">
        <v>184567.22517716466</v>
      </c>
    </row>
    <row r="128" spans="1:4" ht="15.95">
      <c r="A128" s="345">
        <f t="shared" ca="1" si="2"/>
        <v>0.20187766617025382</v>
      </c>
      <c r="B128" s="347" t="str">
        <f t="shared" si="3"/>
        <v>Base Case</v>
      </c>
      <c r="C128" s="346">
        <v>116</v>
      </c>
      <c r="D128" s="342">
        <v>184567.22517716466</v>
      </c>
    </row>
    <row r="129" spans="1:4" ht="15.95">
      <c r="A129" s="345">
        <f t="shared" ca="1" si="2"/>
        <v>0.45290713053808263</v>
      </c>
      <c r="B129" s="347" t="str">
        <f t="shared" si="3"/>
        <v>Base Case</v>
      </c>
      <c r="C129" s="346">
        <v>117</v>
      </c>
      <c r="D129" s="342">
        <v>184567.22517716466</v>
      </c>
    </row>
    <row r="130" spans="1:4" ht="15.95">
      <c r="A130" s="345">
        <f t="shared" ca="1" si="2"/>
        <v>0.74926986978451138</v>
      </c>
      <c r="B130" s="347" t="str">
        <f t="shared" si="3"/>
        <v>Base Case</v>
      </c>
      <c r="C130" s="346">
        <v>118</v>
      </c>
      <c r="D130" s="342">
        <v>184567.22517716466</v>
      </c>
    </row>
    <row r="131" spans="1:4" ht="15.95">
      <c r="A131" s="345">
        <f t="shared" ca="1" si="2"/>
        <v>0.71297269282478914</v>
      </c>
      <c r="B131" s="347" t="str">
        <f t="shared" si="3"/>
        <v>Base Case</v>
      </c>
      <c r="C131" s="346">
        <v>119</v>
      </c>
      <c r="D131" s="342">
        <v>184567.22517716466</v>
      </c>
    </row>
    <row r="132" spans="1:4" ht="15.95">
      <c r="A132" s="345">
        <f t="shared" ca="1" si="2"/>
        <v>0.76212895620799292</v>
      </c>
      <c r="B132" s="347" t="str">
        <f t="shared" si="3"/>
        <v>Base Case</v>
      </c>
      <c r="C132" s="346">
        <v>120</v>
      </c>
      <c r="D132" s="342">
        <v>184567.22517716466</v>
      </c>
    </row>
    <row r="133" spans="1:4" ht="15.95">
      <c r="A133" s="345">
        <f t="shared" ca="1" si="2"/>
        <v>0.65840982477323906</v>
      </c>
      <c r="B133" s="347" t="str">
        <f t="shared" si="3"/>
        <v>Base Case</v>
      </c>
      <c r="C133" s="346">
        <v>121</v>
      </c>
      <c r="D133" s="342">
        <v>184567.22517716466</v>
      </c>
    </row>
    <row r="134" spans="1:4" ht="15.95">
      <c r="A134" s="345">
        <f t="shared" ca="1" si="2"/>
        <v>0.76490465360755822</v>
      </c>
      <c r="B134" s="347" t="str">
        <f t="shared" si="3"/>
        <v>Base Case</v>
      </c>
      <c r="C134" s="346">
        <v>122</v>
      </c>
      <c r="D134" s="342">
        <v>184567.22517716466</v>
      </c>
    </row>
    <row r="135" spans="1:4" ht="15.95">
      <c r="A135" s="345">
        <f t="shared" ca="1" si="2"/>
        <v>0.2084330655112101</v>
      </c>
      <c r="B135" s="347" t="str">
        <f t="shared" si="3"/>
        <v>Base Case</v>
      </c>
      <c r="C135" s="346">
        <v>123</v>
      </c>
      <c r="D135" s="342">
        <v>184567.22517716466</v>
      </c>
    </row>
    <row r="136" spans="1:4" ht="15.95">
      <c r="A136" s="345">
        <f t="shared" ca="1" si="2"/>
        <v>0.31623465042189192</v>
      </c>
      <c r="B136" s="347" t="str">
        <f t="shared" si="3"/>
        <v>Base Case</v>
      </c>
      <c r="C136" s="346">
        <v>124</v>
      </c>
      <c r="D136" s="342">
        <v>184567.22517716466</v>
      </c>
    </row>
    <row r="137" spans="1:4" ht="15.95">
      <c r="A137" s="345">
        <f t="shared" ca="1" si="2"/>
        <v>0.90202424790432312</v>
      </c>
      <c r="B137" s="347" t="str">
        <f t="shared" si="3"/>
        <v>Base Case</v>
      </c>
      <c r="C137" s="346">
        <v>125</v>
      </c>
      <c r="D137" s="342">
        <v>184567.22517716466</v>
      </c>
    </row>
    <row r="138" spans="1:4" ht="15.95">
      <c r="A138" s="345">
        <f t="shared" ca="1" si="2"/>
        <v>0.20056330322643645</v>
      </c>
      <c r="B138" s="347" t="str">
        <f t="shared" si="3"/>
        <v>Base Case</v>
      </c>
      <c r="C138" s="346">
        <v>126</v>
      </c>
      <c r="D138" s="342">
        <v>184567.22517716466</v>
      </c>
    </row>
    <row r="139" spans="1:4" ht="15.95">
      <c r="A139" s="345">
        <f t="shared" ca="1" si="2"/>
        <v>0.79665263253382479</v>
      </c>
      <c r="B139" s="347" t="str">
        <f t="shared" si="3"/>
        <v>Base Case</v>
      </c>
      <c r="C139" s="346">
        <v>127</v>
      </c>
      <c r="D139" s="342">
        <v>184567.22517716466</v>
      </c>
    </row>
    <row r="140" spans="1:4" ht="15.95">
      <c r="A140" s="345">
        <f t="shared" ca="1" si="2"/>
        <v>0.19944625051596987</v>
      </c>
      <c r="B140" s="347" t="str">
        <f t="shared" si="3"/>
        <v>Base Case</v>
      </c>
      <c r="C140" s="346">
        <v>128</v>
      </c>
      <c r="D140" s="342">
        <v>184567.22517716466</v>
      </c>
    </row>
    <row r="141" spans="1:4" ht="15.95">
      <c r="A141" s="345">
        <f t="shared" ref="A141:A204" ca="1" si="4">RAND()</f>
        <v>3.4669953723394431E-2</v>
      </c>
      <c r="B141" s="347" t="str">
        <f t="shared" ref="B141:B204" si="5">IF(OR($B$1=1, $B$1=2), IF(A141&lt;=(B$5-B$4)/(B$6-B$4),$B$4+SQRT(A141*(B$6-B$4)*(B$5-B$4)),B$6-SQRT((1-A141)*(B$6-B$4)*(-B$5+B$6))),IF($B$1=3, "All Simuls","Base Case"))</f>
        <v>Base Case</v>
      </c>
      <c r="C141" s="346">
        <v>129</v>
      </c>
      <c r="D141" s="342">
        <v>184567.22517716466</v>
      </c>
    </row>
    <row r="142" spans="1:4" ht="15.95">
      <c r="A142" s="345">
        <f t="shared" ca="1" si="4"/>
        <v>0.51560045298660007</v>
      </c>
      <c r="B142" s="347" t="str">
        <f t="shared" si="5"/>
        <v>Base Case</v>
      </c>
      <c r="C142" s="346">
        <v>130</v>
      </c>
      <c r="D142" s="342">
        <v>184567.22517716466</v>
      </c>
    </row>
    <row r="143" spans="1:4" ht="15.95">
      <c r="A143" s="345">
        <f t="shared" ca="1" si="4"/>
        <v>0.3821494362044241</v>
      </c>
      <c r="B143" s="347" t="str">
        <f t="shared" si="5"/>
        <v>Base Case</v>
      </c>
      <c r="C143" s="346">
        <v>131</v>
      </c>
      <c r="D143" s="342">
        <v>184567.22517716466</v>
      </c>
    </row>
    <row r="144" spans="1:4" ht="15.95">
      <c r="A144" s="345">
        <f t="shared" ca="1" si="4"/>
        <v>0.2720862108272859</v>
      </c>
      <c r="B144" s="347" t="str">
        <f t="shared" si="5"/>
        <v>Base Case</v>
      </c>
      <c r="C144" s="346">
        <v>132</v>
      </c>
      <c r="D144" s="342">
        <v>184567.22517716466</v>
      </c>
    </row>
    <row r="145" spans="1:4" ht="15.95">
      <c r="A145" s="345">
        <f t="shared" ca="1" si="4"/>
        <v>0.22114068391958985</v>
      </c>
      <c r="B145" s="347" t="str">
        <f t="shared" si="5"/>
        <v>Base Case</v>
      </c>
      <c r="C145" s="346">
        <v>133</v>
      </c>
      <c r="D145" s="342">
        <v>184567.22517716466</v>
      </c>
    </row>
    <row r="146" spans="1:4" ht="15.95">
      <c r="A146" s="345">
        <f t="shared" ca="1" si="4"/>
        <v>0.63156534256324992</v>
      </c>
      <c r="B146" s="347" t="str">
        <f t="shared" si="5"/>
        <v>Base Case</v>
      </c>
      <c r="C146" s="346">
        <v>134</v>
      </c>
      <c r="D146" s="342">
        <v>184567.22517716466</v>
      </c>
    </row>
    <row r="147" spans="1:4" ht="15.95">
      <c r="A147" s="345">
        <f t="shared" ca="1" si="4"/>
        <v>0.41650405760489029</v>
      </c>
      <c r="B147" s="347" t="str">
        <f t="shared" si="5"/>
        <v>Base Case</v>
      </c>
      <c r="C147" s="346">
        <v>135</v>
      </c>
      <c r="D147" s="342">
        <v>184567.22517716466</v>
      </c>
    </row>
    <row r="148" spans="1:4" ht="15.95">
      <c r="A148" s="345">
        <f t="shared" ca="1" si="4"/>
        <v>0.96089614964871994</v>
      </c>
      <c r="B148" s="347" t="str">
        <f t="shared" si="5"/>
        <v>Base Case</v>
      </c>
      <c r="C148" s="346">
        <v>136</v>
      </c>
      <c r="D148" s="342">
        <v>184567.22517716466</v>
      </c>
    </row>
    <row r="149" spans="1:4" ht="15.95">
      <c r="A149" s="345">
        <f t="shared" ca="1" si="4"/>
        <v>2.5353700752336894E-2</v>
      </c>
      <c r="B149" s="347" t="str">
        <f t="shared" si="5"/>
        <v>Base Case</v>
      </c>
      <c r="C149" s="346">
        <v>137</v>
      </c>
      <c r="D149" s="342">
        <v>184567.22517716466</v>
      </c>
    </row>
    <row r="150" spans="1:4" ht="15.95">
      <c r="A150" s="345">
        <f t="shared" ca="1" si="4"/>
        <v>0.9631168520517851</v>
      </c>
      <c r="B150" s="347" t="str">
        <f t="shared" si="5"/>
        <v>Base Case</v>
      </c>
      <c r="C150" s="346">
        <v>138</v>
      </c>
      <c r="D150" s="342">
        <v>184567.22517716466</v>
      </c>
    </row>
    <row r="151" spans="1:4" ht="15.95">
      <c r="A151" s="345">
        <f t="shared" ca="1" si="4"/>
        <v>0.61454346117718717</v>
      </c>
      <c r="B151" s="347" t="str">
        <f t="shared" si="5"/>
        <v>Base Case</v>
      </c>
      <c r="C151" s="346">
        <v>139</v>
      </c>
      <c r="D151" s="342">
        <v>184567.22517716466</v>
      </c>
    </row>
    <row r="152" spans="1:4" ht="15.95">
      <c r="A152" s="345">
        <f t="shared" ca="1" si="4"/>
        <v>0.77605565572617352</v>
      </c>
      <c r="B152" s="347" t="str">
        <f t="shared" si="5"/>
        <v>Base Case</v>
      </c>
      <c r="C152" s="346">
        <v>140</v>
      </c>
      <c r="D152" s="342">
        <v>184567.22517716466</v>
      </c>
    </row>
    <row r="153" spans="1:4" ht="15.95">
      <c r="A153" s="345">
        <f t="shared" ca="1" si="4"/>
        <v>0.55473726459930794</v>
      </c>
      <c r="B153" s="347" t="str">
        <f t="shared" si="5"/>
        <v>Base Case</v>
      </c>
      <c r="C153" s="346">
        <v>141</v>
      </c>
      <c r="D153" s="342">
        <v>184567.22517716466</v>
      </c>
    </row>
    <row r="154" spans="1:4" ht="15.95">
      <c r="A154" s="345">
        <f t="shared" ca="1" si="4"/>
        <v>0.72082446897654484</v>
      </c>
      <c r="B154" s="347" t="str">
        <f t="shared" si="5"/>
        <v>Base Case</v>
      </c>
      <c r="C154" s="346">
        <v>142</v>
      </c>
      <c r="D154" s="342">
        <v>184567.22517716466</v>
      </c>
    </row>
    <row r="155" spans="1:4" ht="15.95">
      <c r="A155" s="345">
        <f t="shared" ca="1" si="4"/>
        <v>0.63344843591692102</v>
      </c>
      <c r="B155" s="347" t="str">
        <f t="shared" si="5"/>
        <v>Base Case</v>
      </c>
      <c r="C155" s="346">
        <v>143</v>
      </c>
      <c r="D155" s="342">
        <v>184567.22517716466</v>
      </c>
    </row>
    <row r="156" spans="1:4" ht="15.95">
      <c r="A156" s="345">
        <f t="shared" ca="1" si="4"/>
        <v>0.95542452872725203</v>
      </c>
      <c r="B156" s="347" t="str">
        <f t="shared" si="5"/>
        <v>Base Case</v>
      </c>
      <c r="C156" s="346">
        <v>144</v>
      </c>
      <c r="D156" s="342">
        <v>184567.22517716466</v>
      </c>
    </row>
    <row r="157" spans="1:4" ht="15.95">
      <c r="A157" s="345">
        <f t="shared" ca="1" si="4"/>
        <v>0.81130650147656402</v>
      </c>
      <c r="B157" s="347" t="str">
        <f t="shared" si="5"/>
        <v>Base Case</v>
      </c>
      <c r="C157" s="346">
        <v>145</v>
      </c>
      <c r="D157" s="342">
        <v>184567.22517716466</v>
      </c>
    </row>
    <row r="158" spans="1:4" ht="15.95">
      <c r="A158" s="345">
        <f t="shared" ca="1" si="4"/>
        <v>0.92634298631974665</v>
      </c>
      <c r="B158" s="347" t="str">
        <f t="shared" si="5"/>
        <v>Base Case</v>
      </c>
      <c r="C158" s="346">
        <v>146</v>
      </c>
      <c r="D158" s="342">
        <v>184567.22517716466</v>
      </c>
    </row>
    <row r="159" spans="1:4" ht="15.95">
      <c r="A159" s="345">
        <f t="shared" ca="1" si="4"/>
        <v>0.13337402215984684</v>
      </c>
      <c r="B159" s="347" t="str">
        <f t="shared" si="5"/>
        <v>Base Case</v>
      </c>
      <c r="C159" s="346">
        <v>147</v>
      </c>
      <c r="D159" s="342">
        <v>184567.22517716466</v>
      </c>
    </row>
    <row r="160" spans="1:4" ht="15.95">
      <c r="A160" s="345">
        <f t="shared" ca="1" si="4"/>
        <v>0.33221273989019617</v>
      </c>
      <c r="B160" s="347" t="str">
        <f t="shared" si="5"/>
        <v>Base Case</v>
      </c>
      <c r="C160" s="346">
        <v>148</v>
      </c>
      <c r="D160" s="342">
        <v>184567.22517716466</v>
      </c>
    </row>
    <row r="161" spans="1:4" ht="15.95">
      <c r="A161" s="345">
        <f t="shared" ca="1" si="4"/>
        <v>0.77787087751198347</v>
      </c>
      <c r="B161" s="347" t="str">
        <f t="shared" si="5"/>
        <v>Base Case</v>
      </c>
      <c r="C161" s="346">
        <v>149</v>
      </c>
      <c r="D161" s="342">
        <v>184567.22517716466</v>
      </c>
    </row>
    <row r="162" spans="1:4" ht="15.95">
      <c r="A162" s="345">
        <f t="shared" ca="1" si="4"/>
        <v>3.2906944219602829E-2</v>
      </c>
      <c r="B162" s="347" t="str">
        <f t="shared" si="5"/>
        <v>Base Case</v>
      </c>
      <c r="C162" s="346">
        <v>150</v>
      </c>
      <c r="D162" s="342">
        <v>184567.22517716466</v>
      </c>
    </row>
    <row r="163" spans="1:4" ht="15.95">
      <c r="A163" s="345">
        <f t="shared" ca="1" si="4"/>
        <v>9.0132297496843372E-2</v>
      </c>
      <c r="B163" s="347" t="str">
        <f t="shared" si="5"/>
        <v>Base Case</v>
      </c>
      <c r="C163" s="346">
        <v>151</v>
      </c>
      <c r="D163" s="342">
        <v>184567.22517716466</v>
      </c>
    </row>
    <row r="164" spans="1:4" ht="15.95">
      <c r="A164" s="345">
        <f t="shared" ca="1" si="4"/>
        <v>0.66911629767424075</v>
      </c>
      <c r="B164" s="347" t="str">
        <f t="shared" si="5"/>
        <v>Base Case</v>
      </c>
      <c r="C164" s="346">
        <v>152</v>
      </c>
      <c r="D164" s="342">
        <v>184567.22517716466</v>
      </c>
    </row>
    <row r="165" spans="1:4" ht="15.95">
      <c r="A165" s="345">
        <f t="shared" ca="1" si="4"/>
        <v>0.49936301064135169</v>
      </c>
      <c r="B165" s="347" t="str">
        <f t="shared" si="5"/>
        <v>Base Case</v>
      </c>
      <c r="C165" s="346">
        <v>153</v>
      </c>
      <c r="D165" s="342">
        <v>184567.22517716466</v>
      </c>
    </row>
    <row r="166" spans="1:4" ht="15.95">
      <c r="A166" s="345">
        <f t="shared" ca="1" si="4"/>
        <v>0.56024949246258049</v>
      </c>
      <c r="B166" s="347" t="str">
        <f t="shared" si="5"/>
        <v>Base Case</v>
      </c>
      <c r="C166" s="346">
        <v>154</v>
      </c>
      <c r="D166" s="342">
        <v>184567.22517716466</v>
      </c>
    </row>
    <row r="167" spans="1:4" ht="15.95">
      <c r="A167" s="345">
        <f t="shared" ca="1" si="4"/>
        <v>2.3200471378909571E-2</v>
      </c>
      <c r="B167" s="347" t="str">
        <f t="shared" si="5"/>
        <v>Base Case</v>
      </c>
      <c r="C167" s="346">
        <v>155</v>
      </c>
      <c r="D167" s="342">
        <v>184567.22517716466</v>
      </c>
    </row>
    <row r="168" spans="1:4" ht="15.95">
      <c r="A168" s="345">
        <f t="shared" ca="1" si="4"/>
        <v>0.70004998911277261</v>
      </c>
      <c r="B168" s="347" t="str">
        <f t="shared" si="5"/>
        <v>Base Case</v>
      </c>
      <c r="C168" s="346">
        <v>156</v>
      </c>
      <c r="D168" s="342">
        <v>184567.22517716466</v>
      </c>
    </row>
    <row r="169" spans="1:4" ht="15.95">
      <c r="A169" s="345">
        <f t="shared" ca="1" si="4"/>
        <v>1.2685702375591745E-2</v>
      </c>
      <c r="B169" s="347" t="str">
        <f t="shared" si="5"/>
        <v>Base Case</v>
      </c>
      <c r="C169" s="346">
        <v>157</v>
      </c>
      <c r="D169" s="342">
        <v>184567.22517716466</v>
      </c>
    </row>
    <row r="170" spans="1:4" ht="15.95">
      <c r="A170" s="345">
        <f t="shared" ca="1" si="4"/>
        <v>9.2250067380837852E-2</v>
      </c>
      <c r="B170" s="347" t="str">
        <f t="shared" si="5"/>
        <v>Base Case</v>
      </c>
      <c r="C170" s="346">
        <v>158</v>
      </c>
      <c r="D170" s="342">
        <v>184567.22517716466</v>
      </c>
    </row>
    <row r="171" spans="1:4" ht="15.95">
      <c r="A171" s="345">
        <f t="shared" ca="1" si="4"/>
        <v>0.26226912240203659</v>
      </c>
      <c r="B171" s="347" t="str">
        <f t="shared" si="5"/>
        <v>Base Case</v>
      </c>
      <c r="C171" s="346">
        <v>159</v>
      </c>
      <c r="D171" s="342">
        <v>184567.22517716466</v>
      </c>
    </row>
    <row r="172" spans="1:4" ht="15.95">
      <c r="A172" s="345">
        <f t="shared" ca="1" si="4"/>
        <v>0.2894995902389228</v>
      </c>
      <c r="B172" s="347" t="str">
        <f t="shared" si="5"/>
        <v>Base Case</v>
      </c>
      <c r="C172" s="346">
        <v>160</v>
      </c>
      <c r="D172" s="342">
        <v>184567.22517716466</v>
      </c>
    </row>
    <row r="173" spans="1:4" ht="15.95">
      <c r="A173" s="345">
        <f t="shared" ca="1" si="4"/>
        <v>0.33690575348509366</v>
      </c>
      <c r="B173" s="347" t="str">
        <f t="shared" si="5"/>
        <v>Base Case</v>
      </c>
      <c r="C173" s="346">
        <v>161</v>
      </c>
      <c r="D173" s="342">
        <v>184567.22517716466</v>
      </c>
    </row>
    <row r="174" spans="1:4" ht="15.95">
      <c r="A174" s="345">
        <f t="shared" ca="1" si="4"/>
        <v>0.7270160925375031</v>
      </c>
      <c r="B174" s="347" t="str">
        <f t="shared" si="5"/>
        <v>Base Case</v>
      </c>
      <c r="C174" s="346">
        <v>162</v>
      </c>
      <c r="D174" s="342">
        <v>184567.22517716466</v>
      </c>
    </row>
    <row r="175" spans="1:4" ht="15.95">
      <c r="A175" s="345">
        <f t="shared" ca="1" si="4"/>
        <v>4.2159908059748896E-2</v>
      </c>
      <c r="B175" s="347" t="str">
        <f t="shared" si="5"/>
        <v>Base Case</v>
      </c>
      <c r="C175" s="346">
        <v>163</v>
      </c>
      <c r="D175" s="342">
        <v>184567.22517716466</v>
      </c>
    </row>
    <row r="176" spans="1:4" ht="15.95">
      <c r="A176" s="345">
        <f t="shared" ca="1" si="4"/>
        <v>0.99656518013510831</v>
      </c>
      <c r="B176" s="347" t="str">
        <f t="shared" si="5"/>
        <v>Base Case</v>
      </c>
      <c r="C176" s="346">
        <v>164</v>
      </c>
      <c r="D176" s="342">
        <v>184567.22517716466</v>
      </c>
    </row>
    <row r="177" spans="1:4" ht="15.95">
      <c r="A177" s="345">
        <f t="shared" ca="1" si="4"/>
        <v>1.0566662198577492E-2</v>
      </c>
      <c r="B177" s="347" t="str">
        <f t="shared" si="5"/>
        <v>Base Case</v>
      </c>
      <c r="C177" s="346">
        <v>165</v>
      </c>
      <c r="D177" s="342">
        <v>184567.22517716466</v>
      </c>
    </row>
    <row r="178" spans="1:4" ht="15.95">
      <c r="A178" s="345">
        <f t="shared" ca="1" si="4"/>
        <v>0.70163091886032913</v>
      </c>
      <c r="B178" s="347" t="str">
        <f t="shared" si="5"/>
        <v>Base Case</v>
      </c>
      <c r="C178" s="346">
        <v>166</v>
      </c>
      <c r="D178" s="342">
        <v>184567.22517716466</v>
      </c>
    </row>
    <row r="179" spans="1:4" ht="15.95">
      <c r="A179" s="345">
        <f t="shared" ca="1" si="4"/>
        <v>0.40859604733558641</v>
      </c>
      <c r="B179" s="347" t="str">
        <f t="shared" si="5"/>
        <v>Base Case</v>
      </c>
      <c r="C179" s="346">
        <v>167</v>
      </c>
      <c r="D179" s="342">
        <v>184567.22517716466</v>
      </c>
    </row>
    <row r="180" spans="1:4" ht="15.95">
      <c r="A180" s="345">
        <f t="shared" ca="1" si="4"/>
        <v>0.78328854979410178</v>
      </c>
      <c r="B180" s="347" t="str">
        <f t="shared" si="5"/>
        <v>Base Case</v>
      </c>
      <c r="C180" s="346">
        <v>168</v>
      </c>
      <c r="D180" s="342">
        <v>184567.22517716466</v>
      </c>
    </row>
    <row r="181" spans="1:4" ht="15.95">
      <c r="A181" s="345">
        <f t="shared" ca="1" si="4"/>
        <v>0.61338473921587111</v>
      </c>
      <c r="B181" s="347" t="str">
        <f t="shared" si="5"/>
        <v>Base Case</v>
      </c>
      <c r="C181" s="346">
        <v>169</v>
      </c>
      <c r="D181" s="342">
        <v>184567.22517716466</v>
      </c>
    </row>
    <row r="182" spans="1:4" ht="15.95">
      <c r="A182" s="345">
        <f t="shared" ca="1" si="4"/>
        <v>0.1804007402793526</v>
      </c>
      <c r="B182" s="347" t="str">
        <f t="shared" si="5"/>
        <v>Base Case</v>
      </c>
      <c r="C182" s="346">
        <v>170</v>
      </c>
      <c r="D182" s="342">
        <v>184567.22517716466</v>
      </c>
    </row>
    <row r="183" spans="1:4" ht="15.95">
      <c r="A183" s="345">
        <f t="shared" ca="1" si="4"/>
        <v>0.89798004794975439</v>
      </c>
      <c r="B183" s="347" t="str">
        <f t="shared" si="5"/>
        <v>Base Case</v>
      </c>
      <c r="C183" s="346">
        <v>171</v>
      </c>
      <c r="D183" s="342">
        <v>184567.22517716466</v>
      </c>
    </row>
    <row r="184" spans="1:4" ht="15.95">
      <c r="A184" s="345">
        <f t="shared" ca="1" si="4"/>
        <v>0.1195497171723231</v>
      </c>
      <c r="B184" s="347" t="str">
        <f t="shared" si="5"/>
        <v>Base Case</v>
      </c>
      <c r="C184" s="346">
        <v>172</v>
      </c>
      <c r="D184" s="342">
        <v>184567.22517716466</v>
      </c>
    </row>
    <row r="185" spans="1:4" ht="15.95">
      <c r="A185" s="345">
        <f t="shared" ca="1" si="4"/>
        <v>6.6615342808459155E-2</v>
      </c>
      <c r="B185" s="347" t="str">
        <f t="shared" si="5"/>
        <v>Base Case</v>
      </c>
      <c r="C185" s="346">
        <v>173</v>
      </c>
      <c r="D185" s="342">
        <v>184567.22517716466</v>
      </c>
    </row>
    <row r="186" spans="1:4" ht="15.95">
      <c r="A186" s="345">
        <f t="shared" ca="1" si="4"/>
        <v>0.61727256722843549</v>
      </c>
      <c r="B186" s="347" t="str">
        <f t="shared" si="5"/>
        <v>Base Case</v>
      </c>
      <c r="C186" s="346">
        <v>174</v>
      </c>
      <c r="D186" s="342">
        <v>184567.22517716466</v>
      </c>
    </row>
    <row r="187" spans="1:4" ht="15.95">
      <c r="A187" s="345">
        <f t="shared" ca="1" si="4"/>
        <v>0.86465228331311672</v>
      </c>
      <c r="B187" s="347" t="str">
        <f t="shared" si="5"/>
        <v>Base Case</v>
      </c>
      <c r="C187" s="346">
        <v>175</v>
      </c>
      <c r="D187" s="342">
        <v>184567.22517716466</v>
      </c>
    </row>
    <row r="188" spans="1:4" ht="15.95">
      <c r="A188" s="345">
        <f t="shared" ca="1" si="4"/>
        <v>0.39610834387350236</v>
      </c>
      <c r="B188" s="347" t="str">
        <f t="shared" si="5"/>
        <v>Base Case</v>
      </c>
      <c r="C188" s="346">
        <v>176</v>
      </c>
      <c r="D188" s="342">
        <v>184567.22517716466</v>
      </c>
    </row>
    <row r="189" spans="1:4" ht="15.95">
      <c r="A189" s="345">
        <f t="shared" ca="1" si="4"/>
        <v>0.22778678563577803</v>
      </c>
      <c r="B189" s="347" t="str">
        <f t="shared" si="5"/>
        <v>Base Case</v>
      </c>
      <c r="C189" s="346">
        <v>177</v>
      </c>
      <c r="D189" s="342">
        <v>184567.22517716466</v>
      </c>
    </row>
    <row r="190" spans="1:4" ht="15.95">
      <c r="A190" s="345">
        <f t="shared" ca="1" si="4"/>
        <v>0.82013927722733393</v>
      </c>
      <c r="B190" s="347" t="str">
        <f t="shared" si="5"/>
        <v>Base Case</v>
      </c>
      <c r="C190" s="346">
        <v>178</v>
      </c>
      <c r="D190" s="342">
        <v>184567.22517716466</v>
      </c>
    </row>
    <row r="191" spans="1:4" ht="15.95">
      <c r="A191" s="345">
        <f t="shared" ca="1" si="4"/>
        <v>0.99902524081840915</v>
      </c>
      <c r="B191" s="347" t="str">
        <f t="shared" si="5"/>
        <v>Base Case</v>
      </c>
      <c r="C191" s="346">
        <v>179</v>
      </c>
      <c r="D191" s="342">
        <v>184567.22517716466</v>
      </c>
    </row>
    <row r="192" spans="1:4" ht="15.95">
      <c r="A192" s="345">
        <f t="shared" ca="1" si="4"/>
        <v>0.18804862135922462</v>
      </c>
      <c r="B192" s="347" t="str">
        <f t="shared" si="5"/>
        <v>Base Case</v>
      </c>
      <c r="C192" s="346">
        <v>180</v>
      </c>
      <c r="D192" s="342">
        <v>184567.22517716466</v>
      </c>
    </row>
    <row r="193" spans="1:4" ht="15.95">
      <c r="A193" s="345">
        <f t="shared" ca="1" si="4"/>
        <v>0.66572127700311756</v>
      </c>
      <c r="B193" s="347" t="str">
        <f t="shared" si="5"/>
        <v>Base Case</v>
      </c>
      <c r="C193" s="346">
        <v>181</v>
      </c>
      <c r="D193" s="342">
        <v>184567.22517716466</v>
      </c>
    </row>
    <row r="194" spans="1:4" ht="15.95">
      <c r="A194" s="345">
        <f t="shared" ca="1" si="4"/>
        <v>0.76996942225372855</v>
      </c>
      <c r="B194" s="347" t="str">
        <f t="shared" si="5"/>
        <v>Base Case</v>
      </c>
      <c r="C194" s="346">
        <v>182</v>
      </c>
      <c r="D194" s="342">
        <v>184567.22517716466</v>
      </c>
    </row>
    <row r="195" spans="1:4" ht="15.95">
      <c r="A195" s="345">
        <f t="shared" ca="1" si="4"/>
        <v>0.37470206839171405</v>
      </c>
      <c r="B195" s="347" t="str">
        <f t="shared" si="5"/>
        <v>Base Case</v>
      </c>
      <c r="C195" s="346">
        <v>183</v>
      </c>
      <c r="D195" s="342">
        <v>184567.22517716466</v>
      </c>
    </row>
    <row r="196" spans="1:4" ht="15.95">
      <c r="A196" s="345">
        <f t="shared" ca="1" si="4"/>
        <v>0.33584413194518103</v>
      </c>
      <c r="B196" s="347" t="str">
        <f t="shared" si="5"/>
        <v>Base Case</v>
      </c>
      <c r="C196" s="346">
        <v>184</v>
      </c>
      <c r="D196" s="342">
        <v>184567.22517716466</v>
      </c>
    </row>
    <row r="197" spans="1:4" ht="15.95">
      <c r="A197" s="345">
        <f t="shared" ca="1" si="4"/>
        <v>1.968126506551382E-2</v>
      </c>
      <c r="B197" s="347" t="str">
        <f t="shared" si="5"/>
        <v>Base Case</v>
      </c>
      <c r="C197" s="346">
        <v>185</v>
      </c>
      <c r="D197" s="342">
        <v>184567.22517716466</v>
      </c>
    </row>
    <row r="198" spans="1:4" ht="15.95">
      <c r="A198" s="345">
        <f t="shared" ca="1" si="4"/>
        <v>0.32809697971455376</v>
      </c>
      <c r="B198" s="347" t="str">
        <f t="shared" si="5"/>
        <v>Base Case</v>
      </c>
      <c r="C198" s="346">
        <v>186</v>
      </c>
      <c r="D198" s="342">
        <v>184567.22517716466</v>
      </c>
    </row>
    <row r="199" spans="1:4" ht="15.95">
      <c r="A199" s="345">
        <f t="shared" ca="1" si="4"/>
        <v>2.3537775505489633E-2</v>
      </c>
      <c r="B199" s="347" t="str">
        <f t="shared" si="5"/>
        <v>Base Case</v>
      </c>
      <c r="C199" s="346">
        <v>187</v>
      </c>
      <c r="D199" s="342">
        <v>184567.22517716466</v>
      </c>
    </row>
    <row r="200" spans="1:4" ht="15.95">
      <c r="A200" s="345">
        <f t="shared" ca="1" si="4"/>
        <v>0.72778219640146191</v>
      </c>
      <c r="B200" s="347" t="str">
        <f t="shared" si="5"/>
        <v>Base Case</v>
      </c>
      <c r="C200" s="346">
        <v>188</v>
      </c>
      <c r="D200" s="342">
        <v>184567.22517716466</v>
      </c>
    </row>
    <row r="201" spans="1:4" ht="15.95">
      <c r="A201" s="345">
        <f t="shared" ca="1" si="4"/>
        <v>0.74199727943771221</v>
      </c>
      <c r="B201" s="347" t="str">
        <f t="shared" si="5"/>
        <v>Base Case</v>
      </c>
      <c r="C201" s="346">
        <v>189</v>
      </c>
      <c r="D201" s="342">
        <v>184567.22517716466</v>
      </c>
    </row>
    <row r="202" spans="1:4" ht="15.95">
      <c r="A202" s="345">
        <f t="shared" ca="1" si="4"/>
        <v>0.99614192806293522</v>
      </c>
      <c r="B202" s="347" t="str">
        <f t="shared" si="5"/>
        <v>Base Case</v>
      </c>
      <c r="C202" s="346">
        <v>190</v>
      </c>
      <c r="D202" s="342">
        <v>184567.22517716466</v>
      </c>
    </row>
    <row r="203" spans="1:4" ht="15.95">
      <c r="A203" s="345">
        <f t="shared" ca="1" si="4"/>
        <v>0.43691883482615612</v>
      </c>
      <c r="B203" s="347" t="str">
        <f t="shared" si="5"/>
        <v>Base Case</v>
      </c>
      <c r="C203" s="346">
        <v>191</v>
      </c>
      <c r="D203" s="342">
        <v>184567.22517716466</v>
      </c>
    </row>
    <row r="204" spans="1:4" ht="15.95">
      <c r="A204" s="345">
        <f t="shared" ca="1" si="4"/>
        <v>0.9360535836043915</v>
      </c>
      <c r="B204" s="347" t="str">
        <f t="shared" si="5"/>
        <v>Base Case</v>
      </c>
      <c r="C204" s="346">
        <v>192</v>
      </c>
      <c r="D204" s="342">
        <v>184567.22517716466</v>
      </c>
    </row>
    <row r="205" spans="1:4" ht="15.95">
      <c r="A205" s="345">
        <f t="shared" ref="A205:A268" ca="1" si="6">RAND()</f>
        <v>0.65058177786765392</v>
      </c>
      <c r="B205" s="347" t="str">
        <f t="shared" ref="B205:B268" si="7">IF(OR($B$1=1, $B$1=2), IF(A205&lt;=(B$5-B$4)/(B$6-B$4),$B$4+SQRT(A205*(B$6-B$4)*(B$5-B$4)),B$6-SQRT((1-A205)*(B$6-B$4)*(-B$5+B$6))),IF($B$1=3, "All Simuls","Base Case"))</f>
        <v>Base Case</v>
      </c>
      <c r="C205" s="346">
        <v>193</v>
      </c>
      <c r="D205" s="342">
        <v>184567.22517716466</v>
      </c>
    </row>
    <row r="206" spans="1:4" ht="15.95">
      <c r="A206" s="345">
        <f t="shared" ca="1" si="6"/>
        <v>0.8083344996332873</v>
      </c>
      <c r="B206" s="347" t="str">
        <f t="shared" si="7"/>
        <v>Base Case</v>
      </c>
      <c r="C206" s="346">
        <v>194</v>
      </c>
      <c r="D206" s="342">
        <v>184567.22517716466</v>
      </c>
    </row>
    <row r="207" spans="1:4" ht="15.95">
      <c r="A207" s="345">
        <f t="shared" ca="1" si="6"/>
        <v>0.93131660927931947</v>
      </c>
      <c r="B207" s="347" t="str">
        <f t="shared" si="7"/>
        <v>Base Case</v>
      </c>
      <c r="C207" s="346">
        <v>195</v>
      </c>
      <c r="D207" s="342">
        <v>184567.22517716466</v>
      </c>
    </row>
    <row r="208" spans="1:4" ht="15.95">
      <c r="A208" s="345">
        <f t="shared" ca="1" si="6"/>
        <v>0.31243713720671473</v>
      </c>
      <c r="B208" s="347" t="str">
        <f t="shared" si="7"/>
        <v>Base Case</v>
      </c>
      <c r="C208" s="346">
        <v>196</v>
      </c>
      <c r="D208" s="342">
        <v>184567.22517716466</v>
      </c>
    </row>
    <row r="209" spans="1:4" ht="15.95">
      <c r="A209" s="345">
        <f t="shared" ca="1" si="6"/>
        <v>9.1177635357293507E-2</v>
      </c>
      <c r="B209" s="347" t="str">
        <f t="shared" si="7"/>
        <v>Base Case</v>
      </c>
      <c r="C209" s="346">
        <v>197</v>
      </c>
      <c r="D209" s="342">
        <v>184567.22517716466</v>
      </c>
    </row>
    <row r="210" spans="1:4" ht="15.95">
      <c r="A210" s="345">
        <f t="shared" ca="1" si="6"/>
        <v>0.99306406776864764</v>
      </c>
      <c r="B210" s="347" t="str">
        <f t="shared" si="7"/>
        <v>Base Case</v>
      </c>
      <c r="C210" s="346">
        <v>198</v>
      </c>
      <c r="D210" s="342">
        <v>184567.22517716466</v>
      </c>
    </row>
    <row r="211" spans="1:4" ht="15.95">
      <c r="A211" s="345">
        <f t="shared" ca="1" si="6"/>
        <v>0.38464333032722131</v>
      </c>
      <c r="B211" s="347" t="str">
        <f t="shared" si="7"/>
        <v>Base Case</v>
      </c>
      <c r="C211" s="346">
        <v>199</v>
      </c>
      <c r="D211" s="342">
        <v>184567.22517716466</v>
      </c>
    </row>
    <row r="212" spans="1:4" ht="15.95">
      <c r="A212" s="345">
        <f t="shared" ca="1" si="6"/>
        <v>0.94388579366920999</v>
      </c>
      <c r="B212" s="347" t="str">
        <f t="shared" si="7"/>
        <v>Base Case</v>
      </c>
      <c r="C212" s="346">
        <v>200</v>
      </c>
      <c r="D212" s="342">
        <v>184567.22517716466</v>
      </c>
    </row>
    <row r="213" spans="1:4" ht="15.95">
      <c r="A213" s="345">
        <f t="shared" ca="1" si="6"/>
        <v>0.94614882614331974</v>
      </c>
      <c r="B213" s="347" t="str">
        <f t="shared" si="7"/>
        <v>Base Case</v>
      </c>
      <c r="C213" s="346">
        <v>201</v>
      </c>
      <c r="D213" s="342">
        <v>184567.22517716466</v>
      </c>
    </row>
    <row r="214" spans="1:4" ht="15.95">
      <c r="A214" s="345">
        <f t="shared" ca="1" si="6"/>
        <v>0.3379060412403887</v>
      </c>
      <c r="B214" s="347" t="str">
        <f t="shared" si="7"/>
        <v>Base Case</v>
      </c>
      <c r="C214" s="346">
        <v>202</v>
      </c>
      <c r="D214" s="342">
        <v>184567.22517716466</v>
      </c>
    </row>
    <row r="215" spans="1:4" ht="15.95">
      <c r="A215" s="345">
        <f t="shared" ca="1" si="6"/>
        <v>0.41145375708002563</v>
      </c>
      <c r="B215" s="347" t="str">
        <f t="shared" si="7"/>
        <v>Base Case</v>
      </c>
      <c r="C215" s="346">
        <v>203</v>
      </c>
      <c r="D215" s="342">
        <v>184567.22517716466</v>
      </c>
    </row>
    <row r="216" spans="1:4" ht="15.95">
      <c r="A216" s="345">
        <f t="shared" ca="1" si="6"/>
        <v>0.28242266050454468</v>
      </c>
      <c r="B216" s="347" t="str">
        <f t="shared" si="7"/>
        <v>Base Case</v>
      </c>
      <c r="C216" s="346">
        <v>204</v>
      </c>
      <c r="D216" s="342">
        <v>184567.22517716466</v>
      </c>
    </row>
    <row r="217" spans="1:4" ht="15.95">
      <c r="A217" s="345">
        <f t="shared" ca="1" si="6"/>
        <v>0.9088517966137869</v>
      </c>
      <c r="B217" s="347" t="str">
        <f t="shared" si="7"/>
        <v>Base Case</v>
      </c>
      <c r="C217" s="346">
        <v>205</v>
      </c>
      <c r="D217" s="342">
        <v>184567.22517716466</v>
      </c>
    </row>
    <row r="218" spans="1:4" ht="15.95">
      <c r="A218" s="345">
        <f t="shared" ca="1" si="6"/>
        <v>0.34972205878292162</v>
      </c>
      <c r="B218" s="347" t="str">
        <f t="shared" si="7"/>
        <v>Base Case</v>
      </c>
      <c r="C218" s="346">
        <v>206</v>
      </c>
      <c r="D218" s="342">
        <v>184567.22517716466</v>
      </c>
    </row>
    <row r="219" spans="1:4" ht="15.95">
      <c r="A219" s="345">
        <f t="shared" ca="1" si="6"/>
        <v>0.75338574220260734</v>
      </c>
      <c r="B219" s="347" t="str">
        <f t="shared" si="7"/>
        <v>Base Case</v>
      </c>
      <c r="C219" s="346">
        <v>207</v>
      </c>
      <c r="D219" s="342">
        <v>184567.22517716466</v>
      </c>
    </row>
    <row r="220" spans="1:4" ht="15.95">
      <c r="A220" s="345">
        <f t="shared" ca="1" si="6"/>
        <v>0.51106558344650177</v>
      </c>
      <c r="B220" s="347" t="str">
        <f t="shared" si="7"/>
        <v>Base Case</v>
      </c>
      <c r="C220" s="346">
        <v>208</v>
      </c>
      <c r="D220" s="342">
        <v>184567.22517716466</v>
      </c>
    </row>
    <row r="221" spans="1:4" ht="15.95">
      <c r="A221" s="345">
        <f t="shared" ca="1" si="6"/>
        <v>0.27785656803773184</v>
      </c>
      <c r="B221" s="347" t="str">
        <f t="shared" si="7"/>
        <v>Base Case</v>
      </c>
      <c r="C221" s="346">
        <v>209</v>
      </c>
      <c r="D221" s="342">
        <v>184567.22517716466</v>
      </c>
    </row>
    <row r="222" spans="1:4" ht="15.95">
      <c r="A222" s="345">
        <f t="shared" ca="1" si="6"/>
        <v>0.13781113429836411</v>
      </c>
      <c r="B222" s="347" t="str">
        <f t="shared" si="7"/>
        <v>Base Case</v>
      </c>
      <c r="C222" s="346">
        <v>210</v>
      </c>
      <c r="D222" s="342">
        <v>184567.22517716466</v>
      </c>
    </row>
    <row r="223" spans="1:4" ht="15.95">
      <c r="A223" s="345">
        <f t="shared" ca="1" si="6"/>
        <v>0.94201616317481496</v>
      </c>
      <c r="B223" s="347" t="str">
        <f t="shared" si="7"/>
        <v>Base Case</v>
      </c>
      <c r="C223" s="346">
        <v>211</v>
      </c>
      <c r="D223" s="342">
        <v>184567.22517716466</v>
      </c>
    </row>
    <row r="224" spans="1:4" ht="15.95">
      <c r="A224" s="345">
        <f t="shared" ca="1" si="6"/>
        <v>5.8888166894845995E-2</v>
      </c>
      <c r="B224" s="347" t="str">
        <f t="shared" si="7"/>
        <v>Base Case</v>
      </c>
      <c r="C224" s="346">
        <v>212</v>
      </c>
      <c r="D224" s="342">
        <v>184567.22517716466</v>
      </c>
    </row>
    <row r="225" spans="1:4" ht="15.95">
      <c r="A225" s="345">
        <f t="shared" ca="1" si="6"/>
        <v>0.21057824749667986</v>
      </c>
      <c r="B225" s="347" t="str">
        <f t="shared" si="7"/>
        <v>Base Case</v>
      </c>
      <c r="C225" s="346">
        <v>213</v>
      </c>
      <c r="D225" s="342">
        <v>184567.22517716466</v>
      </c>
    </row>
    <row r="226" spans="1:4" ht="15.95">
      <c r="A226" s="345">
        <f t="shared" ca="1" si="6"/>
        <v>0.56075603670160512</v>
      </c>
      <c r="B226" s="347" t="str">
        <f t="shared" si="7"/>
        <v>Base Case</v>
      </c>
      <c r="C226" s="346">
        <v>214</v>
      </c>
      <c r="D226" s="342">
        <v>184567.22517716466</v>
      </c>
    </row>
    <row r="227" spans="1:4" ht="15.95">
      <c r="A227" s="345">
        <f t="shared" ca="1" si="6"/>
        <v>0.60254023060801021</v>
      </c>
      <c r="B227" s="347" t="str">
        <f t="shared" si="7"/>
        <v>Base Case</v>
      </c>
      <c r="C227" s="346">
        <v>215</v>
      </c>
      <c r="D227" s="342">
        <v>184567.22517716466</v>
      </c>
    </row>
    <row r="228" spans="1:4" ht="15.95">
      <c r="A228" s="345">
        <f t="shared" ca="1" si="6"/>
        <v>0.70609444392528886</v>
      </c>
      <c r="B228" s="347" t="str">
        <f t="shared" si="7"/>
        <v>Base Case</v>
      </c>
      <c r="C228" s="346">
        <v>216</v>
      </c>
      <c r="D228" s="342">
        <v>184567.22517716466</v>
      </c>
    </row>
    <row r="229" spans="1:4" ht="15.95">
      <c r="A229" s="345">
        <f t="shared" ca="1" si="6"/>
        <v>0.40687263914767702</v>
      </c>
      <c r="B229" s="347" t="str">
        <f t="shared" si="7"/>
        <v>Base Case</v>
      </c>
      <c r="C229" s="346">
        <v>217</v>
      </c>
      <c r="D229" s="342">
        <v>184567.22517716466</v>
      </c>
    </row>
    <row r="230" spans="1:4" ht="15.95">
      <c r="A230" s="345">
        <f t="shared" ca="1" si="6"/>
        <v>0.47577006853485737</v>
      </c>
      <c r="B230" s="347" t="str">
        <f t="shared" si="7"/>
        <v>Base Case</v>
      </c>
      <c r="C230" s="346">
        <v>218</v>
      </c>
      <c r="D230" s="342">
        <v>184567.22517716466</v>
      </c>
    </row>
    <row r="231" spans="1:4" ht="15.95">
      <c r="A231" s="345">
        <f t="shared" ca="1" si="6"/>
        <v>0.45080375669694839</v>
      </c>
      <c r="B231" s="347" t="str">
        <f t="shared" si="7"/>
        <v>Base Case</v>
      </c>
      <c r="C231" s="346">
        <v>219</v>
      </c>
      <c r="D231" s="342">
        <v>184567.22517716466</v>
      </c>
    </row>
    <row r="232" spans="1:4" ht="15.95">
      <c r="A232" s="345">
        <f t="shared" ca="1" si="6"/>
        <v>0.9007278222167322</v>
      </c>
      <c r="B232" s="347" t="str">
        <f t="shared" si="7"/>
        <v>Base Case</v>
      </c>
      <c r="C232" s="346">
        <v>220</v>
      </c>
      <c r="D232" s="342">
        <v>184567.22517716466</v>
      </c>
    </row>
    <row r="233" spans="1:4" ht="15.95">
      <c r="A233" s="345">
        <f t="shared" ca="1" si="6"/>
        <v>0.34816260685417322</v>
      </c>
      <c r="B233" s="347" t="str">
        <f t="shared" si="7"/>
        <v>Base Case</v>
      </c>
      <c r="C233" s="346">
        <v>221</v>
      </c>
      <c r="D233" s="342">
        <v>184567.22517716466</v>
      </c>
    </row>
    <row r="234" spans="1:4" ht="15.95">
      <c r="A234" s="345">
        <f t="shared" ca="1" si="6"/>
        <v>0.79510122311236686</v>
      </c>
      <c r="B234" s="347" t="str">
        <f t="shared" si="7"/>
        <v>Base Case</v>
      </c>
      <c r="C234" s="346">
        <v>222</v>
      </c>
      <c r="D234" s="342">
        <v>184567.22517716466</v>
      </c>
    </row>
    <row r="235" spans="1:4" ht="15.95">
      <c r="A235" s="345">
        <f t="shared" ca="1" si="6"/>
        <v>0.29117038418015329</v>
      </c>
      <c r="B235" s="347" t="str">
        <f t="shared" si="7"/>
        <v>Base Case</v>
      </c>
      <c r="C235" s="346">
        <v>223</v>
      </c>
      <c r="D235" s="342">
        <v>184567.22517716466</v>
      </c>
    </row>
    <row r="236" spans="1:4" ht="15.95">
      <c r="A236" s="345">
        <f t="shared" ca="1" si="6"/>
        <v>0.53963023692630174</v>
      </c>
      <c r="B236" s="347" t="str">
        <f t="shared" si="7"/>
        <v>Base Case</v>
      </c>
      <c r="C236" s="346">
        <v>224</v>
      </c>
      <c r="D236" s="342">
        <v>184567.22517716466</v>
      </c>
    </row>
    <row r="237" spans="1:4" ht="15.95">
      <c r="A237" s="345">
        <f t="shared" ca="1" si="6"/>
        <v>0.95154524826954456</v>
      </c>
      <c r="B237" s="347" t="str">
        <f t="shared" si="7"/>
        <v>Base Case</v>
      </c>
      <c r="C237" s="346">
        <v>225</v>
      </c>
      <c r="D237" s="342">
        <v>184567.22517716466</v>
      </c>
    </row>
    <row r="238" spans="1:4" ht="15.95">
      <c r="A238" s="345">
        <f t="shared" ca="1" si="6"/>
        <v>0.95378530078829005</v>
      </c>
      <c r="B238" s="347" t="str">
        <f t="shared" si="7"/>
        <v>Base Case</v>
      </c>
      <c r="C238" s="346">
        <v>226</v>
      </c>
      <c r="D238" s="342">
        <v>184567.22517716466</v>
      </c>
    </row>
    <row r="239" spans="1:4" ht="15.95">
      <c r="A239" s="345">
        <f t="shared" ca="1" si="6"/>
        <v>0.59401564052933398</v>
      </c>
      <c r="B239" s="347" t="str">
        <f t="shared" si="7"/>
        <v>Base Case</v>
      </c>
      <c r="C239" s="346">
        <v>227</v>
      </c>
      <c r="D239" s="342">
        <v>184567.22517716466</v>
      </c>
    </row>
    <row r="240" spans="1:4" ht="15.95">
      <c r="A240" s="345">
        <f t="shared" ca="1" si="6"/>
        <v>0.48907579427607184</v>
      </c>
      <c r="B240" s="347" t="str">
        <f t="shared" si="7"/>
        <v>Base Case</v>
      </c>
      <c r="C240" s="346">
        <v>228</v>
      </c>
      <c r="D240" s="342">
        <v>184567.22517716466</v>
      </c>
    </row>
    <row r="241" spans="1:4" ht="15.95">
      <c r="A241" s="345">
        <f t="shared" ca="1" si="6"/>
        <v>0.78695358643485136</v>
      </c>
      <c r="B241" s="347" t="str">
        <f t="shared" si="7"/>
        <v>Base Case</v>
      </c>
      <c r="C241" s="346">
        <v>229</v>
      </c>
      <c r="D241" s="342">
        <v>184567.22517716466</v>
      </c>
    </row>
    <row r="242" spans="1:4" ht="15.95">
      <c r="A242" s="345">
        <f t="shared" ca="1" si="6"/>
        <v>0.27568177591068987</v>
      </c>
      <c r="B242" s="347" t="str">
        <f t="shared" si="7"/>
        <v>Base Case</v>
      </c>
      <c r="C242" s="346">
        <v>230</v>
      </c>
      <c r="D242" s="342">
        <v>184567.22517716466</v>
      </c>
    </row>
    <row r="243" spans="1:4" ht="15.95">
      <c r="A243" s="345">
        <f t="shared" ca="1" si="6"/>
        <v>0.49231739080916403</v>
      </c>
      <c r="B243" s="347" t="str">
        <f t="shared" si="7"/>
        <v>Base Case</v>
      </c>
      <c r="C243" s="346">
        <v>231</v>
      </c>
      <c r="D243" s="342">
        <v>184567.22517716466</v>
      </c>
    </row>
    <row r="244" spans="1:4" ht="15.95">
      <c r="A244" s="345">
        <f t="shared" ca="1" si="6"/>
        <v>0.73450196240514376</v>
      </c>
      <c r="B244" s="347" t="str">
        <f t="shared" si="7"/>
        <v>Base Case</v>
      </c>
      <c r="C244" s="346">
        <v>232</v>
      </c>
      <c r="D244" s="342">
        <v>184567.22517716466</v>
      </c>
    </row>
    <row r="245" spans="1:4" ht="15.95">
      <c r="A245" s="345">
        <f t="shared" ca="1" si="6"/>
        <v>0.77563481403303136</v>
      </c>
      <c r="B245" s="347" t="str">
        <f t="shared" si="7"/>
        <v>Base Case</v>
      </c>
      <c r="C245" s="346">
        <v>233</v>
      </c>
      <c r="D245" s="342">
        <v>184567.22517716466</v>
      </c>
    </row>
    <row r="246" spans="1:4" ht="15.95">
      <c r="A246" s="345">
        <f t="shared" ca="1" si="6"/>
        <v>0.12908501974955988</v>
      </c>
      <c r="B246" s="347" t="str">
        <f t="shared" si="7"/>
        <v>Base Case</v>
      </c>
      <c r="C246" s="346">
        <v>234</v>
      </c>
      <c r="D246" s="342">
        <v>184567.22517716466</v>
      </c>
    </row>
    <row r="247" spans="1:4" ht="15.95">
      <c r="A247" s="345">
        <f t="shared" ca="1" si="6"/>
        <v>0.86747730349989027</v>
      </c>
      <c r="B247" s="347" t="str">
        <f t="shared" si="7"/>
        <v>Base Case</v>
      </c>
      <c r="C247" s="346">
        <v>235</v>
      </c>
      <c r="D247" s="342">
        <v>184567.22517716466</v>
      </c>
    </row>
    <row r="248" spans="1:4" ht="15.95">
      <c r="A248" s="345">
        <f t="shared" ca="1" si="6"/>
        <v>0.22652204469127302</v>
      </c>
      <c r="B248" s="347" t="str">
        <f t="shared" si="7"/>
        <v>Base Case</v>
      </c>
      <c r="C248" s="346">
        <v>236</v>
      </c>
      <c r="D248" s="342">
        <v>184567.22517716466</v>
      </c>
    </row>
    <row r="249" spans="1:4" ht="15.95">
      <c r="A249" s="345">
        <f t="shared" ca="1" si="6"/>
        <v>0.28675317947242074</v>
      </c>
      <c r="B249" s="347" t="str">
        <f t="shared" si="7"/>
        <v>Base Case</v>
      </c>
      <c r="C249" s="346">
        <v>237</v>
      </c>
      <c r="D249" s="342">
        <v>184567.22517716466</v>
      </c>
    </row>
    <row r="250" spans="1:4" ht="15.95">
      <c r="A250" s="345">
        <f t="shared" ca="1" si="6"/>
        <v>0.25583203799289667</v>
      </c>
      <c r="B250" s="347" t="str">
        <f t="shared" si="7"/>
        <v>Base Case</v>
      </c>
      <c r="C250" s="346">
        <v>238</v>
      </c>
      <c r="D250" s="342">
        <v>184567.22517716466</v>
      </c>
    </row>
    <row r="251" spans="1:4" ht="15.95">
      <c r="A251" s="345">
        <f t="shared" ca="1" si="6"/>
        <v>0.7814596361004148</v>
      </c>
      <c r="B251" s="347" t="str">
        <f t="shared" si="7"/>
        <v>Base Case</v>
      </c>
      <c r="C251" s="346">
        <v>239</v>
      </c>
      <c r="D251" s="342">
        <v>184567.22517716466</v>
      </c>
    </row>
    <row r="252" spans="1:4" ht="15.95">
      <c r="A252" s="345">
        <f t="shared" ca="1" si="6"/>
        <v>0.30450438796249679</v>
      </c>
      <c r="B252" s="347" t="str">
        <f t="shared" si="7"/>
        <v>Base Case</v>
      </c>
      <c r="C252" s="346">
        <v>240</v>
      </c>
      <c r="D252" s="342">
        <v>184567.22517716466</v>
      </c>
    </row>
    <row r="253" spans="1:4" ht="15.95">
      <c r="A253" s="345">
        <f t="shared" ca="1" si="6"/>
        <v>0.66904562615076646</v>
      </c>
      <c r="B253" s="347" t="str">
        <f t="shared" si="7"/>
        <v>Base Case</v>
      </c>
      <c r="C253" s="346">
        <v>241</v>
      </c>
      <c r="D253" s="342">
        <v>184567.22517716466</v>
      </c>
    </row>
    <row r="254" spans="1:4" ht="15.95">
      <c r="A254" s="345">
        <f t="shared" ca="1" si="6"/>
        <v>9.0712433927424119E-2</v>
      </c>
      <c r="B254" s="347" t="str">
        <f t="shared" si="7"/>
        <v>Base Case</v>
      </c>
      <c r="C254" s="346">
        <v>242</v>
      </c>
      <c r="D254" s="342">
        <v>184567.22517716466</v>
      </c>
    </row>
    <row r="255" spans="1:4" ht="15.95">
      <c r="A255" s="345">
        <f t="shared" ca="1" si="6"/>
        <v>0.24270193233113946</v>
      </c>
      <c r="B255" s="347" t="str">
        <f t="shared" si="7"/>
        <v>Base Case</v>
      </c>
      <c r="C255" s="346">
        <v>243</v>
      </c>
      <c r="D255" s="342">
        <v>184567.22517716466</v>
      </c>
    </row>
    <row r="256" spans="1:4" ht="15.95">
      <c r="A256" s="345">
        <f t="shared" ca="1" si="6"/>
        <v>0.38089050628468424</v>
      </c>
      <c r="B256" s="347" t="str">
        <f t="shared" si="7"/>
        <v>Base Case</v>
      </c>
      <c r="C256" s="346">
        <v>244</v>
      </c>
      <c r="D256" s="342">
        <v>184567.22517716466</v>
      </c>
    </row>
    <row r="257" spans="1:4" ht="15.95">
      <c r="A257" s="345">
        <f t="shared" ca="1" si="6"/>
        <v>2.0678595570666203E-2</v>
      </c>
      <c r="B257" s="347" t="str">
        <f t="shared" si="7"/>
        <v>Base Case</v>
      </c>
      <c r="C257" s="346">
        <v>245</v>
      </c>
      <c r="D257" s="342">
        <v>184567.22517716466</v>
      </c>
    </row>
    <row r="258" spans="1:4" ht="15.95">
      <c r="A258" s="345">
        <f t="shared" ca="1" si="6"/>
        <v>0.28410268906236225</v>
      </c>
      <c r="B258" s="347" t="str">
        <f t="shared" si="7"/>
        <v>Base Case</v>
      </c>
      <c r="C258" s="346">
        <v>246</v>
      </c>
      <c r="D258" s="342">
        <v>184567.22517716466</v>
      </c>
    </row>
    <row r="259" spans="1:4" ht="15.95">
      <c r="A259" s="345">
        <f t="shared" ca="1" si="6"/>
        <v>0.46107832277996252</v>
      </c>
      <c r="B259" s="347" t="str">
        <f t="shared" si="7"/>
        <v>Base Case</v>
      </c>
      <c r="C259" s="346">
        <v>247</v>
      </c>
      <c r="D259" s="342">
        <v>184567.22517716466</v>
      </c>
    </row>
    <row r="260" spans="1:4" ht="15.95">
      <c r="A260" s="345">
        <f t="shared" ca="1" si="6"/>
        <v>0.9821727800907285</v>
      </c>
      <c r="B260" s="347" t="str">
        <f t="shared" si="7"/>
        <v>Base Case</v>
      </c>
      <c r="C260" s="346">
        <v>248</v>
      </c>
      <c r="D260" s="342">
        <v>184567.22517716466</v>
      </c>
    </row>
    <row r="261" spans="1:4" ht="15.95">
      <c r="A261" s="345">
        <f t="shared" ca="1" si="6"/>
        <v>2.4440449769734029E-2</v>
      </c>
      <c r="B261" s="347" t="str">
        <f t="shared" si="7"/>
        <v>Base Case</v>
      </c>
      <c r="C261" s="346">
        <v>249</v>
      </c>
      <c r="D261" s="342">
        <v>184567.22517716466</v>
      </c>
    </row>
    <row r="262" spans="1:4" ht="15.95">
      <c r="A262" s="345">
        <f t="shared" ca="1" si="6"/>
        <v>0.60989786356280096</v>
      </c>
      <c r="B262" s="347" t="str">
        <f t="shared" si="7"/>
        <v>Base Case</v>
      </c>
      <c r="C262" s="346">
        <v>250</v>
      </c>
      <c r="D262" s="342">
        <v>184567.22517716466</v>
      </c>
    </row>
    <row r="263" spans="1:4" ht="15.95">
      <c r="A263" s="345">
        <f t="shared" ca="1" si="6"/>
        <v>0.57349875219365121</v>
      </c>
      <c r="B263" s="347" t="str">
        <f t="shared" si="7"/>
        <v>Base Case</v>
      </c>
      <c r="C263" s="346">
        <v>251</v>
      </c>
      <c r="D263" s="342">
        <v>184567.22517716466</v>
      </c>
    </row>
    <row r="264" spans="1:4" ht="15.95">
      <c r="A264" s="345">
        <f t="shared" ca="1" si="6"/>
        <v>0.87733461734884111</v>
      </c>
      <c r="B264" s="347" t="str">
        <f t="shared" si="7"/>
        <v>Base Case</v>
      </c>
      <c r="C264" s="346">
        <v>252</v>
      </c>
      <c r="D264" s="342">
        <v>184567.22517716466</v>
      </c>
    </row>
    <row r="265" spans="1:4" ht="15.95">
      <c r="A265" s="345">
        <f t="shared" ca="1" si="6"/>
        <v>0.54712036534227459</v>
      </c>
      <c r="B265" s="347" t="str">
        <f t="shared" si="7"/>
        <v>Base Case</v>
      </c>
      <c r="C265" s="346">
        <v>253</v>
      </c>
      <c r="D265" s="342">
        <v>184567.22517716466</v>
      </c>
    </row>
    <row r="266" spans="1:4" ht="15.95">
      <c r="A266" s="345">
        <f t="shared" ca="1" si="6"/>
        <v>0.47241193469047693</v>
      </c>
      <c r="B266" s="347" t="str">
        <f t="shared" si="7"/>
        <v>Base Case</v>
      </c>
      <c r="C266" s="346">
        <v>254</v>
      </c>
      <c r="D266" s="342">
        <v>184567.22517716466</v>
      </c>
    </row>
    <row r="267" spans="1:4" ht="15.95">
      <c r="A267" s="345">
        <f t="shared" ca="1" si="6"/>
        <v>0.53145996127585893</v>
      </c>
      <c r="B267" s="347" t="str">
        <f t="shared" si="7"/>
        <v>Base Case</v>
      </c>
      <c r="C267" s="346">
        <v>255</v>
      </c>
      <c r="D267" s="342">
        <v>184567.22517716466</v>
      </c>
    </row>
    <row r="268" spans="1:4" ht="15.95">
      <c r="A268" s="345">
        <f t="shared" ca="1" si="6"/>
        <v>0.32205363682128141</v>
      </c>
      <c r="B268" s="347" t="str">
        <f t="shared" si="7"/>
        <v>Base Case</v>
      </c>
      <c r="C268" s="346">
        <v>256</v>
      </c>
      <c r="D268" s="342">
        <v>184567.22517716466</v>
      </c>
    </row>
    <row r="269" spans="1:4" ht="15.95">
      <c r="A269" s="345">
        <f t="shared" ref="A269:A332" ca="1" si="8">RAND()</f>
        <v>0.2857112537473242</v>
      </c>
      <c r="B269" s="347" t="str">
        <f t="shared" ref="B269:B332" si="9">IF(OR($B$1=1, $B$1=2), IF(A269&lt;=(B$5-B$4)/(B$6-B$4),$B$4+SQRT(A269*(B$6-B$4)*(B$5-B$4)),B$6-SQRT((1-A269)*(B$6-B$4)*(-B$5+B$6))),IF($B$1=3, "All Simuls","Base Case"))</f>
        <v>Base Case</v>
      </c>
      <c r="C269" s="346">
        <v>257</v>
      </c>
      <c r="D269" s="342">
        <v>184567.22517716466</v>
      </c>
    </row>
    <row r="270" spans="1:4" ht="15.95">
      <c r="A270" s="345">
        <f t="shared" ca="1" si="8"/>
        <v>9.1972398272294753E-2</v>
      </c>
      <c r="B270" s="347" t="str">
        <f t="shared" si="9"/>
        <v>Base Case</v>
      </c>
      <c r="C270" s="346">
        <v>258</v>
      </c>
      <c r="D270" s="342">
        <v>184567.22517716466</v>
      </c>
    </row>
    <row r="271" spans="1:4" ht="15.95">
      <c r="A271" s="345">
        <f t="shared" ca="1" si="8"/>
        <v>0.93849299316916912</v>
      </c>
      <c r="B271" s="347" t="str">
        <f t="shared" si="9"/>
        <v>Base Case</v>
      </c>
      <c r="C271" s="346">
        <v>259</v>
      </c>
      <c r="D271" s="342">
        <v>184567.22517716466</v>
      </c>
    </row>
    <row r="272" spans="1:4" ht="15.95">
      <c r="A272" s="345">
        <f t="shared" ca="1" si="8"/>
        <v>0.91967634135435994</v>
      </c>
      <c r="B272" s="347" t="str">
        <f t="shared" si="9"/>
        <v>Base Case</v>
      </c>
      <c r="C272" s="346">
        <v>260</v>
      </c>
      <c r="D272" s="342">
        <v>184567.22517716466</v>
      </c>
    </row>
    <row r="273" spans="1:4" ht="15.95">
      <c r="A273" s="345">
        <f t="shared" ca="1" si="8"/>
        <v>0.84531148265956302</v>
      </c>
      <c r="B273" s="347" t="str">
        <f t="shared" si="9"/>
        <v>Base Case</v>
      </c>
      <c r="C273" s="346">
        <v>261</v>
      </c>
      <c r="D273" s="342">
        <v>184567.22517716466</v>
      </c>
    </row>
    <row r="274" spans="1:4" ht="15.95">
      <c r="A274" s="345">
        <f t="shared" ca="1" si="8"/>
        <v>0.26349240810767705</v>
      </c>
      <c r="B274" s="347" t="str">
        <f t="shared" si="9"/>
        <v>Base Case</v>
      </c>
      <c r="C274" s="346">
        <v>262</v>
      </c>
      <c r="D274" s="342">
        <v>184567.22517716466</v>
      </c>
    </row>
    <row r="275" spans="1:4" ht="15.95">
      <c r="A275" s="345">
        <f t="shared" ca="1" si="8"/>
        <v>0.45492911345885012</v>
      </c>
      <c r="B275" s="347" t="str">
        <f t="shared" si="9"/>
        <v>Base Case</v>
      </c>
      <c r="C275" s="346">
        <v>263</v>
      </c>
      <c r="D275" s="342">
        <v>184567.22517716466</v>
      </c>
    </row>
    <row r="276" spans="1:4" ht="15.95">
      <c r="A276" s="345">
        <f t="shared" ca="1" si="8"/>
        <v>0.59155154056013826</v>
      </c>
      <c r="B276" s="347" t="str">
        <f t="shared" si="9"/>
        <v>Base Case</v>
      </c>
      <c r="C276" s="346">
        <v>264</v>
      </c>
      <c r="D276" s="342">
        <v>184567.22517716466</v>
      </c>
    </row>
    <row r="277" spans="1:4" ht="15.95">
      <c r="A277" s="345">
        <f t="shared" ca="1" si="8"/>
        <v>0.97942075401395545</v>
      </c>
      <c r="B277" s="347" t="str">
        <f t="shared" si="9"/>
        <v>Base Case</v>
      </c>
      <c r="C277" s="346">
        <v>265</v>
      </c>
      <c r="D277" s="342">
        <v>184567.22517716466</v>
      </c>
    </row>
    <row r="278" spans="1:4" ht="15.95">
      <c r="A278" s="345">
        <f t="shared" ca="1" si="8"/>
        <v>0.12706753767167023</v>
      </c>
      <c r="B278" s="347" t="str">
        <f t="shared" si="9"/>
        <v>Base Case</v>
      </c>
      <c r="C278" s="346">
        <v>266</v>
      </c>
      <c r="D278" s="342">
        <v>184567.22517716466</v>
      </c>
    </row>
    <row r="279" spans="1:4" ht="15.95">
      <c r="A279" s="345">
        <f t="shared" ca="1" si="8"/>
        <v>0.67218322904928662</v>
      </c>
      <c r="B279" s="347" t="str">
        <f t="shared" si="9"/>
        <v>Base Case</v>
      </c>
      <c r="C279" s="346">
        <v>267</v>
      </c>
      <c r="D279" s="342">
        <v>184567.22517716466</v>
      </c>
    </row>
    <row r="280" spans="1:4" ht="15.95">
      <c r="A280" s="345">
        <f t="shared" ca="1" si="8"/>
        <v>3.4205892750332145E-2</v>
      </c>
      <c r="B280" s="347" t="str">
        <f t="shared" si="9"/>
        <v>Base Case</v>
      </c>
      <c r="C280" s="346">
        <v>268</v>
      </c>
      <c r="D280" s="342">
        <v>184567.22517716466</v>
      </c>
    </row>
    <row r="281" spans="1:4" ht="15.95">
      <c r="A281" s="345">
        <f t="shared" ca="1" si="8"/>
        <v>0.19473542496812524</v>
      </c>
      <c r="B281" s="347" t="str">
        <f t="shared" si="9"/>
        <v>Base Case</v>
      </c>
      <c r="C281" s="346">
        <v>269</v>
      </c>
      <c r="D281" s="342">
        <v>184567.22517716466</v>
      </c>
    </row>
    <row r="282" spans="1:4" ht="15.95">
      <c r="A282" s="345">
        <f t="shared" ca="1" si="8"/>
        <v>0.8330223669535014</v>
      </c>
      <c r="B282" s="347" t="str">
        <f t="shared" si="9"/>
        <v>Base Case</v>
      </c>
      <c r="C282" s="346">
        <v>270</v>
      </c>
      <c r="D282" s="342">
        <v>184567.22517716466</v>
      </c>
    </row>
    <row r="283" spans="1:4" ht="15.95">
      <c r="A283" s="345">
        <f t="shared" ca="1" si="8"/>
        <v>0.75597176770304408</v>
      </c>
      <c r="B283" s="347" t="str">
        <f t="shared" si="9"/>
        <v>Base Case</v>
      </c>
      <c r="C283" s="346">
        <v>271</v>
      </c>
      <c r="D283" s="342">
        <v>184567.22517716466</v>
      </c>
    </row>
    <row r="284" spans="1:4" ht="15.95">
      <c r="A284" s="345">
        <f t="shared" ca="1" si="8"/>
        <v>9.2182368945561532E-2</v>
      </c>
      <c r="B284" s="347" t="str">
        <f t="shared" si="9"/>
        <v>Base Case</v>
      </c>
      <c r="C284" s="346">
        <v>272</v>
      </c>
      <c r="D284" s="342">
        <v>184567.22517716466</v>
      </c>
    </row>
    <row r="285" spans="1:4" ht="15.95">
      <c r="A285" s="345">
        <f t="shared" ca="1" si="8"/>
        <v>0.62816643766059421</v>
      </c>
      <c r="B285" s="347" t="str">
        <f t="shared" si="9"/>
        <v>Base Case</v>
      </c>
      <c r="C285" s="346">
        <v>273</v>
      </c>
      <c r="D285" s="342">
        <v>184567.22517716466</v>
      </c>
    </row>
    <row r="286" spans="1:4" ht="15.95">
      <c r="A286" s="345">
        <f t="shared" ca="1" si="8"/>
        <v>0.25122613495822965</v>
      </c>
      <c r="B286" s="347" t="str">
        <f t="shared" si="9"/>
        <v>Base Case</v>
      </c>
      <c r="C286" s="346">
        <v>274</v>
      </c>
      <c r="D286" s="342">
        <v>184567.22517716466</v>
      </c>
    </row>
    <row r="287" spans="1:4" ht="15.95">
      <c r="A287" s="345">
        <f t="shared" ca="1" si="8"/>
        <v>5.5750905819536012E-2</v>
      </c>
      <c r="B287" s="347" t="str">
        <f t="shared" si="9"/>
        <v>Base Case</v>
      </c>
      <c r="C287" s="346">
        <v>275</v>
      </c>
      <c r="D287" s="342">
        <v>184567.22517716466</v>
      </c>
    </row>
    <row r="288" spans="1:4" ht="15.95">
      <c r="A288" s="345">
        <f t="shared" ca="1" si="8"/>
        <v>0.1468807625258447</v>
      </c>
      <c r="B288" s="347" t="str">
        <f t="shared" si="9"/>
        <v>Base Case</v>
      </c>
      <c r="C288" s="346">
        <v>276</v>
      </c>
      <c r="D288" s="342">
        <v>184567.22517716466</v>
      </c>
    </row>
    <row r="289" spans="1:4" ht="15.95">
      <c r="A289" s="345">
        <f t="shared" ca="1" si="8"/>
        <v>0.35253181166177305</v>
      </c>
      <c r="B289" s="347" t="str">
        <f t="shared" si="9"/>
        <v>Base Case</v>
      </c>
      <c r="C289" s="346">
        <v>277</v>
      </c>
      <c r="D289" s="342">
        <v>184567.22517716466</v>
      </c>
    </row>
    <row r="290" spans="1:4" ht="15.95">
      <c r="A290" s="345">
        <f t="shared" ca="1" si="8"/>
        <v>0.96289096234243166</v>
      </c>
      <c r="B290" s="347" t="str">
        <f t="shared" si="9"/>
        <v>Base Case</v>
      </c>
      <c r="C290" s="346">
        <v>278</v>
      </c>
      <c r="D290" s="342">
        <v>184567.22517716466</v>
      </c>
    </row>
    <row r="291" spans="1:4" ht="15.95">
      <c r="A291" s="345">
        <f t="shared" ca="1" si="8"/>
        <v>0.9936994266712692</v>
      </c>
      <c r="B291" s="347" t="str">
        <f t="shared" si="9"/>
        <v>Base Case</v>
      </c>
      <c r="C291" s="346">
        <v>279</v>
      </c>
      <c r="D291" s="342">
        <v>184567.22517716466</v>
      </c>
    </row>
    <row r="292" spans="1:4" ht="15.95">
      <c r="A292" s="345">
        <f t="shared" ca="1" si="8"/>
        <v>0.34381769036971588</v>
      </c>
      <c r="B292" s="347" t="str">
        <f t="shared" si="9"/>
        <v>Base Case</v>
      </c>
      <c r="C292" s="346">
        <v>280</v>
      </c>
      <c r="D292" s="342">
        <v>184567.22517716466</v>
      </c>
    </row>
    <row r="293" spans="1:4" ht="15.95">
      <c r="A293" s="345">
        <f t="shared" ca="1" si="8"/>
        <v>0.85652517092337543</v>
      </c>
      <c r="B293" s="347" t="str">
        <f t="shared" si="9"/>
        <v>Base Case</v>
      </c>
      <c r="C293" s="346">
        <v>281</v>
      </c>
      <c r="D293" s="342">
        <v>184567.22517716466</v>
      </c>
    </row>
    <row r="294" spans="1:4" ht="15.95">
      <c r="A294" s="345">
        <f t="shared" ca="1" si="8"/>
        <v>0.90433291368872737</v>
      </c>
      <c r="B294" s="347" t="str">
        <f t="shared" si="9"/>
        <v>Base Case</v>
      </c>
      <c r="C294" s="346">
        <v>282</v>
      </c>
      <c r="D294" s="342">
        <v>184567.22517716466</v>
      </c>
    </row>
    <row r="295" spans="1:4" ht="15.95">
      <c r="A295" s="345">
        <f t="shared" ca="1" si="8"/>
        <v>0.5682574439572704</v>
      </c>
      <c r="B295" s="347" t="str">
        <f t="shared" si="9"/>
        <v>Base Case</v>
      </c>
      <c r="C295" s="346">
        <v>283</v>
      </c>
      <c r="D295" s="342">
        <v>184567.22517716466</v>
      </c>
    </row>
    <row r="296" spans="1:4" ht="15.95">
      <c r="A296" s="345">
        <f t="shared" ca="1" si="8"/>
        <v>0.55575196413437489</v>
      </c>
      <c r="B296" s="347" t="str">
        <f t="shared" si="9"/>
        <v>Base Case</v>
      </c>
      <c r="C296" s="346">
        <v>284</v>
      </c>
      <c r="D296" s="342">
        <v>184567.22517716466</v>
      </c>
    </row>
    <row r="297" spans="1:4" ht="15.95">
      <c r="A297" s="345">
        <f t="shared" ca="1" si="8"/>
        <v>0.63349712293744054</v>
      </c>
      <c r="B297" s="347" t="str">
        <f t="shared" si="9"/>
        <v>Base Case</v>
      </c>
      <c r="C297" s="346">
        <v>285</v>
      </c>
      <c r="D297" s="342">
        <v>184567.22517716466</v>
      </c>
    </row>
    <row r="298" spans="1:4" ht="15.95">
      <c r="A298" s="345">
        <f t="shared" ca="1" si="8"/>
        <v>0.50792973993082569</v>
      </c>
      <c r="B298" s="347" t="str">
        <f t="shared" si="9"/>
        <v>Base Case</v>
      </c>
      <c r="C298" s="346">
        <v>286</v>
      </c>
      <c r="D298" s="342">
        <v>184567.22517716466</v>
      </c>
    </row>
    <row r="299" spans="1:4" ht="15.95">
      <c r="A299" s="345">
        <f t="shared" ca="1" si="8"/>
        <v>0.22794858833309894</v>
      </c>
      <c r="B299" s="347" t="str">
        <f t="shared" si="9"/>
        <v>Base Case</v>
      </c>
      <c r="C299" s="346">
        <v>287</v>
      </c>
      <c r="D299" s="342">
        <v>184567.22517716466</v>
      </c>
    </row>
    <row r="300" spans="1:4" ht="15.95">
      <c r="A300" s="345">
        <f t="shared" ca="1" si="8"/>
        <v>0.87816039701171777</v>
      </c>
      <c r="B300" s="347" t="str">
        <f t="shared" si="9"/>
        <v>Base Case</v>
      </c>
      <c r="C300" s="346">
        <v>288</v>
      </c>
      <c r="D300" s="342">
        <v>184567.22517716466</v>
      </c>
    </row>
    <row r="301" spans="1:4" ht="15.95">
      <c r="A301" s="345">
        <f t="shared" ca="1" si="8"/>
        <v>0.22148582512209103</v>
      </c>
      <c r="B301" s="347" t="str">
        <f t="shared" si="9"/>
        <v>Base Case</v>
      </c>
      <c r="C301" s="346">
        <v>289</v>
      </c>
      <c r="D301" s="342">
        <v>184567.22517716466</v>
      </c>
    </row>
    <row r="302" spans="1:4" ht="15.95">
      <c r="A302" s="345">
        <f t="shared" ca="1" si="8"/>
        <v>0.68225653158943922</v>
      </c>
      <c r="B302" s="347" t="str">
        <f t="shared" si="9"/>
        <v>Base Case</v>
      </c>
      <c r="C302" s="346">
        <v>290</v>
      </c>
      <c r="D302" s="342">
        <v>184567.22517716466</v>
      </c>
    </row>
    <row r="303" spans="1:4" ht="15.95">
      <c r="A303" s="345">
        <f t="shared" ca="1" si="8"/>
        <v>0.52547833559618562</v>
      </c>
      <c r="B303" s="347" t="str">
        <f t="shared" si="9"/>
        <v>Base Case</v>
      </c>
      <c r="C303" s="346">
        <v>291</v>
      </c>
      <c r="D303" s="342">
        <v>184567.22517716466</v>
      </c>
    </row>
    <row r="304" spans="1:4" ht="15.95">
      <c r="A304" s="345">
        <f t="shared" ca="1" si="8"/>
        <v>0.38860571733628468</v>
      </c>
      <c r="B304" s="347" t="str">
        <f t="shared" si="9"/>
        <v>Base Case</v>
      </c>
      <c r="C304" s="346">
        <v>292</v>
      </c>
      <c r="D304" s="342">
        <v>184567.22517716466</v>
      </c>
    </row>
    <row r="305" spans="1:4" ht="15.95">
      <c r="A305" s="345">
        <f t="shared" ca="1" si="8"/>
        <v>0.15824769855244836</v>
      </c>
      <c r="B305" s="347" t="str">
        <f t="shared" si="9"/>
        <v>Base Case</v>
      </c>
      <c r="C305" s="346">
        <v>293</v>
      </c>
      <c r="D305" s="342">
        <v>184567.22517716466</v>
      </c>
    </row>
    <row r="306" spans="1:4" ht="15.95">
      <c r="A306" s="345">
        <f t="shared" ca="1" si="8"/>
        <v>0.58096785579654409</v>
      </c>
      <c r="B306" s="347" t="str">
        <f t="shared" si="9"/>
        <v>Base Case</v>
      </c>
      <c r="C306" s="346">
        <v>294</v>
      </c>
      <c r="D306" s="342">
        <v>184567.22517716466</v>
      </c>
    </row>
    <row r="307" spans="1:4" ht="15.95">
      <c r="A307" s="345">
        <f t="shared" ca="1" si="8"/>
        <v>8.4979589723135351E-2</v>
      </c>
      <c r="B307" s="347" t="str">
        <f t="shared" si="9"/>
        <v>Base Case</v>
      </c>
      <c r="C307" s="346">
        <v>295</v>
      </c>
      <c r="D307" s="342">
        <v>184567.22517716466</v>
      </c>
    </row>
    <row r="308" spans="1:4" ht="15.95">
      <c r="A308" s="345">
        <f t="shared" ca="1" si="8"/>
        <v>0.57528780522232692</v>
      </c>
      <c r="B308" s="347" t="str">
        <f t="shared" si="9"/>
        <v>Base Case</v>
      </c>
      <c r="C308" s="346">
        <v>296</v>
      </c>
      <c r="D308" s="342">
        <v>184567.22517716466</v>
      </c>
    </row>
    <row r="309" spans="1:4" ht="15.95">
      <c r="A309" s="345">
        <f t="shared" ca="1" si="8"/>
        <v>0.47409332654532266</v>
      </c>
      <c r="B309" s="347" t="str">
        <f t="shared" si="9"/>
        <v>Base Case</v>
      </c>
      <c r="C309" s="346">
        <v>297</v>
      </c>
      <c r="D309" s="342">
        <v>184567.22517716466</v>
      </c>
    </row>
    <row r="310" spans="1:4" ht="15.95">
      <c r="A310" s="345">
        <f t="shared" ca="1" si="8"/>
        <v>3.8516641022922182E-2</v>
      </c>
      <c r="B310" s="347" t="str">
        <f t="shared" si="9"/>
        <v>Base Case</v>
      </c>
      <c r="C310" s="346">
        <v>298</v>
      </c>
      <c r="D310" s="342">
        <v>184567.22517716466</v>
      </c>
    </row>
    <row r="311" spans="1:4" ht="15.95">
      <c r="A311" s="345">
        <f t="shared" ca="1" si="8"/>
        <v>0.38431931096926697</v>
      </c>
      <c r="B311" s="347" t="str">
        <f t="shared" si="9"/>
        <v>Base Case</v>
      </c>
      <c r="C311" s="346">
        <v>299</v>
      </c>
      <c r="D311" s="342">
        <v>184567.22517716466</v>
      </c>
    </row>
    <row r="312" spans="1:4" ht="15.95">
      <c r="A312" s="345">
        <f t="shared" ca="1" si="8"/>
        <v>0.71219069847395733</v>
      </c>
      <c r="B312" s="347" t="str">
        <f t="shared" si="9"/>
        <v>Base Case</v>
      </c>
      <c r="C312" s="346">
        <v>300</v>
      </c>
      <c r="D312" s="342">
        <v>184567.22517716466</v>
      </c>
    </row>
    <row r="313" spans="1:4" ht="15.95">
      <c r="A313" s="345">
        <f t="shared" ca="1" si="8"/>
        <v>0.19801012461965939</v>
      </c>
      <c r="B313" s="347" t="str">
        <f t="shared" si="9"/>
        <v>Base Case</v>
      </c>
      <c r="C313" s="346">
        <v>301</v>
      </c>
      <c r="D313" s="342">
        <v>184567.22517716466</v>
      </c>
    </row>
    <row r="314" spans="1:4" ht="15.95">
      <c r="A314" s="345">
        <f t="shared" ca="1" si="8"/>
        <v>0.68096313245300699</v>
      </c>
      <c r="B314" s="347" t="str">
        <f t="shared" si="9"/>
        <v>Base Case</v>
      </c>
      <c r="C314" s="346">
        <v>302</v>
      </c>
      <c r="D314" s="342">
        <v>184567.22517716466</v>
      </c>
    </row>
    <row r="315" spans="1:4" ht="15.95">
      <c r="A315" s="345">
        <f t="shared" ca="1" si="8"/>
        <v>0.85810418108505959</v>
      </c>
      <c r="B315" s="347" t="str">
        <f t="shared" si="9"/>
        <v>Base Case</v>
      </c>
      <c r="C315" s="346">
        <v>303</v>
      </c>
      <c r="D315" s="342">
        <v>184567.22517716466</v>
      </c>
    </row>
    <row r="316" spans="1:4" ht="15.95">
      <c r="A316" s="345">
        <f t="shared" ca="1" si="8"/>
        <v>0.35285227319516799</v>
      </c>
      <c r="B316" s="347" t="str">
        <f t="shared" si="9"/>
        <v>Base Case</v>
      </c>
      <c r="C316" s="346">
        <v>304</v>
      </c>
      <c r="D316" s="342">
        <v>184567.22517716466</v>
      </c>
    </row>
    <row r="317" spans="1:4" ht="15.95">
      <c r="A317" s="345">
        <f t="shared" ca="1" si="8"/>
        <v>0.73161541928791862</v>
      </c>
      <c r="B317" s="347" t="str">
        <f t="shared" si="9"/>
        <v>Base Case</v>
      </c>
      <c r="C317" s="346">
        <v>305</v>
      </c>
      <c r="D317" s="342">
        <v>184567.22517716466</v>
      </c>
    </row>
    <row r="318" spans="1:4" ht="15.95">
      <c r="A318" s="345">
        <f t="shared" ca="1" si="8"/>
        <v>0.29923524485658826</v>
      </c>
      <c r="B318" s="347" t="str">
        <f t="shared" si="9"/>
        <v>Base Case</v>
      </c>
      <c r="C318" s="346">
        <v>306</v>
      </c>
      <c r="D318" s="342">
        <v>184567.22517716466</v>
      </c>
    </row>
    <row r="319" spans="1:4" ht="15.95">
      <c r="A319" s="345">
        <f t="shared" ca="1" si="8"/>
        <v>0.53245053490196459</v>
      </c>
      <c r="B319" s="347" t="str">
        <f t="shared" si="9"/>
        <v>Base Case</v>
      </c>
      <c r="C319" s="346">
        <v>307</v>
      </c>
      <c r="D319" s="342">
        <v>184567.22517716466</v>
      </c>
    </row>
    <row r="320" spans="1:4" ht="15.95">
      <c r="A320" s="345">
        <f t="shared" ca="1" si="8"/>
        <v>0.52801065655532886</v>
      </c>
      <c r="B320" s="347" t="str">
        <f t="shared" si="9"/>
        <v>Base Case</v>
      </c>
      <c r="C320" s="346">
        <v>308</v>
      </c>
      <c r="D320" s="342">
        <v>184567.22517716466</v>
      </c>
    </row>
    <row r="321" spans="1:4" ht="15.95">
      <c r="A321" s="345">
        <f t="shared" ca="1" si="8"/>
        <v>0.93943600161840179</v>
      </c>
      <c r="B321" s="347" t="str">
        <f t="shared" si="9"/>
        <v>Base Case</v>
      </c>
      <c r="C321" s="346">
        <v>309</v>
      </c>
      <c r="D321" s="342">
        <v>184567.22517716466</v>
      </c>
    </row>
    <row r="322" spans="1:4" ht="15.95">
      <c r="A322" s="345">
        <f t="shared" ca="1" si="8"/>
        <v>0.65409899309018338</v>
      </c>
      <c r="B322" s="347" t="str">
        <f t="shared" si="9"/>
        <v>Base Case</v>
      </c>
      <c r="C322" s="346">
        <v>310</v>
      </c>
      <c r="D322" s="342">
        <v>184567.22517716466</v>
      </c>
    </row>
    <row r="323" spans="1:4" ht="15.95">
      <c r="A323" s="345">
        <f t="shared" ca="1" si="8"/>
        <v>0.27212292750233258</v>
      </c>
      <c r="B323" s="347" t="str">
        <f t="shared" si="9"/>
        <v>Base Case</v>
      </c>
      <c r="C323" s="346">
        <v>311</v>
      </c>
      <c r="D323" s="342">
        <v>184567.22517716466</v>
      </c>
    </row>
    <row r="324" spans="1:4" ht="15.95">
      <c r="A324" s="345">
        <f t="shared" ca="1" si="8"/>
        <v>0.55999682310422383</v>
      </c>
      <c r="B324" s="347" t="str">
        <f t="shared" si="9"/>
        <v>Base Case</v>
      </c>
      <c r="C324" s="346">
        <v>312</v>
      </c>
      <c r="D324" s="342">
        <v>184567.22517716466</v>
      </c>
    </row>
    <row r="325" spans="1:4" ht="15.95">
      <c r="A325" s="345">
        <f t="shared" ca="1" si="8"/>
        <v>0.40073771156404414</v>
      </c>
      <c r="B325" s="347" t="str">
        <f t="shared" si="9"/>
        <v>Base Case</v>
      </c>
      <c r="C325" s="346">
        <v>313</v>
      </c>
      <c r="D325" s="342">
        <v>184567.22517716466</v>
      </c>
    </row>
    <row r="326" spans="1:4" ht="15.95">
      <c r="A326" s="345">
        <f t="shared" ca="1" si="8"/>
        <v>0.47026442876699981</v>
      </c>
      <c r="B326" s="347" t="str">
        <f t="shared" si="9"/>
        <v>Base Case</v>
      </c>
      <c r="C326" s="346">
        <v>314</v>
      </c>
      <c r="D326" s="342">
        <v>184567.22517716466</v>
      </c>
    </row>
    <row r="327" spans="1:4" ht="15.95">
      <c r="A327" s="345">
        <f t="shared" ca="1" si="8"/>
        <v>1.3089226336553073E-2</v>
      </c>
      <c r="B327" s="347" t="str">
        <f t="shared" si="9"/>
        <v>Base Case</v>
      </c>
      <c r="C327" s="346">
        <v>315</v>
      </c>
      <c r="D327" s="342">
        <v>184567.22517716466</v>
      </c>
    </row>
    <row r="328" spans="1:4" ht="15.95">
      <c r="A328" s="345">
        <f t="shared" ca="1" si="8"/>
        <v>0.60803482742002701</v>
      </c>
      <c r="B328" s="347" t="str">
        <f t="shared" si="9"/>
        <v>Base Case</v>
      </c>
      <c r="C328" s="346">
        <v>316</v>
      </c>
      <c r="D328" s="342">
        <v>184567.22517716466</v>
      </c>
    </row>
    <row r="329" spans="1:4" ht="15.95">
      <c r="A329" s="345">
        <f t="shared" ca="1" si="8"/>
        <v>0.73376594985505006</v>
      </c>
      <c r="B329" s="347" t="str">
        <f t="shared" si="9"/>
        <v>Base Case</v>
      </c>
      <c r="C329" s="346">
        <v>317</v>
      </c>
      <c r="D329" s="342">
        <v>184567.22517716466</v>
      </c>
    </row>
    <row r="330" spans="1:4" ht="15.95">
      <c r="A330" s="345">
        <f t="shared" ca="1" si="8"/>
        <v>0.18001076107680014</v>
      </c>
      <c r="B330" s="347" t="str">
        <f t="shared" si="9"/>
        <v>Base Case</v>
      </c>
      <c r="C330" s="346">
        <v>318</v>
      </c>
      <c r="D330" s="342">
        <v>184567.22517716466</v>
      </c>
    </row>
    <row r="331" spans="1:4" ht="15.95">
      <c r="A331" s="345">
        <f t="shared" ca="1" si="8"/>
        <v>0.79048505467132513</v>
      </c>
      <c r="B331" s="347" t="str">
        <f t="shared" si="9"/>
        <v>Base Case</v>
      </c>
      <c r="C331" s="346">
        <v>319</v>
      </c>
      <c r="D331" s="342">
        <v>184567.22517716466</v>
      </c>
    </row>
    <row r="332" spans="1:4" ht="15.95">
      <c r="A332" s="345">
        <f t="shared" ca="1" si="8"/>
        <v>0.28453205243399182</v>
      </c>
      <c r="B332" s="347" t="str">
        <f t="shared" si="9"/>
        <v>Base Case</v>
      </c>
      <c r="C332" s="346">
        <v>320</v>
      </c>
      <c r="D332" s="342">
        <v>184567.22517716466</v>
      </c>
    </row>
    <row r="333" spans="1:4" ht="15.95">
      <c r="A333" s="345">
        <f t="shared" ref="A333:A396" ca="1" si="10">RAND()</f>
        <v>0.86899490835342852</v>
      </c>
      <c r="B333" s="347" t="str">
        <f t="shared" ref="B333:B396" si="11">IF(OR($B$1=1, $B$1=2), IF(A333&lt;=(B$5-B$4)/(B$6-B$4),$B$4+SQRT(A333*(B$6-B$4)*(B$5-B$4)),B$6-SQRT((1-A333)*(B$6-B$4)*(-B$5+B$6))),IF($B$1=3, "All Simuls","Base Case"))</f>
        <v>Base Case</v>
      </c>
      <c r="C333" s="346">
        <v>321</v>
      </c>
      <c r="D333" s="342">
        <v>184567.22517716466</v>
      </c>
    </row>
    <row r="334" spans="1:4" ht="15.95">
      <c r="A334" s="345">
        <f t="shared" ca="1" si="10"/>
        <v>0.23421834367351091</v>
      </c>
      <c r="B334" s="347" t="str">
        <f t="shared" si="11"/>
        <v>Base Case</v>
      </c>
      <c r="C334" s="346">
        <v>322</v>
      </c>
      <c r="D334" s="342">
        <v>184567.22517716466</v>
      </c>
    </row>
    <row r="335" spans="1:4" ht="15.95">
      <c r="A335" s="345">
        <f t="shared" ca="1" si="10"/>
        <v>0.44552560334776004</v>
      </c>
      <c r="B335" s="347" t="str">
        <f t="shared" si="11"/>
        <v>Base Case</v>
      </c>
      <c r="C335" s="346">
        <v>323</v>
      </c>
      <c r="D335" s="342">
        <v>184567.22517716466</v>
      </c>
    </row>
    <row r="336" spans="1:4" ht="15.95">
      <c r="A336" s="345">
        <f t="shared" ca="1" si="10"/>
        <v>0.17379245643656638</v>
      </c>
      <c r="B336" s="347" t="str">
        <f t="shared" si="11"/>
        <v>Base Case</v>
      </c>
      <c r="C336" s="346">
        <v>324</v>
      </c>
      <c r="D336" s="342">
        <v>184567.22517716466</v>
      </c>
    </row>
    <row r="337" spans="1:4" ht="15.95">
      <c r="A337" s="345">
        <f t="shared" ca="1" si="10"/>
        <v>0.43335276960089852</v>
      </c>
      <c r="B337" s="347" t="str">
        <f t="shared" si="11"/>
        <v>Base Case</v>
      </c>
      <c r="C337" s="346">
        <v>325</v>
      </c>
      <c r="D337" s="342">
        <v>184567.22517716466</v>
      </c>
    </row>
    <row r="338" spans="1:4" ht="15.95">
      <c r="A338" s="345">
        <f t="shared" ca="1" si="10"/>
        <v>0.33470794828002592</v>
      </c>
      <c r="B338" s="347" t="str">
        <f t="shared" si="11"/>
        <v>Base Case</v>
      </c>
      <c r="C338" s="346">
        <v>326</v>
      </c>
      <c r="D338" s="342">
        <v>184567.22517716466</v>
      </c>
    </row>
    <row r="339" spans="1:4" ht="15.95">
      <c r="A339" s="345">
        <f t="shared" ca="1" si="10"/>
        <v>0.56575666631843236</v>
      </c>
      <c r="B339" s="347" t="str">
        <f t="shared" si="11"/>
        <v>Base Case</v>
      </c>
      <c r="C339" s="346">
        <v>327</v>
      </c>
      <c r="D339" s="342">
        <v>184567.22517716466</v>
      </c>
    </row>
    <row r="340" spans="1:4" ht="15.95">
      <c r="A340" s="345">
        <f t="shared" ca="1" si="10"/>
        <v>0.91871663331833464</v>
      </c>
      <c r="B340" s="347" t="str">
        <f t="shared" si="11"/>
        <v>Base Case</v>
      </c>
      <c r="C340" s="346">
        <v>328</v>
      </c>
      <c r="D340" s="342">
        <v>184567.22517716466</v>
      </c>
    </row>
    <row r="341" spans="1:4" ht="15.95">
      <c r="A341" s="345">
        <f t="shared" ca="1" si="10"/>
        <v>0.51548810652132049</v>
      </c>
      <c r="B341" s="347" t="str">
        <f t="shared" si="11"/>
        <v>Base Case</v>
      </c>
      <c r="C341" s="346">
        <v>329</v>
      </c>
      <c r="D341" s="342">
        <v>184567.22517716466</v>
      </c>
    </row>
    <row r="342" spans="1:4" ht="15.95">
      <c r="A342" s="345">
        <f t="shared" ca="1" si="10"/>
        <v>0.26380090336118023</v>
      </c>
      <c r="B342" s="347" t="str">
        <f t="shared" si="11"/>
        <v>Base Case</v>
      </c>
      <c r="C342" s="346">
        <v>330</v>
      </c>
      <c r="D342" s="342">
        <v>184567.22517716466</v>
      </c>
    </row>
    <row r="343" spans="1:4" ht="15.95">
      <c r="A343" s="345">
        <f t="shared" ca="1" si="10"/>
        <v>0.26833527930130796</v>
      </c>
      <c r="B343" s="347" t="str">
        <f t="shared" si="11"/>
        <v>Base Case</v>
      </c>
      <c r="C343" s="346">
        <v>331</v>
      </c>
      <c r="D343" s="342">
        <v>184567.22517716466</v>
      </c>
    </row>
    <row r="344" spans="1:4" ht="15.95">
      <c r="A344" s="345">
        <f t="shared" ca="1" si="10"/>
        <v>0.41689519715122547</v>
      </c>
      <c r="B344" s="347" t="str">
        <f t="shared" si="11"/>
        <v>Base Case</v>
      </c>
      <c r="C344" s="346">
        <v>332</v>
      </c>
      <c r="D344" s="342">
        <v>184567.22517716466</v>
      </c>
    </row>
    <row r="345" spans="1:4" ht="15.95">
      <c r="A345" s="345">
        <f t="shared" ca="1" si="10"/>
        <v>0.66701944268239843</v>
      </c>
      <c r="B345" s="347" t="str">
        <f t="shared" si="11"/>
        <v>Base Case</v>
      </c>
      <c r="C345" s="346">
        <v>333</v>
      </c>
      <c r="D345" s="342">
        <v>184567.22517716466</v>
      </c>
    </row>
    <row r="346" spans="1:4" ht="15.95">
      <c r="A346" s="345">
        <f t="shared" ca="1" si="10"/>
        <v>0.57625496974539947</v>
      </c>
      <c r="B346" s="347" t="str">
        <f t="shared" si="11"/>
        <v>Base Case</v>
      </c>
      <c r="C346" s="346">
        <v>334</v>
      </c>
      <c r="D346" s="342">
        <v>184567.22517716466</v>
      </c>
    </row>
    <row r="347" spans="1:4" ht="15.95">
      <c r="A347" s="345">
        <f t="shared" ca="1" si="10"/>
        <v>0.53493907064552559</v>
      </c>
      <c r="B347" s="347" t="str">
        <f t="shared" si="11"/>
        <v>Base Case</v>
      </c>
      <c r="C347" s="346">
        <v>335</v>
      </c>
      <c r="D347" s="342">
        <v>184567.22517716466</v>
      </c>
    </row>
    <row r="348" spans="1:4" ht="15.95">
      <c r="A348" s="345">
        <f t="shared" ca="1" si="10"/>
        <v>0.29616448658801187</v>
      </c>
      <c r="B348" s="347" t="str">
        <f t="shared" si="11"/>
        <v>Base Case</v>
      </c>
      <c r="C348" s="346">
        <v>336</v>
      </c>
      <c r="D348" s="342">
        <v>184567.22517716466</v>
      </c>
    </row>
    <row r="349" spans="1:4" ht="15.95">
      <c r="A349" s="345">
        <f t="shared" ca="1" si="10"/>
        <v>0.80710170853723373</v>
      </c>
      <c r="B349" s="347" t="str">
        <f t="shared" si="11"/>
        <v>Base Case</v>
      </c>
      <c r="C349" s="346">
        <v>337</v>
      </c>
      <c r="D349" s="342">
        <v>184567.22517716466</v>
      </c>
    </row>
    <row r="350" spans="1:4" ht="15.95">
      <c r="A350" s="345">
        <f t="shared" ca="1" si="10"/>
        <v>0.13447380909429907</v>
      </c>
      <c r="B350" s="347" t="str">
        <f t="shared" si="11"/>
        <v>Base Case</v>
      </c>
      <c r="C350" s="346">
        <v>338</v>
      </c>
      <c r="D350" s="342">
        <v>184567.22517716466</v>
      </c>
    </row>
    <row r="351" spans="1:4" ht="15.95">
      <c r="A351" s="345">
        <f t="shared" ca="1" si="10"/>
        <v>0.41565624708436777</v>
      </c>
      <c r="B351" s="347" t="str">
        <f t="shared" si="11"/>
        <v>Base Case</v>
      </c>
      <c r="C351" s="346">
        <v>339</v>
      </c>
      <c r="D351" s="342">
        <v>184567.22517716466</v>
      </c>
    </row>
    <row r="352" spans="1:4" ht="15.95">
      <c r="A352" s="345">
        <f t="shared" ca="1" si="10"/>
        <v>9.2871624279297182E-2</v>
      </c>
      <c r="B352" s="347" t="str">
        <f t="shared" si="11"/>
        <v>Base Case</v>
      </c>
      <c r="C352" s="346">
        <v>340</v>
      </c>
      <c r="D352" s="342">
        <v>184567.22517716466</v>
      </c>
    </row>
    <row r="353" spans="1:4" ht="15.95">
      <c r="A353" s="345">
        <f t="shared" ca="1" si="10"/>
        <v>0.39821847765392848</v>
      </c>
      <c r="B353" s="347" t="str">
        <f t="shared" si="11"/>
        <v>Base Case</v>
      </c>
      <c r="C353" s="346">
        <v>341</v>
      </c>
      <c r="D353" s="342">
        <v>184567.22517716466</v>
      </c>
    </row>
    <row r="354" spans="1:4" ht="15.95">
      <c r="A354" s="345">
        <f t="shared" ca="1" si="10"/>
        <v>0.46208757563135849</v>
      </c>
      <c r="B354" s="347" t="str">
        <f t="shared" si="11"/>
        <v>Base Case</v>
      </c>
      <c r="C354" s="346">
        <v>342</v>
      </c>
      <c r="D354" s="342">
        <v>184567.22517716466</v>
      </c>
    </row>
    <row r="355" spans="1:4" ht="15.95">
      <c r="A355" s="345">
        <f t="shared" ca="1" si="10"/>
        <v>0.80763984738185457</v>
      </c>
      <c r="B355" s="347" t="str">
        <f t="shared" si="11"/>
        <v>Base Case</v>
      </c>
      <c r="C355" s="346">
        <v>343</v>
      </c>
      <c r="D355" s="342">
        <v>184567.22517716466</v>
      </c>
    </row>
    <row r="356" spans="1:4" ht="15.95">
      <c r="A356" s="345">
        <f t="shared" ca="1" si="10"/>
        <v>0.33664440461187184</v>
      </c>
      <c r="B356" s="347" t="str">
        <f t="shared" si="11"/>
        <v>Base Case</v>
      </c>
      <c r="C356" s="346">
        <v>344</v>
      </c>
      <c r="D356" s="342">
        <v>184567.22517716466</v>
      </c>
    </row>
    <row r="357" spans="1:4" ht="15.95">
      <c r="A357" s="345">
        <f t="shared" ca="1" si="10"/>
        <v>0.15065236372173718</v>
      </c>
      <c r="B357" s="347" t="str">
        <f t="shared" si="11"/>
        <v>Base Case</v>
      </c>
      <c r="C357" s="346">
        <v>345</v>
      </c>
      <c r="D357" s="342">
        <v>184567.22517716466</v>
      </c>
    </row>
    <row r="358" spans="1:4" ht="15.95">
      <c r="A358" s="345">
        <f t="shared" ca="1" si="10"/>
        <v>0.32406838318431042</v>
      </c>
      <c r="B358" s="347" t="str">
        <f t="shared" si="11"/>
        <v>Base Case</v>
      </c>
      <c r="C358" s="346">
        <v>346</v>
      </c>
      <c r="D358" s="342">
        <v>184567.22517716466</v>
      </c>
    </row>
    <row r="359" spans="1:4" ht="15.95">
      <c r="A359" s="345">
        <f t="shared" ca="1" si="10"/>
        <v>0.18559963640327071</v>
      </c>
      <c r="B359" s="347" t="str">
        <f t="shared" si="11"/>
        <v>Base Case</v>
      </c>
      <c r="C359" s="346">
        <v>347</v>
      </c>
      <c r="D359" s="342">
        <v>184567.22517716466</v>
      </c>
    </row>
    <row r="360" spans="1:4" ht="15.95">
      <c r="A360" s="345">
        <f t="shared" ca="1" si="10"/>
        <v>0.83053958860987687</v>
      </c>
      <c r="B360" s="347" t="str">
        <f t="shared" si="11"/>
        <v>Base Case</v>
      </c>
      <c r="C360" s="346">
        <v>348</v>
      </c>
      <c r="D360" s="342">
        <v>184567.22517716466</v>
      </c>
    </row>
    <row r="361" spans="1:4" ht="15.95">
      <c r="A361" s="345">
        <f t="shared" ca="1" si="10"/>
        <v>0.10238619022466722</v>
      </c>
      <c r="B361" s="347" t="str">
        <f t="shared" si="11"/>
        <v>Base Case</v>
      </c>
      <c r="C361" s="346">
        <v>349</v>
      </c>
      <c r="D361" s="342">
        <v>184567.22517716466</v>
      </c>
    </row>
    <row r="362" spans="1:4" ht="15.95">
      <c r="A362" s="345">
        <f t="shared" ca="1" si="10"/>
        <v>0.35984839541049818</v>
      </c>
      <c r="B362" s="347" t="str">
        <f t="shared" si="11"/>
        <v>Base Case</v>
      </c>
      <c r="C362" s="346">
        <v>350</v>
      </c>
      <c r="D362" s="342">
        <v>184567.22517716466</v>
      </c>
    </row>
    <row r="363" spans="1:4" ht="15.95">
      <c r="A363" s="345">
        <f t="shared" ca="1" si="10"/>
        <v>0.9382570955576548</v>
      </c>
      <c r="B363" s="347" t="str">
        <f t="shared" si="11"/>
        <v>Base Case</v>
      </c>
      <c r="C363" s="346">
        <v>351</v>
      </c>
      <c r="D363" s="342">
        <v>184567.22517716466</v>
      </c>
    </row>
    <row r="364" spans="1:4" ht="15.95">
      <c r="A364" s="345">
        <f t="shared" ca="1" si="10"/>
        <v>0.64331541157033578</v>
      </c>
      <c r="B364" s="347" t="str">
        <f t="shared" si="11"/>
        <v>Base Case</v>
      </c>
      <c r="C364" s="346">
        <v>352</v>
      </c>
      <c r="D364" s="342">
        <v>184567.22517716466</v>
      </c>
    </row>
    <row r="365" spans="1:4" ht="15.95">
      <c r="A365" s="345">
        <f t="shared" ca="1" si="10"/>
        <v>0.18565142404821156</v>
      </c>
      <c r="B365" s="347" t="str">
        <f t="shared" si="11"/>
        <v>Base Case</v>
      </c>
      <c r="C365" s="346">
        <v>353</v>
      </c>
      <c r="D365" s="342">
        <v>184567.22517716466</v>
      </c>
    </row>
    <row r="366" spans="1:4" ht="15.95">
      <c r="A366" s="345">
        <f t="shared" ca="1" si="10"/>
        <v>0.7172051230684493</v>
      </c>
      <c r="B366" s="347" t="str">
        <f t="shared" si="11"/>
        <v>Base Case</v>
      </c>
      <c r="C366" s="346">
        <v>354</v>
      </c>
      <c r="D366" s="342">
        <v>184567.22517716466</v>
      </c>
    </row>
    <row r="367" spans="1:4" ht="15.95">
      <c r="A367" s="345">
        <f t="shared" ca="1" si="10"/>
        <v>0.9634995374888099</v>
      </c>
      <c r="B367" s="347" t="str">
        <f t="shared" si="11"/>
        <v>Base Case</v>
      </c>
      <c r="C367" s="346">
        <v>355</v>
      </c>
      <c r="D367" s="342">
        <v>184567.22517716466</v>
      </c>
    </row>
    <row r="368" spans="1:4" ht="15.95">
      <c r="A368" s="345">
        <f t="shared" ca="1" si="10"/>
        <v>0.33272229729205038</v>
      </c>
      <c r="B368" s="347" t="str">
        <f t="shared" si="11"/>
        <v>Base Case</v>
      </c>
      <c r="C368" s="346">
        <v>356</v>
      </c>
      <c r="D368" s="342">
        <v>184567.22517716466</v>
      </c>
    </row>
    <row r="369" spans="1:4" ht="15.95">
      <c r="A369" s="345">
        <f t="shared" ca="1" si="10"/>
        <v>0.44583756846498079</v>
      </c>
      <c r="B369" s="347" t="str">
        <f t="shared" si="11"/>
        <v>Base Case</v>
      </c>
      <c r="C369" s="346">
        <v>357</v>
      </c>
      <c r="D369" s="342">
        <v>184567.22517716466</v>
      </c>
    </row>
    <row r="370" spans="1:4" ht="15.95">
      <c r="A370" s="345">
        <f t="shared" ca="1" si="10"/>
        <v>2.0204170413942957E-2</v>
      </c>
      <c r="B370" s="347" t="str">
        <f t="shared" si="11"/>
        <v>Base Case</v>
      </c>
      <c r="C370" s="346">
        <v>358</v>
      </c>
      <c r="D370" s="342">
        <v>184567.22517716466</v>
      </c>
    </row>
    <row r="371" spans="1:4" ht="15.95">
      <c r="A371" s="345">
        <f t="shared" ca="1" si="10"/>
        <v>0.32099328456935938</v>
      </c>
      <c r="B371" s="347" t="str">
        <f t="shared" si="11"/>
        <v>Base Case</v>
      </c>
      <c r="C371" s="346">
        <v>359</v>
      </c>
      <c r="D371" s="342">
        <v>184567.22517716466</v>
      </c>
    </row>
    <row r="372" spans="1:4" ht="15.95">
      <c r="A372" s="345">
        <f t="shared" ca="1" si="10"/>
        <v>0.55977309825545407</v>
      </c>
      <c r="B372" s="347" t="str">
        <f t="shared" si="11"/>
        <v>Base Case</v>
      </c>
      <c r="C372" s="346">
        <v>360</v>
      </c>
      <c r="D372" s="342">
        <v>184567.22517716466</v>
      </c>
    </row>
    <row r="373" spans="1:4" ht="15.95">
      <c r="A373" s="345">
        <f t="shared" ca="1" si="10"/>
        <v>0.96044476947559998</v>
      </c>
      <c r="B373" s="347" t="str">
        <f t="shared" si="11"/>
        <v>Base Case</v>
      </c>
      <c r="C373" s="346">
        <v>361</v>
      </c>
      <c r="D373" s="342">
        <v>184567.22517716466</v>
      </c>
    </row>
    <row r="374" spans="1:4" ht="15.95">
      <c r="A374" s="345">
        <f t="shared" ca="1" si="10"/>
        <v>0.18534714936551155</v>
      </c>
      <c r="B374" s="347" t="str">
        <f t="shared" si="11"/>
        <v>Base Case</v>
      </c>
      <c r="C374" s="346">
        <v>362</v>
      </c>
      <c r="D374" s="342">
        <v>184567.22517716466</v>
      </c>
    </row>
    <row r="375" spans="1:4" ht="15.95">
      <c r="A375" s="345">
        <f t="shared" ca="1" si="10"/>
        <v>0.60084531970089683</v>
      </c>
      <c r="B375" s="347" t="str">
        <f t="shared" si="11"/>
        <v>Base Case</v>
      </c>
      <c r="C375" s="346">
        <v>363</v>
      </c>
      <c r="D375" s="342">
        <v>184567.22517716466</v>
      </c>
    </row>
    <row r="376" spans="1:4" ht="15.95">
      <c r="A376" s="345">
        <f t="shared" ca="1" si="10"/>
        <v>0.7693462323922825</v>
      </c>
      <c r="B376" s="347" t="str">
        <f t="shared" si="11"/>
        <v>Base Case</v>
      </c>
      <c r="C376" s="346">
        <v>364</v>
      </c>
      <c r="D376" s="342">
        <v>184567.22517716466</v>
      </c>
    </row>
    <row r="377" spans="1:4" ht="15.95">
      <c r="A377" s="345">
        <f t="shared" ca="1" si="10"/>
        <v>0.95236916916659897</v>
      </c>
      <c r="B377" s="347" t="str">
        <f t="shared" si="11"/>
        <v>Base Case</v>
      </c>
      <c r="C377" s="346">
        <v>365</v>
      </c>
      <c r="D377" s="342">
        <v>184567.22517716466</v>
      </c>
    </row>
    <row r="378" spans="1:4" ht="15.95">
      <c r="A378" s="345">
        <f t="shared" ca="1" si="10"/>
        <v>0.68041542722836412</v>
      </c>
      <c r="B378" s="347" t="str">
        <f t="shared" si="11"/>
        <v>Base Case</v>
      </c>
      <c r="C378" s="346">
        <v>366</v>
      </c>
      <c r="D378" s="342">
        <v>184567.22517716466</v>
      </c>
    </row>
    <row r="379" spans="1:4" ht="15.95">
      <c r="A379" s="345">
        <f t="shared" ca="1" si="10"/>
        <v>0.36096276687252737</v>
      </c>
      <c r="B379" s="347" t="str">
        <f t="shared" si="11"/>
        <v>Base Case</v>
      </c>
      <c r="C379" s="346">
        <v>367</v>
      </c>
      <c r="D379" s="342">
        <v>184567.22517716466</v>
      </c>
    </row>
    <row r="380" spans="1:4" ht="15.95">
      <c r="A380" s="345">
        <f t="shared" ca="1" si="10"/>
        <v>7.6282769892219715E-2</v>
      </c>
      <c r="B380" s="347" t="str">
        <f t="shared" si="11"/>
        <v>Base Case</v>
      </c>
      <c r="C380" s="346">
        <v>368</v>
      </c>
      <c r="D380" s="342">
        <v>184567.22517716466</v>
      </c>
    </row>
    <row r="381" spans="1:4" ht="15.95">
      <c r="A381" s="345">
        <f t="shared" ca="1" si="10"/>
        <v>0.56560340502420337</v>
      </c>
      <c r="B381" s="347" t="str">
        <f t="shared" si="11"/>
        <v>Base Case</v>
      </c>
      <c r="C381" s="346">
        <v>369</v>
      </c>
      <c r="D381" s="342">
        <v>184567.22517716466</v>
      </c>
    </row>
    <row r="382" spans="1:4" ht="15.95">
      <c r="A382" s="345">
        <f t="shared" ca="1" si="10"/>
        <v>0.10093432964315363</v>
      </c>
      <c r="B382" s="347" t="str">
        <f t="shared" si="11"/>
        <v>Base Case</v>
      </c>
      <c r="C382" s="346">
        <v>370</v>
      </c>
      <c r="D382" s="342">
        <v>184567.22517716466</v>
      </c>
    </row>
    <row r="383" spans="1:4" ht="15.95">
      <c r="A383" s="345">
        <f t="shared" ca="1" si="10"/>
        <v>0.32311430456379653</v>
      </c>
      <c r="B383" s="347" t="str">
        <f t="shared" si="11"/>
        <v>Base Case</v>
      </c>
      <c r="C383" s="346">
        <v>371</v>
      </c>
      <c r="D383" s="342">
        <v>184567.22517716466</v>
      </c>
    </row>
    <row r="384" spans="1:4" ht="15.95">
      <c r="A384" s="345">
        <f t="shared" ca="1" si="10"/>
        <v>0.66325647638562868</v>
      </c>
      <c r="B384" s="347" t="str">
        <f t="shared" si="11"/>
        <v>Base Case</v>
      </c>
      <c r="C384" s="346">
        <v>372</v>
      </c>
      <c r="D384" s="342">
        <v>184567.22517716466</v>
      </c>
    </row>
    <row r="385" spans="1:4" ht="15.95">
      <c r="A385" s="345">
        <f t="shared" ca="1" si="10"/>
        <v>0.21111288634578396</v>
      </c>
      <c r="B385" s="347" t="str">
        <f t="shared" si="11"/>
        <v>Base Case</v>
      </c>
      <c r="C385" s="346">
        <v>373</v>
      </c>
      <c r="D385" s="342">
        <v>184567.22517716466</v>
      </c>
    </row>
    <row r="386" spans="1:4" ht="15.95">
      <c r="A386" s="345">
        <f t="shared" ca="1" si="10"/>
        <v>0.75161442010806201</v>
      </c>
      <c r="B386" s="347" t="str">
        <f t="shared" si="11"/>
        <v>Base Case</v>
      </c>
      <c r="C386" s="346">
        <v>374</v>
      </c>
      <c r="D386" s="342">
        <v>184567.22517716466</v>
      </c>
    </row>
    <row r="387" spans="1:4" ht="15.95">
      <c r="A387" s="345">
        <f t="shared" ca="1" si="10"/>
        <v>0.23593721732890338</v>
      </c>
      <c r="B387" s="347" t="str">
        <f t="shared" si="11"/>
        <v>Base Case</v>
      </c>
      <c r="C387" s="346">
        <v>375</v>
      </c>
      <c r="D387" s="342">
        <v>184567.22517716466</v>
      </c>
    </row>
    <row r="388" spans="1:4" ht="15.95">
      <c r="A388" s="345">
        <f t="shared" ca="1" si="10"/>
        <v>0.60971219022178991</v>
      </c>
      <c r="B388" s="347" t="str">
        <f t="shared" si="11"/>
        <v>Base Case</v>
      </c>
      <c r="C388" s="346">
        <v>376</v>
      </c>
      <c r="D388" s="342">
        <v>184567.22517716466</v>
      </c>
    </row>
    <row r="389" spans="1:4" ht="15.95">
      <c r="A389" s="345">
        <f t="shared" ca="1" si="10"/>
        <v>6.5979879696589916E-2</v>
      </c>
      <c r="B389" s="347" t="str">
        <f t="shared" si="11"/>
        <v>Base Case</v>
      </c>
      <c r="C389" s="346">
        <v>377</v>
      </c>
      <c r="D389" s="342">
        <v>184567.22517716466</v>
      </c>
    </row>
    <row r="390" spans="1:4" ht="15.95">
      <c r="A390" s="345">
        <f t="shared" ca="1" si="10"/>
        <v>0.90847477537642674</v>
      </c>
      <c r="B390" s="347" t="str">
        <f t="shared" si="11"/>
        <v>Base Case</v>
      </c>
      <c r="C390" s="346">
        <v>378</v>
      </c>
      <c r="D390" s="342">
        <v>184567.22517716466</v>
      </c>
    </row>
    <row r="391" spans="1:4" ht="15.95">
      <c r="A391" s="345">
        <f t="shared" ca="1" si="10"/>
        <v>0.77057919231098049</v>
      </c>
      <c r="B391" s="347" t="str">
        <f t="shared" si="11"/>
        <v>Base Case</v>
      </c>
      <c r="C391" s="346">
        <v>379</v>
      </c>
      <c r="D391" s="342">
        <v>184567.22517716466</v>
      </c>
    </row>
    <row r="392" spans="1:4" ht="15.95">
      <c r="A392" s="345">
        <f t="shared" ca="1" si="10"/>
        <v>0.65102143578870608</v>
      </c>
      <c r="B392" s="347" t="str">
        <f t="shared" si="11"/>
        <v>Base Case</v>
      </c>
      <c r="C392" s="346">
        <v>380</v>
      </c>
      <c r="D392" s="342">
        <v>184567.22517716466</v>
      </c>
    </row>
    <row r="393" spans="1:4" ht="15.95">
      <c r="A393" s="345">
        <f t="shared" ca="1" si="10"/>
        <v>0.9190316271061455</v>
      </c>
      <c r="B393" s="347" t="str">
        <f t="shared" si="11"/>
        <v>Base Case</v>
      </c>
      <c r="C393" s="346">
        <v>381</v>
      </c>
      <c r="D393" s="342">
        <v>184567.22517716466</v>
      </c>
    </row>
    <row r="394" spans="1:4" ht="15.95">
      <c r="A394" s="345">
        <f t="shared" ca="1" si="10"/>
        <v>0.38231053226582068</v>
      </c>
      <c r="B394" s="347" t="str">
        <f t="shared" si="11"/>
        <v>Base Case</v>
      </c>
      <c r="C394" s="346">
        <v>382</v>
      </c>
      <c r="D394" s="342">
        <v>184567.22517716466</v>
      </c>
    </row>
    <row r="395" spans="1:4" ht="15.95">
      <c r="A395" s="345">
        <f t="shared" ca="1" si="10"/>
        <v>8.4762725527115501E-2</v>
      </c>
      <c r="B395" s="347" t="str">
        <f t="shared" si="11"/>
        <v>Base Case</v>
      </c>
      <c r="C395" s="346">
        <v>383</v>
      </c>
      <c r="D395" s="342">
        <v>184567.22517716466</v>
      </c>
    </row>
    <row r="396" spans="1:4" ht="15.95">
      <c r="A396" s="345">
        <f t="shared" ca="1" si="10"/>
        <v>0.72314367826446946</v>
      </c>
      <c r="B396" s="347" t="str">
        <f t="shared" si="11"/>
        <v>Base Case</v>
      </c>
      <c r="C396" s="346">
        <v>384</v>
      </c>
      <c r="D396" s="342">
        <v>184567.22517716466</v>
      </c>
    </row>
    <row r="397" spans="1:4" ht="15.95">
      <c r="A397" s="345">
        <f t="shared" ref="A397:A460" ca="1" si="12">RAND()</f>
        <v>0.25587513247474281</v>
      </c>
      <c r="B397" s="347" t="str">
        <f t="shared" ref="B397:B460" si="13">IF(OR($B$1=1, $B$1=2), IF(A397&lt;=(B$5-B$4)/(B$6-B$4),$B$4+SQRT(A397*(B$6-B$4)*(B$5-B$4)),B$6-SQRT((1-A397)*(B$6-B$4)*(-B$5+B$6))),IF($B$1=3, "All Simuls","Base Case"))</f>
        <v>Base Case</v>
      </c>
      <c r="C397" s="346">
        <v>385</v>
      </c>
      <c r="D397" s="342">
        <v>184567.22517716466</v>
      </c>
    </row>
    <row r="398" spans="1:4" ht="15.95">
      <c r="A398" s="345">
        <f t="shared" ca="1" si="12"/>
        <v>0.73662363085498606</v>
      </c>
      <c r="B398" s="347" t="str">
        <f t="shared" si="13"/>
        <v>Base Case</v>
      </c>
      <c r="C398" s="346">
        <v>386</v>
      </c>
      <c r="D398" s="342">
        <v>184567.22517716466</v>
      </c>
    </row>
    <row r="399" spans="1:4" ht="15.95">
      <c r="A399" s="345">
        <f t="shared" ca="1" si="12"/>
        <v>0.19964958863241</v>
      </c>
      <c r="B399" s="347" t="str">
        <f t="shared" si="13"/>
        <v>Base Case</v>
      </c>
      <c r="C399" s="346">
        <v>387</v>
      </c>
      <c r="D399" s="342">
        <v>184567.22517716466</v>
      </c>
    </row>
    <row r="400" spans="1:4" ht="15.95">
      <c r="A400" s="345">
        <f t="shared" ca="1" si="12"/>
        <v>1.5278701201537626E-2</v>
      </c>
      <c r="B400" s="347" t="str">
        <f t="shared" si="13"/>
        <v>Base Case</v>
      </c>
      <c r="C400" s="346">
        <v>388</v>
      </c>
      <c r="D400" s="342">
        <v>184567.22517716466</v>
      </c>
    </row>
    <row r="401" spans="1:4" ht="15.95">
      <c r="A401" s="345">
        <f t="shared" ca="1" si="12"/>
        <v>0.45361266991268134</v>
      </c>
      <c r="B401" s="347" t="str">
        <f t="shared" si="13"/>
        <v>Base Case</v>
      </c>
      <c r="C401" s="346">
        <v>389</v>
      </c>
      <c r="D401" s="342">
        <v>184567.22517716466</v>
      </c>
    </row>
    <row r="402" spans="1:4" ht="15.95">
      <c r="A402" s="345">
        <f t="shared" ca="1" si="12"/>
        <v>0.20851115437628576</v>
      </c>
      <c r="B402" s="347" t="str">
        <f t="shared" si="13"/>
        <v>Base Case</v>
      </c>
      <c r="C402" s="346">
        <v>390</v>
      </c>
      <c r="D402" s="342">
        <v>184567.22517716466</v>
      </c>
    </row>
    <row r="403" spans="1:4" ht="15.95">
      <c r="A403" s="345">
        <f t="shared" ca="1" si="12"/>
        <v>0.25000710060465614</v>
      </c>
      <c r="B403" s="347" t="str">
        <f t="shared" si="13"/>
        <v>Base Case</v>
      </c>
      <c r="C403" s="346">
        <v>391</v>
      </c>
      <c r="D403" s="342">
        <v>184567.22517716466</v>
      </c>
    </row>
    <row r="404" spans="1:4" ht="15.95">
      <c r="A404" s="345">
        <f t="shared" ca="1" si="12"/>
        <v>0.95998072517738875</v>
      </c>
      <c r="B404" s="347" t="str">
        <f t="shared" si="13"/>
        <v>Base Case</v>
      </c>
      <c r="C404" s="346">
        <v>392</v>
      </c>
      <c r="D404" s="342">
        <v>184567.22517716466</v>
      </c>
    </row>
    <row r="405" spans="1:4" ht="15.95">
      <c r="A405" s="345">
        <f t="shared" ca="1" si="12"/>
        <v>0.90426330938265242</v>
      </c>
      <c r="B405" s="347" t="str">
        <f t="shared" si="13"/>
        <v>Base Case</v>
      </c>
      <c r="C405" s="346">
        <v>393</v>
      </c>
      <c r="D405" s="342">
        <v>184567.22517716466</v>
      </c>
    </row>
    <row r="406" spans="1:4" ht="15.95">
      <c r="A406" s="345">
        <f t="shared" ca="1" si="12"/>
        <v>0.31204300667386342</v>
      </c>
      <c r="B406" s="347" t="str">
        <f t="shared" si="13"/>
        <v>Base Case</v>
      </c>
      <c r="C406" s="346">
        <v>394</v>
      </c>
      <c r="D406" s="342">
        <v>184567.22517716466</v>
      </c>
    </row>
    <row r="407" spans="1:4" ht="15.95">
      <c r="A407" s="345">
        <f t="shared" ca="1" si="12"/>
        <v>1.0013098425025291E-2</v>
      </c>
      <c r="B407" s="347" t="str">
        <f t="shared" si="13"/>
        <v>Base Case</v>
      </c>
      <c r="C407" s="346">
        <v>395</v>
      </c>
      <c r="D407" s="342">
        <v>184567.22517716466</v>
      </c>
    </row>
    <row r="408" spans="1:4" ht="15.95">
      <c r="A408" s="345">
        <f t="shared" ca="1" si="12"/>
        <v>0.52911403099672638</v>
      </c>
      <c r="B408" s="347" t="str">
        <f t="shared" si="13"/>
        <v>Base Case</v>
      </c>
      <c r="C408" s="346">
        <v>396</v>
      </c>
      <c r="D408" s="342">
        <v>184567.22517716466</v>
      </c>
    </row>
    <row r="409" spans="1:4" ht="15.95">
      <c r="A409" s="345">
        <f t="shared" ca="1" si="12"/>
        <v>0.65341125025623936</v>
      </c>
      <c r="B409" s="347" t="str">
        <f t="shared" si="13"/>
        <v>Base Case</v>
      </c>
      <c r="C409" s="346">
        <v>397</v>
      </c>
      <c r="D409" s="342">
        <v>184567.22517716466</v>
      </c>
    </row>
    <row r="410" spans="1:4" ht="15.95">
      <c r="A410" s="345">
        <f t="shared" ca="1" si="12"/>
        <v>0.6182056086168255</v>
      </c>
      <c r="B410" s="347" t="str">
        <f t="shared" si="13"/>
        <v>Base Case</v>
      </c>
      <c r="C410" s="346">
        <v>398</v>
      </c>
      <c r="D410" s="342">
        <v>184567.22517716466</v>
      </c>
    </row>
    <row r="411" spans="1:4" ht="15.95">
      <c r="A411" s="345">
        <f t="shared" ca="1" si="12"/>
        <v>4.6760338655202238E-2</v>
      </c>
      <c r="B411" s="347" t="str">
        <f t="shared" si="13"/>
        <v>Base Case</v>
      </c>
      <c r="C411" s="346">
        <v>399</v>
      </c>
      <c r="D411" s="342">
        <v>184567.22517716466</v>
      </c>
    </row>
    <row r="412" spans="1:4" ht="15.95">
      <c r="A412" s="345">
        <f t="shared" ca="1" si="12"/>
        <v>5.9615568575678735E-2</v>
      </c>
      <c r="B412" s="347" t="str">
        <f t="shared" si="13"/>
        <v>Base Case</v>
      </c>
      <c r="C412" s="346">
        <v>400</v>
      </c>
      <c r="D412" s="342">
        <v>184567.22517716466</v>
      </c>
    </row>
    <row r="413" spans="1:4" ht="15.95">
      <c r="A413" s="345">
        <f t="shared" ca="1" si="12"/>
        <v>0.47618023435429535</v>
      </c>
      <c r="B413" s="347" t="str">
        <f t="shared" si="13"/>
        <v>Base Case</v>
      </c>
      <c r="C413" s="346">
        <v>401</v>
      </c>
      <c r="D413" s="342">
        <v>184567.22517716466</v>
      </c>
    </row>
    <row r="414" spans="1:4" ht="15.95">
      <c r="A414" s="345">
        <f t="shared" ca="1" si="12"/>
        <v>0.11407734457965135</v>
      </c>
      <c r="B414" s="347" t="str">
        <f t="shared" si="13"/>
        <v>Base Case</v>
      </c>
      <c r="C414" s="346">
        <v>402</v>
      </c>
      <c r="D414" s="342">
        <v>184567.22517716466</v>
      </c>
    </row>
    <row r="415" spans="1:4" ht="15.95">
      <c r="A415" s="345">
        <f t="shared" ca="1" si="12"/>
        <v>0.95328814204258094</v>
      </c>
      <c r="B415" s="347" t="str">
        <f t="shared" si="13"/>
        <v>Base Case</v>
      </c>
      <c r="C415" s="346">
        <v>403</v>
      </c>
      <c r="D415" s="342">
        <v>184567.22517716466</v>
      </c>
    </row>
    <row r="416" spans="1:4" ht="15.95">
      <c r="A416" s="345">
        <f t="shared" ca="1" si="12"/>
        <v>0.19823775716184977</v>
      </c>
      <c r="B416" s="347" t="str">
        <f t="shared" si="13"/>
        <v>Base Case</v>
      </c>
      <c r="C416" s="346">
        <v>404</v>
      </c>
      <c r="D416" s="342">
        <v>184567.22517716466</v>
      </c>
    </row>
    <row r="417" spans="1:4" ht="15.95">
      <c r="A417" s="345">
        <f t="shared" ca="1" si="12"/>
        <v>0.55054769028165307</v>
      </c>
      <c r="B417" s="347" t="str">
        <f t="shared" si="13"/>
        <v>Base Case</v>
      </c>
      <c r="C417" s="346">
        <v>405</v>
      </c>
      <c r="D417" s="342">
        <v>184567.22517716466</v>
      </c>
    </row>
    <row r="418" spans="1:4" ht="15.95">
      <c r="A418" s="345">
        <f t="shared" ca="1" si="12"/>
        <v>0.30676025236234439</v>
      </c>
      <c r="B418" s="347" t="str">
        <f t="shared" si="13"/>
        <v>Base Case</v>
      </c>
      <c r="C418" s="346">
        <v>406</v>
      </c>
      <c r="D418" s="342">
        <v>184567.22517716466</v>
      </c>
    </row>
    <row r="419" spans="1:4" ht="15.95">
      <c r="A419" s="345">
        <f t="shared" ca="1" si="12"/>
        <v>0.11619164171258023</v>
      </c>
      <c r="B419" s="347" t="str">
        <f t="shared" si="13"/>
        <v>Base Case</v>
      </c>
      <c r="C419" s="346">
        <v>407</v>
      </c>
      <c r="D419" s="342">
        <v>184567.22517716466</v>
      </c>
    </row>
    <row r="420" spans="1:4" ht="15.95">
      <c r="A420" s="345">
        <f t="shared" ca="1" si="12"/>
        <v>0.53824672620129721</v>
      </c>
      <c r="B420" s="347" t="str">
        <f t="shared" si="13"/>
        <v>Base Case</v>
      </c>
      <c r="C420" s="346">
        <v>408</v>
      </c>
      <c r="D420" s="342">
        <v>184567.22517716466</v>
      </c>
    </row>
    <row r="421" spans="1:4" ht="15.95">
      <c r="A421" s="345">
        <f t="shared" ca="1" si="12"/>
        <v>0.23621770698513123</v>
      </c>
      <c r="B421" s="347" t="str">
        <f t="shared" si="13"/>
        <v>Base Case</v>
      </c>
      <c r="C421" s="346">
        <v>409</v>
      </c>
      <c r="D421" s="342">
        <v>184567.22517716466</v>
      </c>
    </row>
    <row r="422" spans="1:4" ht="15.95">
      <c r="A422" s="345">
        <f t="shared" ca="1" si="12"/>
        <v>0.81654961595821529</v>
      </c>
      <c r="B422" s="347" t="str">
        <f t="shared" si="13"/>
        <v>Base Case</v>
      </c>
      <c r="C422" s="346">
        <v>410</v>
      </c>
      <c r="D422" s="342">
        <v>184567.22517716466</v>
      </c>
    </row>
    <row r="423" spans="1:4" ht="15.95">
      <c r="A423" s="345">
        <f t="shared" ca="1" si="12"/>
        <v>0.8841791305263218</v>
      </c>
      <c r="B423" s="347" t="str">
        <f t="shared" si="13"/>
        <v>Base Case</v>
      </c>
      <c r="C423" s="346">
        <v>411</v>
      </c>
      <c r="D423" s="342">
        <v>184567.22517716466</v>
      </c>
    </row>
    <row r="424" spans="1:4" ht="15.95">
      <c r="A424" s="345">
        <f t="shared" ca="1" si="12"/>
        <v>0.41728327101924123</v>
      </c>
      <c r="B424" s="347" t="str">
        <f t="shared" si="13"/>
        <v>Base Case</v>
      </c>
      <c r="C424" s="346">
        <v>412</v>
      </c>
      <c r="D424" s="342">
        <v>184567.22517716466</v>
      </c>
    </row>
    <row r="425" spans="1:4" ht="15.95">
      <c r="A425" s="345">
        <f t="shared" ca="1" si="12"/>
        <v>0.15507362333932118</v>
      </c>
      <c r="B425" s="347" t="str">
        <f t="shared" si="13"/>
        <v>Base Case</v>
      </c>
      <c r="C425" s="346">
        <v>413</v>
      </c>
      <c r="D425" s="342">
        <v>184567.22517716466</v>
      </c>
    </row>
    <row r="426" spans="1:4" ht="15.95">
      <c r="A426" s="345">
        <f t="shared" ca="1" si="12"/>
        <v>0.9220436102415015</v>
      </c>
      <c r="B426" s="347" t="str">
        <f t="shared" si="13"/>
        <v>Base Case</v>
      </c>
      <c r="C426" s="346">
        <v>414</v>
      </c>
      <c r="D426" s="342">
        <v>184567.22517716466</v>
      </c>
    </row>
    <row r="427" spans="1:4" ht="15.95">
      <c r="A427" s="345">
        <f t="shared" ca="1" si="12"/>
        <v>0.56081601051397856</v>
      </c>
      <c r="B427" s="347" t="str">
        <f t="shared" si="13"/>
        <v>Base Case</v>
      </c>
      <c r="C427" s="346">
        <v>415</v>
      </c>
      <c r="D427" s="342">
        <v>184567.22517716466</v>
      </c>
    </row>
    <row r="428" spans="1:4" ht="15.95">
      <c r="A428" s="345">
        <f t="shared" ca="1" si="12"/>
        <v>0.55932781903425632</v>
      </c>
      <c r="B428" s="347" t="str">
        <f t="shared" si="13"/>
        <v>Base Case</v>
      </c>
      <c r="C428" s="346">
        <v>416</v>
      </c>
      <c r="D428" s="342">
        <v>184567.22517716466</v>
      </c>
    </row>
    <row r="429" spans="1:4" ht="15.95">
      <c r="A429" s="345">
        <f t="shared" ca="1" si="12"/>
        <v>0.93308727717407891</v>
      </c>
      <c r="B429" s="347" t="str">
        <f t="shared" si="13"/>
        <v>Base Case</v>
      </c>
      <c r="C429" s="346">
        <v>417</v>
      </c>
      <c r="D429" s="342">
        <v>184567.22517716466</v>
      </c>
    </row>
    <row r="430" spans="1:4" ht="15.95">
      <c r="A430" s="345">
        <f t="shared" ca="1" si="12"/>
        <v>8.5425326781267907E-2</v>
      </c>
      <c r="B430" s="347" t="str">
        <f t="shared" si="13"/>
        <v>Base Case</v>
      </c>
      <c r="C430" s="346">
        <v>418</v>
      </c>
      <c r="D430" s="342">
        <v>184567.22517716466</v>
      </c>
    </row>
    <row r="431" spans="1:4" ht="15.95">
      <c r="A431" s="345">
        <f t="shared" ca="1" si="12"/>
        <v>0.89894929253260658</v>
      </c>
      <c r="B431" s="347" t="str">
        <f t="shared" si="13"/>
        <v>Base Case</v>
      </c>
      <c r="C431" s="346">
        <v>419</v>
      </c>
      <c r="D431" s="342">
        <v>184567.22517716466</v>
      </c>
    </row>
    <row r="432" spans="1:4" ht="15.95">
      <c r="A432" s="345">
        <f t="shared" ca="1" si="12"/>
        <v>0.29053897248414862</v>
      </c>
      <c r="B432" s="347" t="str">
        <f t="shared" si="13"/>
        <v>Base Case</v>
      </c>
      <c r="C432" s="346">
        <v>420</v>
      </c>
      <c r="D432" s="342">
        <v>184567.22517716466</v>
      </c>
    </row>
    <row r="433" spans="1:4" ht="15.95">
      <c r="A433" s="345">
        <f t="shared" ca="1" si="12"/>
        <v>0.59938510497147113</v>
      </c>
      <c r="B433" s="347" t="str">
        <f t="shared" si="13"/>
        <v>Base Case</v>
      </c>
      <c r="C433" s="346">
        <v>421</v>
      </c>
      <c r="D433" s="342">
        <v>184567.22517716466</v>
      </c>
    </row>
    <row r="434" spans="1:4" ht="15.95">
      <c r="A434" s="345">
        <f t="shared" ca="1" si="12"/>
        <v>0.86033284041177038</v>
      </c>
      <c r="B434" s="347" t="str">
        <f t="shared" si="13"/>
        <v>Base Case</v>
      </c>
      <c r="C434" s="346">
        <v>422</v>
      </c>
      <c r="D434" s="342">
        <v>184567.22517716466</v>
      </c>
    </row>
    <row r="435" spans="1:4" ht="15.95">
      <c r="A435" s="345">
        <f t="shared" ca="1" si="12"/>
        <v>0.98013128913423864</v>
      </c>
      <c r="B435" s="347" t="str">
        <f t="shared" si="13"/>
        <v>Base Case</v>
      </c>
      <c r="C435" s="346">
        <v>423</v>
      </c>
      <c r="D435" s="342">
        <v>184567.22517716466</v>
      </c>
    </row>
    <row r="436" spans="1:4" ht="15.95">
      <c r="A436" s="345">
        <f t="shared" ca="1" si="12"/>
        <v>0.3023203862023025</v>
      </c>
      <c r="B436" s="347" t="str">
        <f t="shared" si="13"/>
        <v>Base Case</v>
      </c>
      <c r="C436" s="346">
        <v>424</v>
      </c>
      <c r="D436" s="342">
        <v>184567.22517716466</v>
      </c>
    </row>
    <row r="437" spans="1:4" ht="15.95">
      <c r="A437" s="345">
        <f t="shared" ca="1" si="12"/>
        <v>0.22568076006409232</v>
      </c>
      <c r="B437" s="347" t="str">
        <f t="shared" si="13"/>
        <v>Base Case</v>
      </c>
      <c r="C437" s="346">
        <v>425</v>
      </c>
      <c r="D437" s="342">
        <v>184567.22517716466</v>
      </c>
    </row>
    <row r="438" spans="1:4" ht="15.95">
      <c r="A438" s="345">
        <f t="shared" ca="1" si="12"/>
        <v>0.58430134390438171</v>
      </c>
      <c r="B438" s="347" t="str">
        <f t="shared" si="13"/>
        <v>Base Case</v>
      </c>
      <c r="C438" s="346">
        <v>426</v>
      </c>
      <c r="D438" s="342">
        <v>184567.22517716466</v>
      </c>
    </row>
    <row r="439" spans="1:4" ht="15.95">
      <c r="A439" s="345">
        <f t="shared" ca="1" si="12"/>
        <v>0.97868800703038072</v>
      </c>
      <c r="B439" s="347" t="str">
        <f t="shared" si="13"/>
        <v>Base Case</v>
      </c>
      <c r="C439" s="346">
        <v>427</v>
      </c>
      <c r="D439" s="342">
        <v>184567.22517716466</v>
      </c>
    </row>
    <row r="440" spans="1:4" ht="15.95">
      <c r="A440" s="345">
        <f t="shared" ca="1" si="12"/>
        <v>0.73065376152625017</v>
      </c>
      <c r="B440" s="347" t="str">
        <f t="shared" si="13"/>
        <v>Base Case</v>
      </c>
      <c r="C440" s="346">
        <v>428</v>
      </c>
      <c r="D440" s="342">
        <v>184567.22517716466</v>
      </c>
    </row>
    <row r="441" spans="1:4" ht="15.95">
      <c r="A441" s="345">
        <f t="shared" ca="1" si="12"/>
        <v>0.35599044329606966</v>
      </c>
      <c r="B441" s="347" t="str">
        <f t="shared" si="13"/>
        <v>Base Case</v>
      </c>
      <c r="C441" s="346">
        <v>429</v>
      </c>
      <c r="D441" s="342">
        <v>184567.22517716466</v>
      </c>
    </row>
    <row r="442" spans="1:4" ht="15.95">
      <c r="A442" s="345">
        <f t="shared" ca="1" si="12"/>
        <v>0.95658325041678194</v>
      </c>
      <c r="B442" s="347" t="str">
        <f t="shared" si="13"/>
        <v>Base Case</v>
      </c>
      <c r="C442" s="346">
        <v>430</v>
      </c>
      <c r="D442" s="342">
        <v>184567.22517716466</v>
      </c>
    </row>
    <row r="443" spans="1:4" ht="15.95">
      <c r="A443" s="345">
        <f t="shared" ca="1" si="12"/>
        <v>0.29688040317375108</v>
      </c>
      <c r="B443" s="347" t="str">
        <f t="shared" si="13"/>
        <v>Base Case</v>
      </c>
      <c r="C443" s="346">
        <v>431</v>
      </c>
      <c r="D443" s="342">
        <v>184567.22517716466</v>
      </c>
    </row>
    <row r="444" spans="1:4" ht="15.95">
      <c r="A444" s="345">
        <f t="shared" ca="1" si="12"/>
        <v>0.28170728955920699</v>
      </c>
      <c r="B444" s="347" t="str">
        <f t="shared" si="13"/>
        <v>Base Case</v>
      </c>
      <c r="C444" s="346">
        <v>432</v>
      </c>
      <c r="D444" s="342">
        <v>184567.22517716466</v>
      </c>
    </row>
    <row r="445" spans="1:4" ht="15.95">
      <c r="A445" s="345">
        <f t="shared" ca="1" si="12"/>
        <v>0.58873709985294131</v>
      </c>
      <c r="B445" s="347" t="str">
        <f t="shared" si="13"/>
        <v>Base Case</v>
      </c>
      <c r="C445" s="346">
        <v>433</v>
      </c>
      <c r="D445" s="342">
        <v>184567.22517716466</v>
      </c>
    </row>
    <row r="446" spans="1:4" ht="15.95">
      <c r="A446" s="345">
        <f t="shared" ca="1" si="12"/>
        <v>0.49649657678555359</v>
      </c>
      <c r="B446" s="347" t="str">
        <f t="shared" si="13"/>
        <v>Base Case</v>
      </c>
      <c r="C446" s="346">
        <v>434</v>
      </c>
      <c r="D446" s="342">
        <v>184567.22517716466</v>
      </c>
    </row>
    <row r="447" spans="1:4" ht="15.95">
      <c r="A447" s="345">
        <f t="shared" ca="1" si="12"/>
        <v>0.72698511183178305</v>
      </c>
      <c r="B447" s="347" t="str">
        <f t="shared" si="13"/>
        <v>Base Case</v>
      </c>
      <c r="C447" s="346">
        <v>435</v>
      </c>
      <c r="D447" s="342">
        <v>184567.22517716466</v>
      </c>
    </row>
    <row r="448" spans="1:4" ht="15.95">
      <c r="A448" s="345">
        <f t="shared" ca="1" si="12"/>
        <v>0.72293310808717504</v>
      </c>
      <c r="B448" s="347" t="str">
        <f t="shared" si="13"/>
        <v>Base Case</v>
      </c>
      <c r="C448" s="346">
        <v>436</v>
      </c>
      <c r="D448" s="342">
        <v>184567.22517716466</v>
      </c>
    </row>
    <row r="449" spans="1:4" ht="15.95">
      <c r="A449" s="345">
        <f t="shared" ca="1" si="12"/>
        <v>8.3382994579634717E-2</v>
      </c>
      <c r="B449" s="347" t="str">
        <f t="shared" si="13"/>
        <v>Base Case</v>
      </c>
      <c r="C449" s="346">
        <v>437</v>
      </c>
      <c r="D449" s="342">
        <v>184567.22517716466</v>
      </c>
    </row>
    <row r="450" spans="1:4" ht="15.95">
      <c r="A450" s="345">
        <f t="shared" ca="1" si="12"/>
        <v>0.20765595329335584</v>
      </c>
      <c r="B450" s="347" t="str">
        <f t="shared" si="13"/>
        <v>Base Case</v>
      </c>
      <c r="C450" s="346">
        <v>438</v>
      </c>
      <c r="D450" s="342">
        <v>184567.22517716466</v>
      </c>
    </row>
    <row r="451" spans="1:4" ht="15.95">
      <c r="A451" s="345">
        <f t="shared" ca="1" si="12"/>
        <v>0.40268984859654866</v>
      </c>
      <c r="B451" s="347" t="str">
        <f t="shared" si="13"/>
        <v>Base Case</v>
      </c>
      <c r="C451" s="346">
        <v>439</v>
      </c>
      <c r="D451" s="342">
        <v>184567.22517716466</v>
      </c>
    </row>
    <row r="452" spans="1:4" ht="15.95">
      <c r="A452" s="345">
        <f t="shared" ca="1" si="12"/>
        <v>0.41142112792139263</v>
      </c>
      <c r="B452" s="347" t="str">
        <f t="shared" si="13"/>
        <v>Base Case</v>
      </c>
      <c r="C452" s="346">
        <v>440</v>
      </c>
      <c r="D452" s="342">
        <v>184567.22517716466</v>
      </c>
    </row>
    <row r="453" spans="1:4" ht="15.95">
      <c r="A453" s="345">
        <f t="shared" ca="1" si="12"/>
        <v>0.24951801816020613</v>
      </c>
      <c r="B453" s="347" t="str">
        <f t="shared" si="13"/>
        <v>Base Case</v>
      </c>
      <c r="C453" s="346">
        <v>441</v>
      </c>
      <c r="D453" s="342">
        <v>184567.22517716466</v>
      </c>
    </row>
    <row r="454" spans="1:4" ht="15.95">
      <c r="A454" s="345">
        <f t="shared" ca="1" si="12"/>
        <v>0.67533875134480859</v>
      </c>
      <c r="B454" s="347" t="str">
        <f t="shared" si="13"/>
        <v>Base Case</v>
      </c>
      <c r="C454" s="346">
        <v>442</v>
      </c>
      <c r="D454" s="342">
        <v>184567.22517716466</v>
      </c>
    </row>
    <row r="455" spans="1:4" ht="15.95">
      <c r="A455" s="345">
        <f t="shared" ca="1" si="12"/>
        <v>4.1818468125655039E-2</v>
      </c>
      <c r="B455" s="347" t="str">
        <f t="shared" si="13"/>
        <v>Base Case</v>
      </c>
      <c r="C455" s="346">
        <v>443</v>
      </c>
      <c r="D455" s="342">
        <v>184567.22517716466</v>
      </c>
    </row>
    <row r="456" spans="1:4" ht="15.95">
      <c r="A456" s="345">
        <f t="shared" ca="1" si="12"/>
        <v>0.27187179608039758</v>
      </c>
      <c r="B456" s="347" t="str">
        <f t="shared" si="13"/>
        <v>Base Case</v>
      </c>
      <c r="C456" s="346">
        <v>444</v>
      </c>
      <c r="D456" s="342">
        <v>184567.22517716466</v>
      </c>
    </row>
    <row r="457" spans="1:4" ht="15.95">
      <c r="A457" s="345">
        <f t="shared" ca="1" si="12"/>
        <v>0.38202631380256646</v>
      </c>
      <c r="B457" s="347" t="str">
        <f t="shared" si="13"/>
        <v>Base Case</v>
      </c>
      <c r="C457" s="346">
        <v>445</v>
      </c>
      <c r="D457" s="342">
        <v>184567.22517716466</v>
      </c>
    </row>
    <row r="458" spans="1:4" ht="15.95">
      <c r="A458" s="345">
        <f t="shared" ca="1" si="12"/>
        <v>4.2857236392762621E-2</v>
      </c>
      <c r="B458" s="347" t="str">
        <f t="shared" si="13"/>
        <v>Base Case</v>
      </c>
      <c r="C458" s="346">
        <v>446</v>
      </c>
      <c r="D458" s="342">
        <v>184567.22517716466</v>
      </c>
    </row>
    <row r="459" spans="1:4" ht="15.95">
      <c r="A459" s="345">
        <f t="shared" ca="1" si="12"/>
        <v>0.67833170502907991</v>
      </c>
      <c r="B459" s="347" t="str">
        <f t="shared" si="13"/>
        <v>Base Case</v>
      </c>
      <c r="C459" s="346">
        <v>447</v>
      </c>
      <c r="D459" s="342">
        <v>184567.22517716466</v>
      </c>
    </row>
    <row r="460" spans="1:4" ht="15.95">
      <c r="A460" s="345">
        <f t="shared" ca="1" si="12"/>
        <v>0.51125847501115984</v>
      </c>
      <c r="B460" s="347" t="str">
        <f t="shared" si="13"/>
        <v>Base Case</v>
      </c>
      <c r="C460" s="346">
        <v>448</v>
      </c>
      <c r="D460" s="342">
        <v>184567.22517716466</v>
      </c>
    </row>
    <row r="461" spans="1:4" ht="15.95">
      <c r="A461" s="345">
        <f t="shared" ref="A461:A524" ca="1" si="14">RAND()</f>
        <v>0.26356972022469105</v>
      </c>
      <c r="B461" s="347" t="str">
        <f t="shared" ref="B461:B524" si="15">IF(OR($B$1=1, $B$1=2), IF(A461&lt;=(B$5-B$4)/(B$6-B$4),$B$4+SQRT(A461*(B$6-B$4)*(B$5-B$4)),B$6-SQRT((1-A461)*(B$6-B$4)*(-B$5+B$6))),IF($B$1=3, "All Simuls","Base Case"))</f>
        <v>Base Case</v>
      </c>
      <c r="C461" s="346">
        <v>449</v>
      </c>
      <c r="D461" s="342">
        <v>184567.22517716466</v>
      </c>
    </row>
    <row r="462" spans="1:4" ht="15.95">
      <c r="A462" s="345">
        <f t="shared" ca="1" si="14"/>
        <v>0.93250904976296833</v>
      </c>
      <c r="B462" s="347" t="str">
        <f t="shared" si="15"/>
        <v>Base Case</v>
      </c>
      <c r="C462" s="346">
        <v>450</v>
      </c>
      <c r="D462" s="342">
        <v>184567.22517716466</v>
      </c>
    </row>
    <row r="463" spans="1:4" ht="15.95">
      <c r="A463" s="345">
        <f t="shared" ca="1" si="14"/>
        <v>7.814468292624388E-2</v>
      </c>
      <c r="B463" s="347" t="str">
        <f t="shared" si="15"/>
        <v>Base Case</v>
      </c>
      <c r="C463" s="346">
        <v>451</v>
      </c>
      <c r="D463" s="342">
        <v>184567.22517716466</v>
      </c>
    </row>
    <row r="464" spans="1:4" ht="15.95">
      <c r="A464" s="345">
        <f t="shared" ca="1" si="14"/>
        <v>0.55337942756866998</v>
      </c>
      <c r="B464" s="347" t="str">
        <f t="shared" si="15"/>
        <v>Base Case</v>
      </c>
      <c r="C464" s="346">
        <v>452</v>
      </c>
      <c r="D464" s="342">
        <v>184567.22517716466</v>
      </c>
    </row>
    <row r="465" spans="1:4" ht="15.95">
      <c r="A465" s="345">
        <f t="shared" ca="1" si="14"/>
        <v>0.92515870376845222</v>
      </c>
      <c r="B465" s="347" t="str">
        <f t="shared" si="15"/>
        <v>Base Case</v>
      </c>
      <c r="C465" s="346">
        <v>453</v>
      </c>
      <c r="D465" s="342">
        <v>184567.22517716466</v>
      </c>
    </row>
    <row r="466" spans="1:4" ht="15.95">
      <c r="A466" s="345">
        <f t="shared" ca="1" si="14"/>
        <v>0.30450493239140741</v>
      </c>
      <c r="B466" s="347" t="str">
        <f t="shared" si="15"/>
        <v>Base Case</v>
      </c>
      <c r="C466" s="346">
        <v>454</v>
      </c>
      <c r="D466" s="342">
        <v>184567.22517716466</v>
      </c>
    </row>
    <row r="467" spans="1:4" ht="15.95">
      <c r="A467" s="345">
        <f t="shared" ca="1" si="14"/>
        <v>0.2463956433075627</v>
      </c>
      <c r="B467" s="347" t="str">
        <f t="shared" si="15"/>
        <v>Base Case</v>
      </c>
      <c r="C467" s="346">
        <v>455</v>
      </c>
      <c r="D467" s="342">
        <v>184567.22517716466</v>
      </c>
    </row>
    <row r="468" spans="1:4" ht="15.95">
      <c r="A468" s="345">
        <f t="shared" ca="1" si="14"/>
        <v>0.95180745240815778</v>
      </c>
      <c r="B468" s="347" t="str">
        <f t="shared" si="15"/>
        <v>Base Case</v>
      </c>
      <c r="C468" s="346">
        <v>456</v>
      </c>
      <c r="D468" s="342">
        <v>184567.22517716466</v>
      </c>
    </row>
    <row r="469" spans="1:4" ht="15.95">
      <c r="A469" s="345">
        <f t="shared" ca="1" si="14"/>
        <v>0.43288393176799045</v>
      </c>
      <c r="B469" s="347" t="str">
        <f t="shared" si="15"/>
        <v>Base Case</v>
      </c>
      <c r="C469" s="346">
        <v>457</v>
      </c>
      <c r="D469" s="342">
        <v>184567.22517716466</v>
      </c>
    </row>
    <row r="470" spans="1:4" ht="15.95">
      <c r="A470" s="345">
        <f t="shared" ca="1" si="14"/>
        <v>0.57005573409498644</v>
      </c>
      <c r="B470" s="347" t="str">
        <f t="shared" si="15"/>
        <v>Base Case</v>
      </c>
      <c r="C470" s="346">
        <v>458</v>
      </c>
      <c r="D470" s="342">
        <v>184567.22517716466</v>
      </c>
    </row>
    <row r="471" spans="1:4" ht="15.95">
      <c r="A471" s="345">
        <f t="shared" ca="1" si="14"/>
        <v>0.13017581120164157</v>
      </c>
      <c r="B471" s="347" t="str">
        <f t="shared" si="15"/>
        <v>Base Case</v>
      </c>
      <c r="C471" s="346">
        <v>459</v>
      </c>
      <c r="D471" s="342">
        <v>184567.22517716466</v>
      </c>
    </row>
    <row r="472" spans="1:4" ht="15.95">
      <c r="A472" s="345">
        <f t="shared" ca="1" si="14"/>
        <v>0.40057260026818908</v>
      </c>
      <c r="B472" s="347" t="str">
        <f t="shared" si="15"/>
        <v>Base Case</v>
      </c>
      <c r="C472" s="346">
        <v>460</v>
      </c>
      <c r="D472" s="342">
        <v>184567.22517716466</v>
      </c>
    </row>
    <row r="473" spans="1:4" ht="15.95">
      <c r="A473" s="345">
        <f t="shared" ca="1" si="14"/>
        <v>0.16822979386989034</v>
      </c>
      <c r="B473" s="347" t="str">
        <f t="shared" si="15"/>
        <v>Base Case</v>
      </c>
      <c r="C473" s="346">
        <v>461</v>
      </c>
      <c r="D473" s="342">
        <v>184567.22517716466</v>
      </c>
    </row>
    <row r="474" spans="1:4" ht="15.95">
      <c r="A474" s="345">
        <f t="shared" ca="1" si="14"/>
        <v>0.75909567745536299</v>
      </c>
      <c r="B474" s="347" t="str">
        <f t="shared" si="15"/>
        <v>Base Case</v>
      </c>
      <c r="C474" s="346">
        <v>462</v>
      </c>
      <c r="D474" s="342">
        <v>184567.22517716466</v>
      </c>
    </row>
    <row r="475" spans="1:4" ht="15.95">
      <c r="A475" s="345">
        <f t="shared" ca="1" si="14"/>
        <v>0.30018736978254001</v>
      </c>
      <c r="B475" s="347" t="str">
        <f t="shared" si="15"/>
        <v>Base Case</v>
      </c>
      <c r="C475" s="346">
        <v>463</v>
      </c>
      <c r="D475" s="342">
        <v>184567.22517716466</v>
      </c>
    </row>
    <row r="476" spans="1:4" ht="15.95">
      <c r="A476" s="345">
        <f t="shared" ca="1" si="14"/>
        <v>0.2508614480125898</v>
      </c>
      <c r="B476" s="347" t="str">
        <f t="shared" si="15"/>
        <v>Base Case</v>
      </c>
      <c r="C476" s="346">
        <v>464</v>
      </c>
      <c r="D476" s="342">
        <v>184567.22517716466</v>
      </c>
    </row>
    <row r="477" spans="1:4" ht="15.95">
      <c r="A477" s="345">
        <f t="shared" ca="1" si="14"/>
        <v>1.5144197878763865E-2</v>
      </c>
      <c r="B477" s="347" t="str">
        <f t="shared" si="15"/>
        <v>Base Case</v>
      </c>
      <c r="C477" s="346">
        <v>465</v>
      </c>
      <c r="D477" s="342">
        <v>184567.22517716466</v>
      </c>
    </row>
    <row r="478" spans="1:4" ht="15.95">
      <c r="A478" s="345">
        <f t="shared" ca="1" si="14"/>
        <v>0.59765833007036551</v>
      </c>
      <c r="B478" s="347" t="str">
        <f t="shared" si="15"/>
        <v>Base Case</v>
      </c>
      <c r="C478" s="346">
        <v>466</v>
      </c>
      <c r="D478" s="342">
        <v>184567.22517716466</v>
      </c>
    </row>
    <row r="479" spans="1:4" ht="15.95">
      <c r="A479" s="345">
        <f t="shared" ca="1" si="14"/>
        <v>0.72638636468352169</v>
      </c>
      <c r="B479" s="347" t="str">
        <f t="shared" si="15"/>
        <v>Base Case</v>
      </c>
      <c r="C479" s="346">
        <v>467</v>
      </c>
      <c r="D479" s="342">
        <v>184567.22517716466</v>
      </c>
    </row>
    <row r="480" spans="1:4" ht="15.95">
      <c r="A480" s="345">
        <f t="shared" ca="1" si="14"/>
        <v>0.52053235620201288</v>
      </c>
      <c r="B480" s="347" t="str">
        <f t="shared" si="15"/>
        <v>Base Case</v>
      </c>
      <c r="C480" s="346">
        <v>468</v>
      </c>
      <c r="D480" s="342">
        <v>184567.22517716466</v>
      </c>
    </row>
    <row r="481" spans="1:4" ht="15.95">
      <c r="A481" s="345">
        <f t="shared" ca="1" si="14"/>
        <v>0.84603569883124008</v>
      </c>
      <c r="B481" s="347" t="str">
        <f t="shared" si="15"/>
        <v>Base Case</v>
      </c>
      <c r="C481" s="346">
        <v>469</v>
      </c>
      <c r="D481" s="342">
        <v>184567.22517716466</v>
      </c>
    </row>
    <row r="482" spans="1:4" ht="15.95">
      <c r="A482" s="345">
        <f t="shared" ca="1" si="14"/>
        <v>0.66458688657894571</v>
      </c>
      <c r="B482" s="347" t="str">
        <f t="shared" si="15"/>
        <v>Base Case</v>
      </c>
      <c r="C482" s="346">
        <v>470</v>
      </c>
      <c r="D482" s="342">
        <v>184567.22517716466</v>
      </c>
    </row>
    <row r="483" spans="1:4" ht="15.95">
      <c r="A483" s="345">
        <f t="shared" ca="1" si="14"/>
        <v>0.19940282588241409</v>
      </c>
      <c r="B483" s="347" t="str">
        <f t="shared" si="15"/>
        <v>Base Case</v>
      </c>
      <c r="C483" s="346">
        <v>471</v>
      </c>
      <c r="D483" s="342">
        <v>184567.22517716466</v>
      </c>
    </row>
    <row r="484" spans="1:4" ht="15.95">
      <c r="A484" s="345">
        <f t="shared" ca="1" si="14"/>
        <v>0.10550529350475346</v>
      </c>
      <c r="B484" s="347" t="str">
        <f t="shared" si="15"/>
        <v>Base Case</v>
      </c>
      <c r="C484" s="346">
        <v>472</v>
      </c>
      <c r="D484" s="342">
        <v>184567.22517716466</v>
      </c>
    </row>
    <row r="485" spans="1:4" ht="15.95">
      <c r="A485" s="345">
        <f t="shared" ca="1" si="14"/>
        <v>0.70276707440712594</v>
      </c>
      <c r="B485" s="347" t="str">
        <f t="shared" si="15"/>
        <v>Base Case</v>
      </c>
      <c r="C485" s="346">
        <v>473</v>
      </c>
      <c r="D485" s="342">
        <v>184567.22517716466</v>
      </c>
    </row>
    <row r="486" spans="1:4" ht="15.95">
      <c r="A486" s="345">
        <f t="shared" ca="1" si="14"/>
        <v>0.70841838168646232</v>
      </c>
      <c r="B486" s="347" t="str">
        <f t="shared" si="15"/>
        <v>Base Case</v>
      </c>
      <c r="C486" s="346">
        <v>474</v>
      </c>
      <c r="D486" s="342">
        <v>184567.22517716466</v>
      </c>
    </row>
    <row r="487" spans="1:4" ht="15.95">
      <c r="A487" s="345">
        <f t="shared" ca="1" si="14"/>
        <v>0.48317292476630991</v>
      </c>
      <c r="B487" s="347" t="str">
        <f t="shared" si="15"/>
        <v>Base Case</v>
      </c>
      <c r="C487" s="346">
        <v>475</v>
      </c>
      <c r="D487" s="342">
        <v>184567.22517716466</v>
      </c>
    </row>
    <row r="488" spans="1:4" ht="15.95">
      <c r="A488" s="345">
        <f t="shared" ca="1" si="14"/>
        <v>0.95593631451910122</v>
      </c>
      <c r="B488" s="347" t="str">
        <f t="shared" si="15"/>
        <v>Base Case</v>
      </c>
      <c r="C488" s="346">
        <v>476</v>
      </c>
      <c r="D488" s="342">
        <v>184567.22517716466</v>
      </c>
    </row>
    <row r="489" spans="1:4" ht="15.95">
      <c r="A489" s="345">
        <f t="shared" ca="1" si="14"/>
        <v>0.96601150245148437</v>
      </c>
      <c r="B489" s="347" t="str">
        <f t="shared" si="15"/>
        <v>Base Case</v>
      </c>
      <c r="C489" s="346">
        <v>477</v>
      </c>
      <c r="D489" s="342">
        <v>184567.22517716466</v>
      </c>
    </row>
    <row r="490" spans="1:4" ht="15.95">
      <c r="A490" s="345">
        <f t="shared" ca="1" si="14"/>
        <v>0.61776521469795043</v>
      </c>
      <c r="B490" s="347" t="str">
        <f t="shared" si="15"/>
        <v>Base Case</v>
      </c>
      <c r="C490" s="346">
        <v>478</v>
      </c>
      <c r="D490" s="342">
        <v>184567.22517716466</v>
      </c>
    </row>
    <row r="491" spans="1:4" ht="15.95">
      <c r="A491" s="345">
        <f t="shared" ca="1" si="14"/>
        <v>0.13466804646508435</v>
      </c>
      <c r="B491" s="347" t="str">
        <f t="shared" si="15"/>
        <v>Base Case</v>
      </c>
      <c r="C491" s="346">
        <v>479</v>
      </c>
      <c r="D491" s="342">
        <v>184567.22517716466</v>
      </c>
    </row>
    <row r="492" spans="1:4" ht="15.95">
      <c r="A492" s="345">
        <f t="shared" ca="1" si="14"/>
        <v>0.99596838519180786</v>
      </c>
      <c r="B492" s="347" t="str">
        <f t="shared" si="15"/>
        <v>Base Case</v>
      </c>
      <c r="C492" s="346">
        <v>480</v>
      </c>
      <c r="D492" s="342">
        <v>184567.22517716466</v>
      </c>
    </row>
    <row r="493" spans="1:4" ht="15.95">
      <c r="A493" s="345">
        <f t="shared" ca="1" si="14"/>
        <v>0.97678745991368654</v>
      </c>
      <c r="B493" s="347" t="str">
        <f t="shared" si="15"/>
        <v>Base Case</v>
      </c>
      <c r="C493" s="346">
        <v>481</v>
      </c>
      <c r="D493" s="342">
        <v>184567.22517716466</v>
      </c>
    </row>
    <row r="494" spans="1:4" ht="15.95">
      <c r="A494" s="345">
        <f t="shared" ca="1" si="14"/>
        <v>0.14205289959225176</v>
      </c>
      <c r="B494" s="347" t="str">
        <f t="shared" si="15"/>
        <v>Base Case</v>
      </c>
      <c r="C494" s="346">
        <v>482</v>
      </c>
      <c r="D494" s="342">
        <v>184567.22517716466</v>
      </c>
    </row>
    <row r="495" spans="1:4" ht="15.95">
      <c r="A495" s="345">
        <f t="shared" ca="1" si="14"/>
        <v>0.57758917409869281</v>
      </c>
      <c r="B495" s="347" t="str">
        <f t="shared" si="15"/>
        <v>Base Case</v>
      </c>
      <c r="C495" s="346">
        <v>483</v>
      </c>
      <c r="D495" s="342">
        <v>184567.22517716466</v>
      </c>
    </row>
    <row r="496" spans="1:4" ht="15.95">
      <c r="A496" s="345">
        <f t="shared" ca="1" si="14"/>
        <v>0.90468548961123063</v>
      </c>
      <c r="B496" s="347" t="str">
        <f t="shared" si="15"/>
        <v>Base Case</v>
      </c>
      <c r="C496" s="346">
        <v>484</v>
      </c>
      <c r="D496" s="342">
        <v>184567.22517716466</v>
      </c>
    </row>
    <row r="497" spans="1:4" ht="15.95">
      <c r="A497" s="345">
        <f t="shared" ca="1" si="14"/>
        <v>0.27313250995771188</v>
      </c>
      <c r="B497" s="347" t="str">
        <f t="shared" si="15"/>
        <v>Base Case</v>
      </c>
      <c r="C497" s="346">
        <v>485</v>
      </c>
      <c r="D497" s="342">
        <v>184567.22517716466</v>
      </c>
    </row>
    <row r="498" spans="1:4" ht="15.95">
      <c r="A498" s="345">
        <f t="shared" ca="1" si="14"/>
        <v>0.95730840312932375</v>
      </c>
      <c r="B498" s="347" t="str">
        <f t="shared" si="15"/>
        <v>Base Case</v>
      </c>
      <c r="C498" s="346">
        <v>486</v>
      </c>
      <c r="D498" s="342">
        <v>184567.22517716466</v>
      </c>
    </row>
    <row r="499" spans="1:4" ht="15.95">
      <c r="A499" s="345">
        <f t="shared" ca="1" si="14"/>
        <v>0.75809975527709095</v>
      </c>
      <c r="B499" s="347" t="str">
        <f t="shared" si="15"/>
        <v>Base Case</v>
      </c>
      <c r="C499" s="346">
        <v>487</v>
      </c>
      <c r="D499" s="342">
        <v>184567.22517716466</v>
      </c>
    </row>
    <row r="500" spans="1:4" ht="15.95">
      <c r="A500" s="345">
        <f t="shared" ca="1" si="14"/>
        <v>0.14050472685171733</v>
      </c>
      <c r="B500" s="347" t="str">
        <f t="shared" si="15"/>
        <v>Base Case</v>
      </c>
      <c r="C500" s="346">
        <v>488</v>
      </c>
      <c r="D500" s="342">
        <v>184567.22517716466</v>
      </c>
    </row>
    <row r="501" spans="1:4" ht="15.95">
      <c r="A501" s="345">
        <f t="shared" ca="1" si="14"/>
        <v>0.18009397536257576</v>
      </c>
      <c r="B501" s="347" t="str">
        <f t="shared" si="15"/>
        <v>Base Case</v>
      </c>
      <c r="C501" s="346">
        <v>489</v>
      </c>
      <c r="D501" s="342">
        <v>184567.22517716466</v>
      </c>
    </row>
    <row r="502" spans="1:4" ht="15.95">
      <c r="A502" s="345">
        <f t="shared" ca="1" si="14"/>
        <v>3.0322061898126362E-2</v>
      </c>
      <c r="B502" s="347" t="str">
        <f t="shared" si="15"/>
        <v>Base Case</v>
      </c>
      <c r="C502" s="346">
        <v>490</v>
      </c>
      <c r="D502" s="342">
        <v>184567.22517716466</v>
      </c>
    </row>
    <row r="503" spans="1:4" ht="15.95">
      <c r="A503" s="345">
        <f t="shared" ca="1" si="14"/>
        <v>0.11515039777178016</v>
      </c>
      <c r="B503" s="347" t="str">
        <f t="shared" si="15"/>
        <v>Base Case</v>
      </c>
      <c r="C503" s="346">
        <v>491</v>
      </c>
      <c r="D503" s="342">
        <v>184567.22517716466</v>
      </c>
    </row>
    <row r="504" spans="1:4" ht="15.95">
      <c r="A504" s="345">
        <f t="shared" ca="1" si="14"/>
        <v>0.13389325476512481</v>
      </c>
      <c r="B504" s="347" t="str">
        <f t="shared" si="15"/>
        <v>Base Case</v>
      </c>
      <c r="C504" s="346">
        <v>492</v>
      </c>
      <c r="D504" s="342">
        <v>184567.22517716466</v>
      </c>
    </row>
    <row r="505" spans="1:4" ht="15.95">
      <c r="A505" s="345">
        <f t="shared" ca="1" si="14"/>
        <v>0.20560021914945015</v>
      </c>
      <c r="B505" s="347" t="str">
        <f t="shared" si="15"/>
        <v>Base Case</v>
      </c>
      <c r="C505" s="346">
        <v>493</v>
      </c>
      <c r="D505" s="342">
        <v>184567.22517716466</v>
      </c>
    </row>
    <row r="506" spans="1:4" ht="15.95">
      <c r="A506" s="345">
        <f t="shared" ca="1" si="14"/>
        <v>0.71579491080329027</v>
      </c>
      <c r="B506" s="347" t="str">
        <f t="shared" si="15"/>
        <v>Base Case</v>
      </c>
      <c r="C506" s="346">
        <v>494</v>
      </c>
      <c r="D506" s="342">
        <v>184567.22517716466</v>
      </c>
    </row>
    <row r="507" spans="1:4" ht="15.95">
      <c r="A507" s="345">
        <f t="shared" ca="1" si="14"/>
        <v>0.15428835264917484</v>
      </c>
      <c r="B507" s="347" t="str">
        <f t="shared" si="15"/>
        <v>Base Case</v>
      </c>
      <c r="C507" s="346">
        <v>495</v>
      </c>
      <c r="D507" s="342">
        <v>184567.22517716466</v>
      </c>
    </row>
    <row r="508" spans="1:4" ht="15.95">
      <c r="A508" s="345">
        <f t="shared" ca="1" si="14"/>
        <v>9.4000364748091036E-2</v>
      </c>
      <c r="B508" s="347" t="str">
        <f t="shared" si="15"/>
        <v>Base Case</v>
      </c>
      <c r="C508" s="346">
        <v>496</v>
      </c>
      <c r="D508" s="342">
        <v>184567.22517716466</v>
      </c>
    </row>
    <row r="509" spans="1:4" ht="15.95">
      <c r="A509" s="345">
        <f t="shared" ca="1" si="14"/>
        <v>0.62289371837070395</v>
      </c>
      <c r="B509" s="347" t="str">
        <f t="shared" si="15"/>
        <v>Base Case</v>
      </c>
      <c r="C509" s="346">
        <v>497</v>
      </c>
      <c r="D509" s="342">
        <v>184567.22517716466</v>
      </c>
    </row>
    <row r="510" spans="1:4" ht="15.95">
      <c r="A510" s="345">
        <f t="shared" ca="1" si="14"/>
        <v>0.36296217601538527</v>
      </c>
      <c r="B510" s="347" t="str">
        <f t="shared" si="15"/>
        <v>Base Case</v>
      </c>
      <c r="C510" s="346">
        <v>498</v>
      </c>
      <c r="D510" s="342">
        <v>184567.22517716466</v>
      </c>
    </row>
    <row r="511" spans="1:4" ht="15.95">
      <c r="A511" s="345">
        <f t="shared" ca="1" si="14"/>
        <v>0.2755007380196528</v>
      </c>
      <c r="B511" s="347" t="str">
        <f t="shared" si="15"/>
        <v>Base Case</v>
      </c>
      <c r="C511" s="346">
        <v>499</v>
      </c>
      <c r="D511" s="342">
        <v>184567.22517716466</v>
      </c>
    </row>
    <row r="512" spans="1:4" ht="15.95">
      <c r="A512" s="345">
        <f t="shared" ca="1" si="14"/>
        <v>0.43741716782908824</v>
      </c>
      <c r="B512" s="347" t="str">
        <f t="shared" si="15"/>
        <v>Base Case</v>
      </c>
      <c r="C512" s="346">
        <v>500</v>
      </c>
      <c r="D512" s="342">
        <v>184567.22517716466</v>
      </c>
    </row>
    <row r="513" spans="1:4" ht="15.95">
      <c r="A513" s="345">
        <f t="shared" ca="1" si="14"/>
        <v>0.67293248612412837</v>
      </c>
      <c r="B513" s="347" t="str">
        <f t="shared" si="15"/>
        <v>Base Case</v>
      </c>
      <c r="C513" s="346">
        <v>501</v>
      </c>
      <c r="D513" s="342">
        <v>184567.22517716466</v>
      </c>
    </row>
    <row r="514" spans="1:4" ht="15.95">
      <c r="A514" s="345">
        <f t="shared" ca="1" si="14"/>
        <v>0.40998777859994062</v>
      </c>
      <c r="B514" s="347" t="str">
        <f t="shared" si="15"/>
        <v>Base Case</v>
      </c>
      <c r="C514" s="346">
        <v>502</v>
      </c>
      <c r="D514" s="342">
        <v>184567.22517716466</v>
      </c>
    </row>
    <row r="515" spans="1:4" ht="15.95">
      <c r="A515" s="345">
        <f t="shared" ca="1" si="14"/>
        <v>0.75724017296798596</v>
      </c>
      <c r="B515" s="347" t="str">
        <f t="shared" si="15"/>
        <v>Base Case</v>
      </c>
      <c r="C515" s="346">
        <v>503</v>
      </c>
      <c r="D515" s="342">
        <v>184567.22517716466</v>
      </c>
    </row>
    <row r="516" spans="1:4" ht="15.95">
      <c r="A516" s="345">
        <f t="shared" ca="1" si="14"/>
        <v>0.80123663089827069</v>
      </c>
      <c r="B516" s="347" t="str">
        <f t="shared" si="15"/>
        <v>Base Case</v>
      </c>
      <c r="C516" s="346">
        <v>504</v>
      </c>
      <c r="D516" s="342">
        <v>184567.22517716466</v>
      </c>
    </row>
    <row r="517" spans="1:4" ht="15.95">
      <c r="A517" s="345">
        <f t="shared" ca="1" si="14"/>
        <v>0.29634190737047905</v>
      </c>
      <c r="B517" s="347" t="str">
        <f t="shared" si="15"/>
        <v>Base Case</v>
      </c>
      <c r="C517" s="346">
        <v>505</v>
      </c>
      <c r="D517" s="342">
        <v>184567.22517716466</v>
      </c>
    </row>
    <row r="518" spans="1:4" ht="15.95">
      <c r="A518" s="345">
        <f t="shared" ca="1" si="14"/>
        <v>0.25055781042994851</v>
      </c>
      <c r="B518" s="347" t="str">
        <f t="shared" si="15"/>
        <v>Base Case</v>
      </c>
      <c r="C518" s="346">
        <v>506</v>
      </c>
      <c r="D518" s="342">
        <v>184567.22517716466</v>
      </c>
    </row>
    <row r="519" spans="1:4" ht="15.95">
      <c r="A519" s="345">
        <f t="shared" ca="1" si="14"/>
        <v>0.39805621811556857</v>
      </c>
      <c r="B519" s="347" t="str">
        <f t="shared" si="15"/>
        <v>Base Case</v>
      </c>
      <c r="C519" s="346">
        <v>507</v>
      </c>
      <c r="D519" s="342">
        <v>184567.22517716466</v>
      </c>
    </row>
    <row r="520" spans="1:4" ht="15.95">
      <c r="A520" s="345">
        <f t="shared" ca="1" si="14"/>
        <v>0.51881772603430565</v>
      </c>
      <c r="B520" s="347" t="str">
        <f t="shared" si="15"/>
        <v>Base Case</v>
      </c>
      <c r="C520" s="346">
        <v>508</v>
      </c>
      <c r="D520" s="342">
        <v>184567.22517716466</v>
      </c>
    </row>
    <row r="521" spans="1:4" ht="15.95">
      <c r="A521" s="345">
        <f t="shared" ca="1" si="14"/>
        <v>0.88772729425455144</v>
      </c>
      <c r="B521" s="347" t="str">
        <f t="shared" si="15"/>
        <v>Base Case</v>
      </c>
      <c r="C521" s="346">
        <v>509</v>
      </c>
      <c r="D521" s="342">
        <v>184567.22517716466</v>
      </c>
    </row>
    <row r="522" spans="1:4" ht="15.95">
      <c r="A522" s="345">
        <f t="shared" ca="1" si="14"/>
        <v>0.45958854775199243</v>
      </c>
      <c r="B522" s="347" t="str">
        <f t="shared" si="15"/>
        <v>Base Case</v>
      </c>
      <c r="C522" s="346">
        <v>510</v>
      </c>
      <c r="D522" s="342">
        <v>184567.22517716466</v>
      </c>
    </row>
    <row r="523" spans="1:4" ht="15.95">
      <c r="A523" s="345">
        <f t="shared" ca="1" si="14"/>
        <v>0.22724018008661773</v>
      </c>
      <c r="B523" s="347" t="str">
        <f t="shared" si="15"/>
        <v>Base Case</v>
      </c>
      <c r="C523" s="346">
        <v>511</v>
      </c>
      <c r="D523" s="342">
        <v>184567.22517716466</v>
      </c>
    </row>
    <row r="524" spans="1:4" ht="15.95">
      <c r="A524" s="345">
        <f t="shared" ca="1" si="14"/>
        <v>0.85862551832329048</v>
      </c>
      <c r="B524" s="347" t="str">
        <f t="shared" si="15"/>
        <v>Base Case</v>
      </c>
      <c r="C524" s="346">
        <v>512</v>
      </c>
      <c r="D524" s="342">
        <v>184567.22517716466</v>
      </c>
    </row>
    <row r="525" spans="1:4" ht="15.95">
      <c r="A525" s="345">
        <f t="shared" ref="A525:A588" ca="1" si="16">RAND()</f>
        <v>0.54730332378829893</v>
      </c>
      <c r="B525" s="347" t="str">
        <f t="shared" ref="B525:B588" si="17">IF(OR($B$1=1, $B$1=2), IF(A525&lt;=(B$5-B$4)/(B$6-B$4),$B$4+SQRT(A525*(B$6-B$4)*(B$5-B$4)),B$6-SQRT((1-A525)*(B$6-B$4)*(-B$5+B$6))),IF($B$1=3, "All Simuls","Base Case"))</f>
        <v>Base Case</v>
      </c>
      <c r="C525" s="346">
        <v>513</v>
      </c>
      <c r="D525" s="342">
        <v>184567.22517716466</v>
      </c>
    </row>
    <row r="526" spans="1:4" ht="15.95">
      <c r="A526" s="345">
        <f t="shared" ca="1" si="16"/>
        <v>0.70943033272877798</v>
      </c>
      <c r="B526" s="347" t="str">
        <f t="shared" si="17"/>
        <v>Base Case</v>
      </c>
      <c r="C526" s="346">
        <v>514</v>
      </c>
      <c r="D526" s="342">
        <v>184567.22517716466</v>
      </c>
    </row>
    <row r="527" spans="1:4" ht="15.95">
      <c r="A527" s="345">
        <f t="shared" ca="1" si="16"/>
        <v>0.23867562694631195</v>
      </c>
      <c r="B527" s="347" t="str">
        <f t="shared" si="17"/>
        <v>Base Case</v>
      </c>
      <c r="C527" s="346">
        <v>515</v>
      </c>
      <c r="D527" s="342">
        <v>184567.22517716466</v>
      </c>
    </row>
    <row r="528" spans="1:4" ht="15.95">
      <c r="A528" s="345">
        <f t="shared" ca="1" si="16"/>
        <v>0.60043773516298904</v>
      </c>
      <c r="B528" s="347" t="str">
        <f t="shared" si="17"/>
        <v>Base Case</v>
      </c>
      <c r="C528" s="346">
        <v>516</v>
      </c>
      <c r="D528" s="342">
        <v>184567.22517716466</v>
      </c>
    </row>
    <row r="529" spans="1:4" ht="15.95">
      <c r="A529" s="345">
        <f t="shared" ca="1" si="16"/>
        <v>0.73321239755565903</v>
      </c>
      <c r="B529" s="347" t="str">
        <f t="shared" si="17"/>
        <v>Base Case</v>
      </c>
      <c r="C529" s="346">
        <v>517</v>
      </c>
      <c r="D529" s="342">
        <v>184567.22517716466</v>
      </c>
    </row>
    <row r="530" spans="1:4" ht="15.95">
      <c r="A530" s="345">
        <f t="shared" ca="1" si="16"/>
        <v>0.12445170898073887</v>
      </c>
      <c r="B530" s="347" t="str">
        <f t="shared" si="17"/>
        <v>Base Case</v>
      </c>
      <c r="C530" s="346">
        <v>518</v>
      </c>
      <c r="D530" s="342">
        <v>184567.22517716466</v>
      </c>
    </row>
    <row r="531" spans="1:4" ht="15.95">
      <c r="A531" s="345">
        <f t="shared" ca="1" si="16"/>
        <v>0.72174119265032577</v>
      </c>
      <c r="B531" s="347" t="str">
        <f t="shared" si="17"/>
        <v>Base Case</v>
      </c>
      <c r="C531" s="346">
        <v>519</v>
      </c>
      <c r="D531" s="342">
        <v>184567.22517716466</v>
      </c>
    </row>
    <row r="532" spans="1:4" ht="15.95">
      <c r="A532" s="345">
        <f t="shared" ca="1" si="16"/>
        <v>0.6055954944012607</v>
      </c>
      <c r="B532" s="347" t="str">
        <f t="shared" si="17"/>
        <v>Base Case</v>
      </c>
      <c r="C532" s="346">
        <v>520</v>
      </c>
      <c r="D532" s="342">
        <v>184567.22517716466</v>
      </c>
    </row>
    <row r="533" spans="1:4" ht="15.95">
      <c r="A533" s="345">
        <f t="shared" ca="1" si="16"/>
        <v>0.3526008958023723</v>
      </c>
      <c r="B533" s="347" t="str">
        <f t="shared" si="17"/>
        <v>Base Case</v>
      </c>
      <c r="C533" s="346">
        <v>521</v>
      </c>
      <c r="D533" s="342">
        <v>184567.22517716466</v>
      </c>
    </row>
    <row r="534" spans="1:4" ht="15.95">
      <c r="A534" s="345">
        <f t="shared" ca="1" si="16"/>
        <v>0.14663213365025052</v>
      </c>
      <c r="B534" s="347" t="str">
        <f t="shared" si="17"/>
        <v>Base Case</v>
      </c>
      <c r="C534" s="346">
        <v>522</v>
      </c>
      <c r="D534" s="342">
        <v>184567.22517716466</v>
      </c>
    </row>
    <row r="535" spans="1:4" ht="15.95">
      <c r="A535" s="345">
        <f t="shared" ca="1" si="16"/>
        <v>8.0818144408985715E-2</v>
      </c>
      <c r="B535" s="347" t="str">
        <f t="shared" si="17"/>
        <v>Base Case</v>
      </c>
      <c r="C535" s="346">
        <v>523</v>
      </c>
      <c r="D535" s="342">
        <v>184567.22517716466</v>
      </c>
    </row>
    <row r="536" spans="1:4" ht="15.95">
      <c r="A536" s="345">
        <f t="shared" ca="1" si="16"/>
        <v>0.44685097091327886</v>
      </c>
      <c r="B536" s="347" t="str">
        <f t="shared" si="17"/>
        <v>Base Case</v>
      </c>
      <c r="C536" s="346">
        <v>524</v>
      </c>
      <c r="D536" s="342">
        <v>184567.22517716466</v>
      </c>
    </row>
    <row r="537" spans="1:4" ht="15.95">
      <c r="A537" s="345">
        <f t="shared" ca="1" si="16"/>
        <v>0.29972657138031766</v>
      </c>
      <c r="B537" s="347" t="str">
        <f t="shared" si="17"/>
        <v>Base Case</v>
      </c>
      <c r="C537" s="346">
        <v>525</v>
      </c>
      <c r="D537" s="342">
        <v>184567.22517716466</v>
      </c>
    </row>
    <row r="538" spans="1:4" ht="15.95">
      <c r="A538" s="345">
        <f t="shared" ca="1" si="16"/>
        <v>0.25559039154961349</v>
      </c>
      <c r="B538" s="347" t="str">
        <f t="shared" si="17"/>
        <v>Base Case</v>
      </c>
      <c r="C538" s="346">
        <v>526</v>
      </c>
      <c r="D538" s="342">
        <v>184567.22517716466</v>
      </c>
    </row>
    <row r="539" spans="1:4" ht="15.95">
      <c r="A539" s="345">
        <f t="shared" ca="1" si="16"/>
        <v>0.86788532655896655</v>
      </c>
      <c r="B539" s="347" t="str">
        <f t="shared" si="17"/>
        <v>Base Case</v>
      </c>
      <c r="C539" s="346">
        <v>527</v>
      </c>
      <c r="D539" s="342">
        <v>184567.22517716466</v>
      </c>
    </row>
    <row r="540" spans="1:4" ht="15.95">
      <c r="A540" s="345">
        <f t="shared" ca="1" si="16"/>
        <v>0.42173555755846104</v>
      </c>
      <c r="B540" s="347" t="str">
        <f t="shared" si="17"/>
        <v>Base Case</v>
      </c>
      <c r="C540" s="346">
        <v>528</v>
      </c>
      <c r="D540" s="342">
        <v>184567.22517716466</v>
      </c>
    </row>
    <row r="541" spans="1:4" ht="15.95">
      <c r="A541" s="345">
        <f t="shared" ca="1" si="16"/>
        <v>0.82492220557008911</v>
      </c>
      <c r="B541" s="347" t="str">
        <f t="shared" si="17"/>
        <v>Base Case</v>
      </c>
      <c r="C541" s="346">
        <v>529</v>
      </c>
      <c r="D541" s="342">
        <v>184567.22517716466</v>
      </c>
    </row>
    <row r="542" spans="1:4" ht="15.95">
      <c r="A542" s="345">
        <f t="shared" ca="1" si="16"/>
        <v>0.59068302338107226</v>
      </c>
      <c r="B542" s="347" t="str">
        <f t="shared" si="17"/>
        <v>Base Case</v>
      </c>
      <c r="C542" s="346">
        <v>530</v>
      </c>
      <c r="D542" s="342">
        <v>184567.22517716466</v>
      </c>
    </row>
    <row r="543" spans="1:4" ht="15.95">
      <c r="A543" s="345">
        <f t="shared" ca="1" si="16"/>
        <v>0.35080681569366323</v>
      </c>
      <c r="B543" s="347" t="str">
        <f t="shared" si="17"/>
        <v>Base Case</v>
      </c>
      <c r="C543" s="346">
        <v>531</v>
      </c>
      <c r="D543" s="342">
        <v>184567.22517716466</v>
      </c>
    </row>
    <row r="544" spans="1:4" ht="15.95">
      <c r="A544" s="345">
        <f t="shared" ca="1" si="16"/>
        <v>0.18034171449817349</v>
      </c>
      <c r="B544" s="347" t="str">
        <f t="shared" si="17"/>
        <v>Base Case</v>
      </c>
      <c r="C544" s="346">
        <v>532</v>
      </c>
      <c r="D544" s="342">
        <v>184567.22517716466</v>
      </c>
    </row>
    <row r="545" spans="1:4" ht="15.95">
      <c r="A545" s="345">
        <f t="shared" ca="1" si="16"/>
        <v>2.1991709511396174E-2</v>
      </c>
      <c r="B545" s="347" t="str">
        <f t="shared" si="17"/>
        <v>Base Case</v>
      </c>
      <c r="C545" s="346">
        <v>533</v>
      </c>
      <c r="D545" s="342">
        <v>184567.22517716466</v>
      </c>
    </row>
    <row r="546" spans="1:4" ht="15.95">
      <c r="A546" s="345">
        <f t="shared" ca="1" si="16"/>
        <v>0.17889704170878373</v>
      </c>
      <c r="B546" s="347" t="str">
        <f t="shared" si="17"/>
        <v>Base Case</v>
      </c>
      <c r="C546" s="346">
        <v>534</v>
      </c>
      <c r="D546" s="342">
        <v>184567.22517716466</v>
      </c>
    </row>
    <row r="547" spans="1:4" ht="15.95">
      <c r="A547" s="345">
        <f t="shared" ca="1" si="16"/>
        <v>0.52855284786576673</v>
      </c>
      <c r="B547" s="347" t="str">
        <f t="shared" si="17"/>
        <v>Base Case</v>
      </c>
      <c r="C547" s="346">
        <v>535</v>
      </c>
      <c r="D547" s="342">
        <v>184567.22517716466</v>
      </c>
    </row>
    <row r="548" spans="1:4" ht="15.95">
      <c r="A548" s="345">
        <f t="shared" ca="1" si="16"/>
        <v>0.14237075131433541</v>
      </c>
      <c r="B548" s="347" t="str">
        <f t="shared" si="17"/>
        <v>Base Case</v>
      </c>
      <c r="C548" s="346">
        <v>536</v>
      </c>
      <c r="D548" s="342">
        <v>184567.22517716466</v>
      </c>
    </row>
    <row r="549" spans="1:4" ht="15.95">
      <c r="A549" s="345">
        <f t="shared" ca="1" si="16"/>
        <v>0.59606149344773363</v>
      </c>
      <c r="B549" s="347" t="str">
        <f t="shared" si="17"/>
        <v>Base Case</v>
      </c>
      <c r="C549" s="346">
        <v>537</v>
      </c>
      <c r="D549" s="342">
        <v>184567.22517716466</v>
      </c>
    </row>
    <row r="550" spans="1:4" ht="15.95">
      <c r="A550" s="345">
        <f t="shared" ca="1" si="16"/>
        <v>0.6540023047462763</v>
      </c>
      <c r="B550" s="347" t="str">
        <f t="shared" si="17"/>
        <v>Base Case</v>
      </c>
      <c r="C550" s="346">
        <v>538</v>
      </c>
      <c r="D550" s="342">
        <v>184567.22517716466</v>
      </c>
    </row>
    <row r="551" spans="1:4" ht="15.95">
      <c r="A551" s="345">
        <f t="shared" ca="1" si="16"/>
        <v>0.10142360129869277</v>
      </c>
      <c r="B551" s="347" t="str">
        <f t="shared" si="17"/>
        <v>Base Case</v>
      </c>
      <c r="C551" s="346">
        <v>539</v>
      </c>
      <c r="D551" s="342">
        <v>184567.22517716466</v>
      </c>
    </row>
    <row r="552" spans="1:4" ht="15.95">
      <c r="A552" s="345">
        <f t="shared" ca="1" si="16"/>
        <v>0.32961046036152486</v>
      </c>
      <c r="B552" s="347" t="str">
        <f t="shared" si="17"/>
        <v>Base Case</v>
      </c>
      <c r="C552" s="346">
        <v>540</v>
      </c>
      <c r="D552" s="342">
        <v>184567.22517716466</v>
      </c>
    </row>
    <row r="553" spans="1:4" ht="15.95">
      <c r="A553" s="345">
        <f t="shared" ca="1" si="16"/>
        <v>0.78966726176500124</v>
      </c>
      <c r="B553" s="347" t="str">
        <f t="shared" si="17"/>
        <v>Base Case</v>
      </c>
      <c r="C553" s="346">
        <v>541</v>
      </c>
      <c r="D553" s="342">
        <v>184567.22517716466</v>
      </c>
    </row>
    <row r="554" spans="1:4" ht="15.95">
      <c r="A554" s="345">
        <f t="shared" ca="1" si="16"/>
        <v>0.65448494253922107</v>
      </c>
      <c r="B554" s="347" t="str">
        <f t="shared" si="17"/>
        <v>Base Case</v>
      </c>
      <c r="C554" s="346">
        <v>542</v>
      </c>
      <c r="D554" s="342">
        <v>184567.22517716466</v>
      </c>
    </row>
    <row r="555" spans="1:4" ht="15.95">
      <c r="A555" s="345">
        <f t="shared" ca="1" si="16"/>
        <v>3.2175506013237043E-2</v>
      </c>
      <c r="B555" s="347" t="str">
        <f t="shared" si="17"/>
        <v>Base Case</v>
      </c>
      <c r="C555" s="346">
        <v>543</v>
      </c>
      <c r="D555" s="342">
        <v>184567.22517716466</v>
      </c>
    </row>
    <row r="556" spans="1:4" ht="15.95">
      <c r="A556" s="345">
        <f t="shared" ca="1" si="16"/>
        <v>7.3054308160495851E-2</v>
      </c>
      <c r="B556" s="347" t="str">
        <f t="shared" si="17"/>
        <v>Base Case</v>
      </c>
      <c r="C556" s="346">
        <v>544</v>
      </c>
      <c r="D556" s="342">
        <v>184567.22517716466</v>
      </c>
    </row>
    <row r="557" spans="1:4" ht="15.95">
      <c r="A557" s="345">
        <f t="shared" ca="1" si="16"/>
        <v>0.43234050439229965</v>
      </c>
      <c r="B557" s="347" t="str">
        <f t="shared" si="17"/>
        <v>Base Case</v>
      </c>
      <c r="C557" s="346">
        <v>545</v>
      </c>
      <c r="D557" s="342">
        <v>184567.22517716466</v>
      </c>
    </row>
    <row r="558" spans="1:4" ht="15.95">
      <c r="A558" s="345">
        <f t="shared" ca="1" si="16"/>
        <v>0.66344848895321062</v>
      </c>
      <c r="B558" s="347" t="str">
        <f t="shared" si="17"/>
        <v>Base Case</v>
      </c>
      <c r="C558" s="346">
        <v>546</v>
      </c>
      <c r="D558" s="342">
        <v>184567.22517716466</v>
      </c>
    </row>
    <row r="559" spans="1:4" ht="15.95">
      <c r="A559" s="345">
        <f t="shared" ca="1" si="16"/>
        <v>0.48562585186403251</v>
      </c>
      <c r="B559" s="347" t="str">
        <f t="shared" si="17"/>
        <v>Base Case</v>
      </c>
      <c r="C559" s="346">
        <v>547</v>
      </c>
      <c r="D559" s="342">
        <v>184567.22517716466</v>
      </c>
    </row>
    <row r="560" spans="1:4" ht="15.95">
      <c r="A560" s="345">
        <f t="shared" ca="1" si="16"/>
        <v>0.44642421089959738</v>
      </c>
      <c r="B560" s="347" t="str">
        <f t="shared" si="17"/>
        <v>Base Case</v>
      </c>
      <c r="C560" s="346">
        <v>548</v>
      </c>
      <c r="D560" s="342">
        <v>184567.22517716466</v>
      </c>
    </row>
    <row r="561" spans="1:4" ht="15.95">
      <c r="A561" s="345">
        <f t="shared" ca="1" si="16"/>
        <v>0.29779501435197497</v>
      </c>
      <c r="B561" s="347" t="str">
        <f t="shared" si="17"/>
        <v>Base Case</v>
      </c>
      <c r="C561" s="346">
        <v>549</v>
      </c>
      <c r="D561" s="342">
        <v>184567.22517716466</v>
      </c>
    </row>
    <row r="562" spans="1:4" ht="15.95">
      <c r="A562" s="345">
        <f t="shared" ca="1" si="16"/>
        <v>0.94900356275096709</v>
      </c>
      <c r="B562" s="347" t="str">
        <f t="shared" si="17"/>
        <v>Base Case</v>
      </c>
      <c r="C562" s="346">
        <v>550</v>
      </c>
      <c r="D562" s="342">
        <v>184567.22517716466</v>
      </c>
    </row>
    <row r="563" spans="1:4" ht="15.95">
      <c r="A563" s="345">
        <f t="shared" ca="1" si="16"/>
        <v>0.51186731506047223</v>
      </c>
      <c r="B563" s="347" t="str">
        <f t="shared" si="17"/>
        <v>Base Case</v>
      </c>
      <c r="C563" s="346">
        <v>551</v>
      </c>
      <c r="D563" s="342">
        <v>184567.22517716466</v>
      </c>
    </row>
    <row r="564" spans="1:4" ht="15.95">
      <c r="A564" s="345">
        <f t="shared" ca="1" si="16"/>
        <v>0.88504659344024184</v>
      </c>
      <c r="B564" s="347" t="str">
        <f t="shared" si="17"/>
        <v>Base Case</v>
      </c>
      <c r="C564" s="346">
        <v>552</v>
      </c>
      <c r="D564" s="342">
        <v>184567.22517716466</v>
      </c>
    </row>
    <row r="565" spans="1:4" ht="15.95">
      <c r="A565" s="345">
        <f t="shared" ca="1" si="16"/>
        <v>0.50317243947629287</v>
      </c>
      <c r="B565" s="347" t="str">
        <f t="shared" si="17"/>
        <v>Base Case</v>
      </c>
      <c r="C565" s="346">
        <v>553</v>
      </c>
      <c r="D565" s="342">
        <v>184567.22517716466</v>
      </c>
    </row>
    <row r="566" spans="1:4" ht="15.95">
      <c r="A566" s="345">
        <f t="shared" ca="1" si="16"/>
        <v>2.2422522132053979E-3</v>
      </c>
      <c r="B566" s="347" t="str">
        <f t="shared" si="17"/>
        <v>Base Case</v>
      </c>
      <c r="C566" s="346">
        <v>554</v>
      </c>
      <c r="D566" s="342">
        <v>184567.22517716466</v>
      </c>
    </row>
    <row r="567" spans="1:4" ht="15.95">
      <c r="A567" s="345">
        <f t="shared" ca="1" si="16"/>
        <v>0.15952108944280563</v>
      </c>
      <c r="B567" s="347" t="str">
        <f t="shared" si="17"/>
        <v>Base Case</v>
      </c>
      <c r="C567" s="346">
        <v>555</v>
      </c>
      <c r="D567" s="342">
        <v>184567.22517716466</v>
      </c>
    </row>
    <row r="568" spans="1:4" ht="15.95">
      <c r="A568" s="345">
        <f t="shared" ca="1" si="16"/>
        <v>0.95293121243901391</v>
      </c>
      <c r="B568" s="347" t="str">
        <f t="shared" si="17"/>
        <v>Base Case</v>
      </c>
      <c r="C568" s="346">
        <v>556</v>
      </c>
      <c r="D568" s="342">
        <v>184567.22517716466</v>
      </c>
    </row>
    <row r="569" spans="1:4" ht="15.95">
      <c r="A569" s="345">
        <f t="shared" ca="1" si="16"/>
        <v>9.8551986115576917E-2</v>
      </c>
      <c r="B569" s="347" t="str">
        <f t="shared" si="17"/>
        <v>Base Case</v>
      </c>
      <c r="C569" s="346">
        <v>557</v>
      </c>
      <c r="D569" s="342">
        <v>184567.22517716466</v>
      </c>
    </row>
    <row r="570" spans="1:4" ht="15.95">
      <c r="A570" s="345">
        <f t="shared" ca="1" si="16"/>
        <v>0.17952072178482548</v>
      </c>
      <c r="B570" s="347" t="str">
        <f t="shared" si="17"/>
        <v>Base Case</v>
      </c>
      <c r="C570" s="346">
        <v>558</v>
      </c>
      <c r="D570" s="342">
        <v>184567.22517716466</v>
      </c>
    </row>
    <row r="571" spans="1:4" ht="15.95">
      <c r="A571" s="345">
        <f t="shared" ca="1" si="16"/>
        <v>0.43203538388330875</v>
      </c>
      <c r="B571" s="347" t="str">
        <f t="shared" si="17"/>
        <v>Base Case</v>
      </c>
      <c r="C571" s="346">
        <v>559</v>
      </c>
      <c r="D571" s="342">
        <v>184567.22517716466</v>
      </c>
    </row>
    <row r="572" spans="1:4" ht="15.95">
      <c r="A572" s="345">
        <f t="shared" ca="1" si="16"/>
        <v>0.59308772862489656</v>
      </c>
      <c r="B572" s="347" t="str">
        <f t="shared" si="17"/>
        <v>Base Case</v>
      </c>
      <c r="C572" s="346">
        <v>560</v>
      </c>
      <c r="D572" s="342">
        <v>184567.22517716466</v>
      </c>
    </row>
    <row r="573" spans="1:4" ht="15.95">
      <c r="A573" s="345">
        <f t="shared" ca="1" si="16"/>
        <v>0.79154973502161019</v>
      </c>
      <c r="B573" s="347" t="str">
        <f t="shared" si="17"/>
        <v>Base Case</v>
      </c>
      <c r="C573" s="346">
        <v>561</v>
      </c>
      <c r="D573" s="342">
        <v>184567.22517716466</v>
      </c>
    </row>
    <row r="574" spans="1:4" ht="15.95">
      <c r="A574" s="345">
        <f t="shared" ca="1" si="16"/>
        <v>0.32265396620543518</v>
      </c>
      <c r="B574" s="347" t="str">
        <f t="shared" si="17"/>
        <v>Base Case</v>
      </c>
      <c r="C574" s="346">
        <v>562</v>
      </c>
      <c r="D574" s="342">
        <v>184567.22517716466</v>
      </c>
    </row>
    <row r="575" spans="1:4" ht="15.95">
      <c r="A575" s="345">
        <f t="shared" ca="1" si="16"/>
        <v>0.34549331550806206</v>
      </c>
      <c r="B575" s="347" t="str">
        <f t="shared" si="17"/>
        <v>Base Case</v>
      </c>
      <c r="C575" s="346">
        <v>563</v>
      </c>
      <c r="D575" s="342">
        <v>184567.22517716466</v>
      </c>
    </row>
    <row r="576" spans="1:4" ht="15.95">
      <c r="A576" s="345">
        <f t="shared" ca="1" si="16"/>
        <v>0.96138375761269212</v>
      </c>
      <c r="B576" s="347" t="str">
        <f t="shared" si="17"/>
        <v>Base Case</v>
      </c>
      <c r="C576" s="346">
        <v>564</v>
      </c>
      <c r="D576" s="342">
        <v>184567.22517716466</v>
      </c>
    </row>
    <row r="577" spans="1:4" ht="15.95">
      <c r="A577" s="345">
        <f t="shared" ca="1" si="16"/>
        <v>0.7767486552752092</v>
      </c>
      <c r="B577" s="347" t="str">
        <f t="shared" si="17"/>
        <v>Base Case</v>
      </c>
      <c r="C577" s="346">
        <v>565</v>
      </c>
      <c r="D577" s="342">
        <v>184567.22517716466</v>
      </c>
    </row>
    <row r="578" spans="1:4" ht="15.95">
      <c r="A578" s="345">
        <f t="shared" ca="1" si="16"/>
        <v>0.58077633026414632</v>
      </c>
      <c r="B578" s="347" t="str">
        <f t="shared" si="17"/>
        <v>Base Case</v>
      </c>
      <c r="C578" s="346">
        <v>566</v>
      </c>
      <c r="D578" s="342">
        <v>184567.22517716466</v>
      </c>
    </row>
    <row r="579" spans="1:4" ht="15.95">
      <c r="A579" s="345">
        <f t="shared" ca="1" si="16"/>
        <v>0.80819082968568268</v>
      </c>
      <c r="B579" s="347" t="str">
        <f t="shared" si="17"/>
        <v>Base Case</v>
      </c>
      <c r="C579" s="346">
        <v>567</v>
      </c>
      <c r="D579" s="342">
        <v>184567.22517716466</v>
      </c>
    </row>
    <row r="580" spans="1:4" ht="15.95">
      <c r="A580" s="345">
        <f t="shared" ca="1" si="16"/>
        <v>0.94624425429207304</v>
      </c>
      <c r="B580" s="347" t="str">
        <f t="shared" si="17"/>
        <v>Base Case</v>
      </c>
      <c r="C580" s="346">
        <v>568</v>
      </c>
      <c r="D580" s="342">
        <v>184567.22517716466</v>
      </c>
    </row>
    <row r="581" spans="1:4" ht="15.95">
      <c r="A581" s="345">
        <f t="shared" ca="1" si="16"/>
        <v>0.33759902508596951</v>
      </c>
      <c r="B581" s="347" t="str">
        <f t="shared" si="17"/>
        <v>Base Case</v>
      </c>
      <c r="C581" s="346">
        <v>569</v>
      </c>
      <c r="D581" s="342">
        <v>184567.22517716466</v>
      </c>
    </row>
    <row r="582" spans="1:4" ht="15.95">
      <c r="A582" s="345">
        <f t="shared" ca="1" si="16"/>
        <v>0.70455355094876271</v>
      </c>
      <c r="B582" s="347" t="str">
        <f t="shared" si="17"/>
        <v>Base Case</v>
      </c>
      <c r="C582" s="346">
        <v>570</v>
      </c>
      <c r="D582" s="342">
        <v>184567.22517716466</v>
      </c>
    </row>
    <row r="583" spans="1:4" ht="15.95">
      <c r="A583" s="345">
        <f t="shared" ca="1" si="16"/>
        <v>0.41043948568810207</v>
      </c>
      <c r="B583" s="347" t="str">
        <f t="shared" si="17"/>
        <v>Base Case</v>
      </c>
      <c r="C583" s="346">
        <v>571</v>
      </c>
      <c r="D583" s="342">
        <v>184567.22517716466</v>
      </c>
    </row>
    <row r="584" spans="1:4" ht="15.95">
      <c r="A584" s="345">
        <f t="shared" ca="1" si="16"/>
        <v>0.35777262962340672</v>
      </c>
      <c r="B584" s="347" t="str">
        <f t="shared" si="17"/>
        <v>Base Case</v>
      </c>
      <c r="C584" s="346">
        <v>572</v>
      </c>
      <c r="D584" s="342">
        <v>184567.22517716466</v>
      </c>
    </row>
    <row r="585" spans="1:4" ht="15.95">
      <c r="A585" s="345">
        <f t="shared" ca="1" si="16"/>
        <v>7.4067897494336066E-2</v>
      </c>
      <c r="B585" s="347" t="str">
        <f t="shared" si="17"/>
        <v>Base Case</v>
      </c>
      <c r="C585" s="346">
        <v>573</v>
      </c>
      <c r="D585" s="342">
        <v>184567.22517716466</v>
      </c>
    </row>
    <row r="586" spans="1:4" ht="15.95">
      <c r="A586" s="345">
        <f t="shared" ca="1" si="16"/>
        <v>0.89691483315511544</v>
      </c>
      <c r="B586" s="347" t="str">
        <f t="shared" si="17"/>
        <v>Base Case</v>
      </c>
      <c r="C586" s="346">
        <v>574</v>
      </c>
      <c r="D586" s="342">
        <v>184567.22517716466</v>
      </c>
    </row>
    <row r="587" spans="1:4" ht="15.95">
      <c r="A587" s="345">
        <f t="shared" ca="1" si="16"/>
        <v>0.15255460687848865</v>
      </c>
      <c r="B587" s="347" t="str">
        <f t="shared" si="17"/>
        <v>Base Case</v>
      </c>
      <c r="C587" s="346">
        <v>575</v>
      </c>
      <c r="D587" s="342">
        <v>184567.22517716466</v>
      </c>
    </row>
    <row r="588" spans="1:4" ht="15.95">
      <c r="A588" s="345">
        <f t="shared" ca="1" si="16"/>
        <v>0.74391022430141807</v>
      </c>
      <c r="B588" s="347" t="str">
        <f t="shared" si="17"/>
        <v>Base Case</v>
      </c>
      <c r="C588" s="346">
        <v>576</v>
      </c>
      <c r="D588" s="342">
        <v>184567.22517716466</v>
      </c>
    </row>
    <row r="589" spans="1:4" ht="15.95">
      <c r="A589" s="345">
        <f t="shared" ref="A589:A652" ca="1" si="18">RAND()</f>
        <v>0.37128726171537429</v>
      </c>
      <c r="B589" s="347" t="str">
        <f t="shared" ref="B589:B652" si="19">IF(OR($B$1=1, $B$1=2), IF(A589&lt;=(B$5-B$4)/(B$6-B$4),$B$4+SQRT(A589*(B$6-B$4)*(B$5-B$4)),B$6-SQRT((1-A589)*(B$6-B$4)*(-B$5+B$6))),IF($B$1=3, "All Simuls","Base Case"))</f>
        <v>Base Case</v>
      </c>
      <c r="C589" s="346">
        <v>577</v>
      </c>
      <c r="D589" s="342">
        <v>184567.22517716466</v>
      </c>
    </row>
    <row r="590" spans="1:4" ht="15.95">
      <c r="A590" s="345">
        <f t="shared" ca="1" si="18"/>
        <v>0.88684898084913388</v>
      </c>
      <c r="B590" s="347" t="str">
        <f t="shared" si="19"/>
        <v>Base Case</v>
      </c>
      <c r="C590" s="346">
        <v>578</v>
      </c>
      <c r="D590" s="342">
        <v>184567.22517716466</v>
      </c>
    </row>
    <row r="591" spans="1:4" ht="15.95">
      <c r="A591" s="345">
        <f t="shared" ca="1" si="18"/>
        <v>0.10979424811935823</v>
      </c>
      <c r="B591" s="347" t="str">
        <f t="shared" si="19"/>
        <v>Base Case</v>
      </c>
      <c r="C591" s="346">
        <v>579</v>
      </c>
      <c r="D591" s="342">
        <v>184567.22517716466</v>
      </c>
    </row>
    <row r="592" spans="1:4" ht="15.95">
      <c r="A592" s="345">
        <f t="shared" ca="1" si="18"/>
        <v>0.33356310781356102</v>
      </c>
      <c r="B592" s="347" t="str">
        <f t="shared" si="19"/>
        <v>Base Case</v>
      </c>
      <c r="C592" s="346">
        <v>580</v>
      </c>
      <c r="D592" s="342">
        <v>184567.22517716466</v>
      </c>
    </row>
    <row r="593" spans="1:4" ht="15.95">
      <c r="A593" s="345">
        <f t="shared" ca="1" si="18"/>
        <v>0.84230399099573494</v>
      </c>
      <c r="B593" s="347" t="str">
        <f t="shared" si="19"/>
        <v>Base Case</v>
      </c>
      <c r="C593" s="346">
        <v>581</v>
      </c>
      <c r="D593" s="342">
        <v>184567.22517716466</v>
      </c>
    </row>
    <row r="594" spans="1:4" ht="15.95">
      <c r="A594" s="345">
        <f t="shared" ca="1" si="18"/>
        <v>6.0645145738358663E-2</v>
      </c>
      <c r="B594" s="347" t="str">
        <f t="shared" si="19"/>
        <v>Base Case</v>
      </c>
      <c r="C594" s="346">
        <v>582</v>
      </c>
      <c r="D594" s="342">
        <v>184567.22517716466</v>
      </c>
    </row>
    <row r="595" spans="1:4" ht="15.95">
      <c r="A595" s="345">
        <f t="shared" ca="1" si="18"/>
        <v>0.1962601434404122</v>
      </c>
      <c r="B595" s="347" t="str">
        <f t="shared" si="19"/>
        <v>Base Case</v>
      </c>
      <c r="C595" s="346">
        <v>583</v>
      </c>
      <c r="D595" s="342">
        <v>184567.22517716466</v>
      </c>
    </row>
    <row r="596" spans="1:4" ht="15.95">
      <c r="A596" s="345">
        <f t="shared" ca="1" si="18"/>
        <v>0.271419856566671</v>
      </c>
      <c r="B596" s="347" t="str">
        <f t="shared" si="19"/>
        <v>Base Case</v>
      </c>
      <c r="C596" s="346">
        <v>584</v>
      </c>
      <c r="D596" s="342">
        <v>184567.22517716466</v>
      </c>
    </row>
    <row r="597" spans="1:4" ht="15.95">
      <c r="A597" s="345">
        <f t="shared" ca="1" si="18"/>
        <v>0.68914894924862535</v>
      </c>
      <c r="B597" s="347" t="str">
        <f t="shared" si="19"/>
        <v>Base Case</v>
      </c>
      <c r="C597" s="346">
        <v>585</v>
      </c>
      <c r="D597" s="342">
        <v>184567.22517716466</v>
      </c>
    </row>
    <row r="598" spans="1:4" ht="15.95">
      <c r="A598" s="345">
        <f t="shared" ca="1" si="18"/>
        <v>1.2584102075494985E-2</v>
      </c>
      <c r="B598" s="347" t="str">
        <f t="shared" si="19"/>
        <v>Base Case</v>
      </c>
      <c r="C598" s="346">
        <v>586</v>
      </c>
      <c r="D598" s="342">
        <v>184567.22517716466</v>
      </c>
    </row>
    <row r="599" spans="1:4" ht="15.95">
      <c r="A599" s="345">
        <f t="shared" ca="1" si="18"/>
        <v>0.50062392139329959</v>
      </c>
      <c r="B599" s="347" t="str">
        <f t="shared" si="19"/>
        <v>Base Case</v>
      </c>
      <c r="C599" s="346">
        <v>587</v>
      </c>
      <c r="D599" s="342">
        <v>184567.22517716466</v>
      </c>
    </row>
    <row r="600" spans="1:4" ht="15.95">
      <c r="A600" s="345">
        <f t="shared" ca="1" si="18"/>
        <v>0.61339502735476559</v>
      </c>
      <c r="B600" s="347" t="str">
        <f t="shared" si="19"/>
        <v>Base Case</v>
      </c>
      <c r="C600" s="346">
        <v>588</v>
      </c>
      <c r="D600" s="342">
        <v>184567.22517716466</v>
      </c>
    </row>
    <row r="601" spans="1:4" ht="15.95">
      <c r="A601" s="345">
        <f t="shared" ca="1" si="18"/>
        <v>0.98879224338741012</v>
      </c>
      <c r="B601" s="347" t="str">
        <f t="shared" si="19"/>
        <v>Base Case</v>
      </c>
      <c r="C601" s="346">
        <v>589</v>
      </c>
      <c r="D601" s="342">
        <v>184567.22517716466</v>
      </c>
    </row>
    <row r="602" spans="1:4" ht="15.95">
      <c r="A602" s="345">
        <f t="shared" ca="1" si="18"/>
        <v>0.50429651526647667</v>
      </c>
      <c r="B602" s="347" t="str">
        <f t="shared" si="19"/>
        <v>Base Case</v>
      </c>
      <c r="C602" s="346">
        <v>590</v>
      </c>
      <c r="D602" s="342">
        <v>184567.22517716466</v>
      </c>
    </row>
    <row r="603" spans="1:4" ht="15.95">
      <c r="A603" s="345">
        <f t="shared" ca="1" si="18"/>
        <v>0.10771352487228325</v>
      </c>
      <c r="B603" s="347" t="str">
        <f t="shared" si="19"/>
        <v>Base Case</v>
      </c>
      <c r="C603" s="346">
        <v>591</v>
      </c>
      <c r="D603" s="342">
        <v>184567.22517716466</v>
      </c>
    </row>
    <row r="604" spans="1:4" ht="15.95">
      <c r="A604" s="345">
        <f t="shared" ca="1" si="18"/>
        <v>6.9162688955826224E-2</v>
      </c>
      <c r="B604" s="347" t="str">
        <f t="shared" si="19"/>
        <v>Base Case</v>
      </c>
      <c r="C604" s="346">
        <v>592</v>
      </c>
      <c r="D604" s="342">
        <v>184567.22517716466</v>
      </c>
    </row>
    <row r="605" spans="1:4" ht="15.95">
      <c r="A605" s="345">
        <f t="shared" ca="1" si="18"/>
        <v>0.40166224281213936</v>
      </c>
      <c r="B605" s="347" t="str">
        <f t="shared" si="19"/>
        <v>Base Case</v>
      </c>
      <c r="C605" s="346">
        <v>593</v>
      </c>
      <c r="D605" s="342">
        <v>184567.22517716466</v>
      </c>
    </row>
    <row r="606" spans="1:4" ht="15.95">
      <c r="A606" s="345">
        <f t="shared" ca="1" si="18"/>
        <v>5.3766022052616158E-2</v>
      </c>
      <c r="B606" s="347" t="str">
        <f t="shared" si="19"/>
        <v>Base Case</v>
      </c>
      <c r="C606" s="346">
        <v>594</v>
      </c>
      <c r="D606" s="342">
        <v>184567.22517716466</v>
      </c>
    </row>
    <row r="607" spans="1:4" ht="15.95">
      <c r="A607" s="345">
        <f t="shared" ca="1" si="18"/>
        <v>0.45619245809487985</v>
      </c>
      <c r="B607" s="347" t="str">
        <f t="shared" si="19"/>
        <v>Base Case</v>
      </c>
      <c r="C607" s="346">
        <v>595</v>
      </c>
      <c r="D607" s="342">
        <v>184567.22517716466</v>
      </c>
    </row>
    <row r="608" spans="1:4" ht="15.95">
      <c r="A608" s="345">
        <f t="shared" ca="1" si="18"/>
        <v>0.10116116511037221</v>
      </c>
      <c r="B608" s="347" t="str">
        <f t="shared" si="19"/>
        <v>Base Case</v>
      </c>
      <c r="C608" s="346">
        <v>596</v>
      </c>
      <c r="D608" s="342">
        <v>184567.22517716466</v>
      </c>
    </row>
    <row r="609" spans="1:4" ht="15.95">
      <c r="A609" s="345">
        <f t="shared" ca="1" si="18"/>
        <v>0.75882434788417774</v>
      </c>
      <c r="B609" s="347" t="str">
        <f t="shared" si="19"/>
        <v>Base Case</v>
      </c>
      <c r="C609" s="346">
        <v>597</v>
      </c>
      <c r="D609" s="342">
        <v>184567.22517716466</v>
      </c>
    </row>
    <row r="610" spans="1:4" ht="15.95">
      <c r="A610" s="345">
        <f t="shared" ca="1" si="18"/>
        <v>0.71285615744292052</v>
      </c>
      <c r="B610" s="347" t="str">
        <f t="shared" si="19"/>
        <v>Base Case</v>
      </c>
      <c r="C610" s="346">
        <v>598</v>
      </c>
      <c r="D610" s="342">
        <v>184567.22517716466</v>
      </c>
    </row>
    <row r="611" spans="1:4" ht="15.95">
      <c r="A611" s="345">
        <f t="shared" ca="1" si="18"/>
        <v>0.3520077597036283</v>
      </c>
      <c r="B611" s="347" t="str">
        <f t="shared" si="19"/>
        <v>Base Case</v>
      </c>
      <c r="C611" s="346">
        <v>599</v>
      </c>
      <c r="D611" s="342">
        <v>184567.22517716466</v>
      </c>
    </row>
    <row r="612" spans="1:4" ht="15.95">
      <c r="A612" s="345">
        <f t="shared" ca="1" si="18"/>
        <v>0.61956612299502933</v>
      </c>
      <c r="B612" s="347" t="str">
        <f t="shared" si="19"/>
        <v>Base Case</v>
      </c>
      <c r="C612" s="346">
        <v>600</v>
      </c>
      <c r="D612" s="342">
        <v>184567.22517716466</v>
      </c>
    </row>
    <row r="613" spans="1:4" ht="15.95">
      <c r="A613" s="345">
        <f t="shared" ca="1" si="18"/>
        <v>0.75237030388751258</v>
      </c>
      <c r="B613" s="347" t="str">
        <f t="shared" si="19"/>
        <v>Base Case</v>
      </c>
      <c r="C613" s="346">
        <v>601</v>
      </c>
      <c r="D613" s="342">
        <v>184567.22517716466</v>
      </c>
    </row>
    <row r="614" spans="1:4" ht="15.95">
      <c r="A614" s="345">
        <f t="shared" ca="1" si="18"/>
        <v>0.29793291967621693</v>
      </c>
      <c r="B614" s="347" t="str">
        <f t="shared" si="19"/>
        <v>Base Case</v>
      </c>
      <c r="C614" s="346">
        <v>602</v>
      </c>
      <c r="D614" s="342">
        <v>184567.22517716466</v>
      </c>
    </row>
    <row r="615" spans="1:4" ht="15.95">
      <c r="A615" s="345">
        <f t="shared" ca="1" si="18"/>
        <v>0.59723744096334763</v>
      </c>
      <c r="B615" s="347" t="str">
        <f t="shared" si="19"/>
        <v>Base Case</v>
      </c>
      <c r="C615" s="346">
        <v>603</v>
      </c>
      <c r="D615" s="342">
        <v>184567.22517716466</v>
      </c>
    </row>
    <row r="616" spans="1:4" ht="15.95">
      <c r="A616" s="345">
        <f t="shared" ca="1" si="18"/>
        <v>0.96169333626873821</v>
      </c>
      <c r="B616" s="347" t="str">
        <f t="shared" si="19"/>
        <v>Base Case</v>
      </c>
      <c r="C616" s="346">
        <v>604</v>
      </c>
      <c r="D616" s="342">
        <v>184567.22517716466</v>
      </c>
    </row>
    <row r="617" spans="1:4" ht="15.95">
      <c r="A617" s="345">
        <f t="shared" ca="1" si="18"/>
        <v>0.33359738762918656</v>
      </c>
      <c r="B617" s="347" t="str">
        <f t="shared" si="19"/>
        <v>Base Case</v>
      </c>
      <c r="C617" s="346">
        <v>605</v>
      </c>
      <c r="D617" s="342">
        <v>184567.22517716466</v>
      </c>
    </row>
    <row r="618" spans="1:4" ht="15.95">
      <c r="A618" s="345">
        <f t="shared" ca="1" si="18"/>
        <v>0.96015050436622329</v>
      </c>
      <c r="B618" s="347" t="str">
        <f t="shared" si="19"/>
        <v>Base Case</v>
      </c>
      <c r="C618" s="346">
        <v>606</v>
      </c>
      <c r="D618" s="342">
        <v>184567.22517716466</v>
      </c>
    </row>
    <row r="619" spans="1:4" ht="15.95">
      <c r="A619" s="345">
        <f t="shared" ca="1" si="18"/>
        <v>0.15440862733718741</v>
      </c>
      <c r="B619" s="347" t="str">
        <f t="shared" si="19"/>
        <v>Base Case</v>
      </c>
      <c r="C619" s="346">
        <v>607</v>
      </c>
      <c r="D619" s="342">
        <v>184567.22517716466</v>
      </c>
    </row>
    <row r="620" spans="1:4" ht="15.95">
      <c r="A620" s="345">
        <f t="shared" ca="1" si="18"/>
        <v>0.2219389817244416</v>
      </c>
      <c r="B620" s="347" t="str">
        <f t="shared" si="19"/>
        <v>Base Case</v>
      </c>
      <c r="C620" s="346">
        <v>608</v>
      </c>
      <c r="D620" s="342">
        <v>184567.22517716466</v>
      </c>
    </row>
    <row r="621" spans="1:4" ht="15.95">
      <c r="A621" s="345">
        <f t="shared" ca="1" si="18"/>
        <v>6.6592860418444477E-2</v>
      </c>
      <c r="B621" s="347" t="str">
        <f t="shared" si="19"/>
        <v>Base Case</v>
      </c>
      <c r="C621" s="346">
        <v>609</v>
      </c>
      <c r="D621" s="342">
        <v>184567.22517716466</v>
      </c>
    </row>
    <row r="622" spans="1:4" ht="15.95">
      <c r="A622" s="345">
        <f t="shared" ca="1" si="18"/>
        <v>0.8424051371565352</v>
      </c>
      <c r="B622" s="347" t="str">
        <f t="shared" si="19"/>
        <v>Base Case</v>
      </c>
      <c r="C622" s="346">
        <v>610</v>
      </c>
      <c r="D622" s="342">
        <v>184567.22517716466</v>
      </c>
    </row>
    <row r="623" spans="1:4" ht="15.95">
      <c r="A623" s="345">
        <f t="shared" ca="1" si="18"/>
        <v>0.71460417892941908</v>
      </c>
      <c r="B623" s="347" t="str">
        <f t="shared" si="19"/>
        <v>Base Case</v>
      </c>
      <c r="C623" s="346">
        <v>611</v>
      </c>
      <c r="D623" s="342">
        <v>184567.22517716466</v>
      </c>
    </row>
    <row r="624" spans="1:4" ht="15.95">
      <c r="A624" s="345">
        <f t="shared" ca="1" si="18"/>
        <v>0.74838426905041933</v>
      </c>
      <c r="B624" s="347" t="str">
        <f t="shared" si="19"/>
        <v>Base Case</v>
      </c>
      <c r="C624" s="346">
        <v>612</v>
      </c>
      <c r="D624" s="342">
        <v>184567.22517716466</v>
      </c>
    </row>
    <row r="625" spans="1:4" ht="15.95">
      <c r="A625" s="345">
        <f t="shared" ca="1" si="18"/>
        <v>0.63561758777993027</v>
      </c>
      <c r="B625" s="347" t="str">
        <f t="shared" si="19"/>
        <v>Base Case</v>
      </c>
      <c r="C625" s="346">
        <v>613</v>
      </c>
      <c r="D625" s="342">
        <v>184567.22517716466</v>
      </c>
    </row>
    <row r="626" spans="1:4" ht="15.95">
      <c r="A626" s="345">
        <f t="shared" ca="1" si="18"/>
        <v>0.35945490545388292</v>
      </c>
      <c r="B626" s="347" t="str">
        <f t="shared" si="19"/>
        <v>Base Case</v>
      </c>
      <c r="C626" s="346">
        <v>614</v>
      </c>
      <c r="D626" s="342">
        <v>184567.22517716466</v>
      </c>
    </row>
    <row r="627" spans="1:4" ht="15.95">
      <c r="A627" s="345">
        <f t="shared" ca="1" si="18"/>
        <v>0.82859862686134178</v>
      </c>
      <c r="B627" s="347" t="str">
        <f t="shared" si="19"/>
        <v>Base Case</v>
      </c>
      <c r="C627" s="346">
        <v>615</v>
      </c>
      <c r="D627" s="342">
        <v>184567.22517716466</v>
      </c>
    </row>
    <row r="628" spans="1:4" ht="15.95">
      <c r="A628" s="345">
        <f t="shared" ca="1" si="18"/>
        <v>0.25129520765766211</v>
      </c>
      <c r="B628" s="347" t="str">
        <f t="shared" si="19"/>
        <v>Base Case</v>
      </c>
      <c r="C628" s="346">
        <v>616</v>
      </c>
      <c r="D628" s="342">
        <v>184567.22517716466</v>
      </c>
    </row>
    <row r="629" spans="1:4" ht="15.95">
      <c r="A629" s="345">
        <f t="shared" ca="1" si="18"/>
        <v>0.27212168341472975</v>
      </c>
      <c r="B629" s="347" t="str">
        <f t="shared" si="19"/>
        <v>Base Case</v>
      </c>
      <c r="C629" s="346">
        <v>617</v>
      </c>
      <c r="D629" s="342">
        <v>184567.22517716466</v>
      </c>
    </row>
    <row r="630" spans="1:4" ht="15.95">
      <c r="A630" s="345">
        <f t="shared" ca="1" si="18"/>
        <v>0.52184617525486077</v>
      </c>
      <c r="B630" s="347" t="str">
        <f t="shared" si="19"/>
        <v>Base Case</v>
      </c>
      <c r="C630" s="346">
        <v>618</v>
      </c>
      <c r="D630" s="342">
        <v>184567.22517716466</v>
      </c>
    </row>
    <row r="631" spans="1:4" ht="15.95">
      <c r="A631" s="345">
        <f t="shared" ca="1" si="18"/>
        <v>0.53929564017730514</v>
      </c>
      <c r="B631" s="347" t="str">
        <f t="shared" si="19"/>
        <v>Base Case</v>
      </c>
      <c r="C631" s="346">
        <v>619</v>
      </c>
      <c r="D631" s="342">
        <v>184567.22517716466</v>
      </c>
    </row>
    <row r="632" spans="1:4" ht="15.95">
      <c r="A632" s="345">
        <f t="shared" ca="1" si="18"/>
        <v>0.1569788528153292</v>
      </c>
      <c r="B632" s="347" t="str">
        <f t="shared" si="19"/>
        <v>Base Case</v>
      </c>
      <c r="C632" s="346">
        <v>620</v>
      </c>
      <c r="D632" s="342">
        <v>184567.22517716466</v>
      </c>
    </row>
    <row r="633" spans="1:4" ht="15.95">
      <c r="A633" s="345">
        <f t="shared" ca="1" si="18"/>
        <v>0.67527719320030333</v>
      </c>
      <c r="B633" s="347" t="str">
        <f t="shared" si="19"/>
        <v>Base Case</v>
      </c>
      <c r="C633" s="346">
        <v>621</v>
      </c>
      <c r="D633" s="342">
        <v>184567.22517716466</v>
      </c>
    </row>
    <row r="634" spans="1:4" ht="15.95">
      <c r="A634" s="345">
        <f t="shared" ca="1" si="18"/>
        <v>0.16536096989209681</v>
      </c>
      <c r="B634" s="347" t="str">
        <f t="shared" si="19"/>
        <v>Base Case</v>
      </c>
      <c r="C634" s="346">
        <v>622</v>
      </c>
      <c r="D634" s="342">
        <v>184567.22517716466</v>
      </c>
    </row>
    <row r="635" spans="1:4" ht="15.95">
      <c r="A635" s="345">
        <f t="shared" ca="1" si="18"/>
        <v>3.6038219921922687E-2</v>
      </c>
      <c r="B635" s="347" t="str">
        <f t="shared" si="19"/>
        <v>Base Case</v>
      </c>
      <c r="C635" s="346">
        <v>623</v>
      </c>
      <c r="D635" s="342">
        <v>184567.22517716466</v>
      </c>
    </row>
    <row r="636" spans="1:4" ht="15.95">
      <c r="A636" s="345">
        <f t="shared" ca="1" si="18"/>
        <v>0.27983127198670688</v>
      </c>
      <c r="B636" s="347" t="str">
        <f t="shared" si="19"/>
        <v>Base Case</v>
      </c>
      <c r="C636" s="346">
        <v>624</v>
      </c>
      <c r="D636" s="342">
        <v>184567.22517716466</v>
      </c>
    </row>
    <row r="637" spans="1:4" ht="15.95">
      <c r="A637" s="345">
        <f t="shared" ca="1" si="18"/>
        <v>0.6706040792836615</v>
      </c>
      <c r="B637" s="347" t="str">
        <f t="shared" si="19"/>
        <v>Base Case</v>
      </c>
      <c r="C637" s="346">
        <v>625</v>
      </c>
      <c r="D637" s="342">
        <v>184567.22517716466</v>
      </c>
    </row>
    <row r="638" spans="1:4" ht="15.95">
      <c r="A638" s="345">
        <f t="shared" ca="1" si="18"/>
        <v>0.15155486401423501</v>
      </c>
      <c r="B638" s="347" t="str">
        <f t="shared" si="19"/>
        <v>Base Case</v>
      </c>
      <c r="C638" s="346">
        <v>626</v>
      </c>
      <c r="D638" s="342">
        <v>184567.22517716466</v>
      </c>
    </row>
    <row r="639" spans="1:4" ht="15.95">
      <c r="A639" s="345">
        <f t="shared" ca="1" si="18"/>
        <v>0.48168360682340738</v>
      </c>
      <c r="B639" s="347" t="str">
        <f t="shared" si="19"/>
        <v>Base Case</v>
      </c>
      <c r="C639" s="346">
        <v>627</v>
      </c>
      <c r="D639" s="342">
        <v>184567.22517716466</v>
      </c>
    </row>
    <row r="640" spans="1:4" ht="15.95">
      <c r="A640" s="345">
        <f t="shared" ca="1" si="18"/>
        <v>3.0782612600839587E-2</v>
      </c>
      <c r="B640" s="347" t="str">
        <f t="shared" si="19"/>
        <v>Base Case</v>
      </c>
      <c r="C640" s="346">
        <v>628</v>
      </c>
      <c r="D640" s="342">
        <v>184567.22517716466</v>
      </c>
    </row>
    <row r="641" spans="1:4" ht="15.95">
      <c r="A641" s="345">
        <f t="shared" ca="1" si="18"/>
        <v>0.50815725541676804</v>
      </c>
      <c r="B641" s="347" t="str">
        <f t="shared" si="19"/>
        <v>Base Case</v>
      </c>
      <c r="C641" s="346">
        <v>629</v>
      </c>
      <c r="D641" s="342">
        <v>184567.22517716466</v>
      </c>
    </row>
    <row r="642" spans="1:4" ht="15.95">
      <c r="A642" s="345">
        <f t="shared" ca="1" si="18"/>
        <v>0.24703196948556683</v>
      </c>
      <c r="B642" s="347" t="str">
        <f t="shared" si="19"/>
        <v>Base Case</v>
      </c>
      <c r="C642" s="346">
        <v>630</v>
      </c>
      <c r="D642" s="342">
        <v>184567.22517716466</v>
      </c>
    </row>
    <row r="643" spans="1:4" ht="15.95">
      <c r="A643" s="345">
        <f t="shared" ca="1" si="18"/>
        <v>0.25905719148222972</v>
      </c>
      <c r="B643" s="347" t="str">
        <f t="shared" si="19"/>
        <v>Base Case</v>
      </c>
      <c r="C643" s="346">
        <v>631</v>
      </c>
      <c r="D643" s="342">
        <v>184567.22517716466</v>
      </c>
    </row>
    <row r="644" spans="1:4" ht="15.95">
      <c r="A644" s="345">
        <f t="shared" ca="1" si="18"/>
        <v>0.97630290880111348</v>
      </c>
      <c r="B644" s="347" t="str">
        <f t="shared" si="19"/>
        <v>Base Case</v>
      </c>
      <c r="C644" s="346">
        <v>632</v>
      </c>
      <c r="D644" s="342">
        <v>184567.22517716466</v>
      </c>
    </row>
    <row r="645" spans="1:4" ht="15.95">
      <c r="A645" s="345">
        <f t="shared" ca="1" si="18"/>
        <v>0.9621063413580313</v>
      </c>
      <c r="B645" s="347" t="str">
        <f t="shared" si="19"/>
        <v>Base Case</v>
      </c>
      <c r="C645" s="346">
        <v>633</v>
      </c>
      <c r="D645" s="342">
        <v>184567.22517716466</v>
      </c>
    </row>
    <row r="646" spans="1:4" ht="15.95">
      <c r="A646" s="345">
        <f t="shared" ca="1" si="18"/>
        <v>0.92263789007650165</v>
      </c>
      <c r="B646" s="347" t="str">
        <f t="shared" si="19"/>
        <v>Base Case</v>
      </c>
      <c r="C646" s="346">
        <v>634</v>
      </c>
      <c r="D646" s="342">
        <v>184567.22517716466</v>
      </c>
    </row>
    <row r="647" spans="1:4" ht="15.95">
      <c r="A647" s="345">
        <f t="shared" ca="1" si="18"/>
        <v>0.44438796162074334</v>
      </c>
      <c r="B647" s="347" t="str">
        <f t="shared" si="19"/>
        <v>Base Case</v>
      </c>
      <c r="C647" s="346">
        <v>635</v>
      </c>
      <c r="D647" s="342">
        <v>184567.22517716466</v>
      </c>
    </row>
    <row r="648" spans="1:4" ht="15.95">
      <c r="A648" s="345">
        <f t="shared" ca="1" si="18"/>
        <v>0.69718478167675069</v>
      </c>
      <c r="B648" s="347" t="str">
        <f t="shared" si="19"/>
        <v>Base Case</v>
      </c>
      <c r="C648" s="346">
        <v>636</v>
      </c>
      <c r="D648" s="342">
        <v>184567.22517716466</v>
      </c>
    </row>
    <row r="649" spans="1:4" ht="15.95">
      <c r="A649" s="345">
        <f t="shared" ca="1" si="18"/>
        <v>0.56943047077670339</v>
      </c>
      <c r="B649" s="347" t="str">
        <f t="shared" si="19"/>
        <v>Base Case</v>
      </c>
      <c r="C649" s="346">
        <v>637</v>
      </c>
      <c r="D649" s="342">
        <v>184567.22517716466</v>
      </c>
    </row>
    <row r="650" spans="1:4" ht="15.95">
      <c r="A650" s="345">
        <f t="shared" ca="1" si="18"/>
        <v>0.51567605792840088</v>
      </c>
      <c r="B650" s="347" t="str">
        <f t="shared" si="19"/>
        <v>Base Case</v>
      </c>
      <c r="C650" s="346">
        <v>638</v>
      </c>
      <c r="D650" s="342">
        <v>184567.22517716466</v>
      </c>
    </row>
    <row r="651" spans="1:4" ht="15.95">
      <c r="A651" s="345">
        <f t="shared" ca="1" si="18"/>
        <v>2.0178448634867729E-2</v>
      </c>
      <c r="B651" s="347" t="str">
        <f t="shared" si="19"/>
        <v>Base Case</v>
      </c>
      <c r="C651" s="346">
        <v>639</v>
      </c>
      <c r="D651" s="342">
        <v>184567.22517716466</v>
      </c>
    </row>
    <row r="652" spans="1:4" ht="15.95">
      <c r="A652" s="345">
        <f t="shared" ca="1" si="18"/>
        <v>0.35637244853486971</v>
      </c>
      <c r="B652" s="347" t="str">
        <f t="shared" si="19"/>
        <v>Base Case</v>
      </c>
      <c r="C652" s="346">
        <v>640</v>
      </c>
      <c r="D652" s="342">
        <v>184567.22517716466</v>
      </c>
    </row>
    <row r="653" spans="1:4" ht="15.95">
      <c r="A653" s="345">
        <f t="shared" ref="A653:A716" ca="1" si="20">RAND()</f>
        <v>0.65098222926205807</v>
      </c>
      <c r="B653" s="347" t="str">
        <f t="shared" ref="B653:B716" si="21">IF(OR($B$1=1, $B$1=2), IF(A653&lt;=(B$5-B$4)/(B$6-B$4),$B$4+SQRT(A653*(B$6-B$4)*(B$5-B$4)),B$6-SQRT((1-A653)*(B$6-B$4)*(-B$5+B$6))),IF($B$1=3, "All Simuls","Base Case"))</f>
        <v>Base Case</v>
      </c>
      <c r="C653" s="346">
        <v>641</v>
      </c>
      <c r="D653" s="342">
        <v>184567.22517716466</v>
      </c>
    </row>
    <row r="654" spans="1:4" ht="15.95">
      <c r="A654" s="345">
        <f t="shared" ca="1" si="20"/>
        <v>0.24948571572330747</v>
      </c>
      <c r="B654" s="347" t="str">
        <f t="shared" si="21"/>
        <v>Base Case</v>
      </c>
      <c r="C654" s="346">
        <v>642</v>
      </c>
      <c r="D654" s="342">
        <v>184567.22517716466</v>
      </c>
    </row>
    <row r="655" spans="1:4" ht="15.95">
      <c r="A655" s="345">
        <f t="shared" ca="1" si="20"/>
        <v>0.86597566777005053</v>
      </c>
      <c r="B655" s="347" t="str">
        <f t="shared" si="21"/>
        <v>Base Case</v>
      </c>
      <c r="C655" s="346">
        <v>643</v>
      </c>
      <c r="D655" s="342">
        <v>184567.22517716466</v>
      </c>
    </row>
    <row r="656" spans="1:4" ht="15.95">
      <c r="A656" s="345">
        <f t="shared" ca="1" si="20"/>
        <v>0.24160299545151842</v>
      </c>
      <c r="B656" s="347" t="str">
        <f t="shared" si="21"/>
        <v>Base Case</v>
      </c>
      <c r="C656" s="346">
        <v>644</v>
      </c>
      <c r="D656" s="342">
        <v>184567.22517716466</v>
      </c>
    </row>
    <row r="657" spans="1:4" ht="15.95">
      <c r="A657" s="345">
        <f t="shared" ca="1" si="20"/>
        <v>0.69258201013582166</v>
      </c>
      <c r="B657" s="347" t="str">
        <f t="shared" si="21"/>
        <v>Base Case</v>
      </c>
      <c r="C657" s="346">
        <v>645</v>
      </c>
      <c r="D657" s="342">
        <v>184567.22517716466</v>
      </c>
    </row>
    <row r="658" spans="1:4" ht="15.95">
      <c r="A658" s="345">
        <f t="shared" ca="1" si="20"/>
        <v>0.46860593836359898</v>
      </c>
      <c r="B658" s="347" t="str">
        <f t="shared" si="21"/>
        <v>Base Case</v>
      </c>
      <c r="C658" s="346">
        <v>646</v>
      </c>
      <c r="D658" s="342">
        <v>184567.22517716466</v>
      </c>
    </row>
    <row r="659" spans="1:4" ht="15.95">
      <c r="A659" s="345">
        <f t="shared" ca="1" si="20"/>
        <v>0.96632987707060947</v>
      </c>
      <c r="B659" s="347" t="str">
        <f t="shared" si="21"/>
        <v>Base Case</v>
      </c>
      <c r="C659" s="346">
        <v>647</v>
      </c>
      <c r="D659" s="342">
        <v>184567.22517716466</v>
      </c>
    </row>
    <row r="660" spans="1:4" ht="15.95">
      <c r="A660" s="345">
        <f t="shared" ca="1" si="20"/>
        <v>0.5341384203458871</v>
      </c>
      <c r="B660" s="347" t="str">
        <f t="shared" si="21"/>
        <v>Base Case</v>
      </c>
      <c r="C660" s="346">
        <v>648</v>
      </c>
      <c r="D660" s="342">
        <v>184567.22517716466</v>
      </c>
    </row>
    <row r="661" spans="1:4" ht="15.95">
      <c r="A661" s="345">
        <f t="shared" ca="1" si="20"/>
        <v>0.15012159140889858</v>
      </c>
      <c r="B661" s="347" t="str">
        <f t="shared" si="21"/>
        <v>Base Case</v>
      </c>
      <c r="C661" s="346">
        <v>649</v>
      </c>
      <c r="D661" s="342">
        <v>184567.22517716466</v>
      </c>
    </row>
    <row r="662" spans="1:4" ht="15.95">
      <c r="A662" s="345">
        <f t="shared" ca="1" si="20"/>
        <v>4.4777850465137603E-2</v>
      </c>
      <c r="B662" s="347" t="str">
        <f t="shared" si="21"/>
        <v>Base Case</v>
      </c>
      <c r="C662" s="346">
        <v>650</v>
      </c>
      <c r="D662" s="342">
        <v>184567.22517716466</v>
      </c>
    </row>
    <row r="663" spans="1:4" ht="15.95">
      <c r="A663" s="345">
        <f t="shared" ca="1" si="20"/>
        <v>0.1441037402387888</v>
      </c>
      <c r="B663" s="347" t="str">
        <f t="shared" si="21"/>
        <v>Base Case</v>
      </c>
      <c r="C663" s="346">
        <v>651</v>
      </c>
      <c r="D663" s="342">
        <v>184567.22517716466</v>
      </c>
    </row>
    <row r="664" spans="1:4" ht="15.95">
      <c r="A664" s="345">
        <f t="shared" ca="1" si="20"/>
        <v>0.48434168561423274</v>
      </c>
      <c r="B664" s="347" t="str">
        <f t="shared" si="21"/>
        <v>Base Case</v>
      </c>
      <c r="C664" s="346">
        <v>652</v>
      </c>
      <c r="D664" s="342">
        <v>184567.22517716466</v>
      </c>
    </row>
    <row r="665" spans="1:4" ht="15.95">
      <c r="A665" s="345">
        <f t="shared" ca="1" si="20"/>
        <v>0.63659571982532814</v>
      </c>
      <c r="B665" s="347" t="str">
        <f t="shared" si="21"/>
        <v>Base Case</v>
      </c>
      <c r="C665" s="346">
        <v>653</v>
      </c>
      <c r="D665" s="342">
        <v>184567.22517716466</v>
      </c>
    </row>
    <row r="666" spans="1:4" ht="15.95">
      <c r="A666" s="345">
        <f t="shared" ca="1" si="20"/>
        <v>1.0732997098250041E-2</v>
      </c>
      <c r="B666" s="347" t="str">
        <f t="shared" si="21"/>
        <v>Base Case</v>
      </c>
      <c r="C666" s="346">
        <v>654</v>
      </c>
      <c r="D666" s="342">
        <v>184567.22517716466</v>
      </c>
    </row>
    <row r="667" spans="1:4" ht="15.95">
      <c r="A667" s="345">
        <f t="shared" ca="1" si="20"/>
        <v>0.41070873965410959</v>
      </c>
      <c r="B667" s="347" t="str">
        <f t="shared" si="21"/>
        <v>Base Case</v>
      </c>
      <c r="C667" s="346">
        <v>655</v>
      </c>
      <c r="D667" s="342">
        <v>184567.22517716466</v>
      </c>
    </row>
    <row r="668" spans="1:4" ht="15.95">
      <c r="A668" s="345">
        <f t="shared" ca="1" si="20"/>
        <v>0.28114360031990737</v>
      </c>
      <c r="B668" s="347" t="str">
        <f t="shared" si="21"/>
        <v>Base Case</v>
      </c>
      <c r="C668" s="346">
        <v>656</v>
      </c>
      <c r="D668" s="342">
        <v>184567.22517716466</v>
      </c>
    </row>
    <row r="669" spans="1:4" ht="15.95">
      <c r="A669" s="345">
        <f t="shared" ca="1" si="20"/>
        <v>0.55713737391735552</v>
      </c>
      <c r="B669" s="347" t="str">
        <f t="shared" si="21"/>
        <v>Base Case</v>
      </c>
      <c r="C669" s="346">
        <v>657</v>
      </c>
      <c r="D669" s="342">
        <v>184567.22517716466</v>
      </c>
    </row>
    <row r="670" spans="1:4" ht="15.95">
      <c r="A670" s="345">
        <f t="shared" ca="1" si="20"/>
        <v>0.78075439432125149</v>
      </c>
      <c r="B670" s="347" t="str">
        <f t="shared" si="21"/>
        <v>Base Case</v>
      </c>
      <c r="C670" s="346">
        <v>658</v>
      </c>
      <c r="D670" s="342">
        <v>184567.22517716466</v>
      </c>
    </row>
    <row r="671" spans="1:4" ht="15.95">
      <c r="A671" s="345">
        <f t="shared" ca="1" si="20"/>
        <v>0.96045887914142558</v>
      </c>
      <c r="B671" s="347" t="str">
        <f t="shared" si="21"/>
        <v>Base Case</v>
      </c>
      <c r="C671" s="346">
        <v>659</v>
      </c>
      <c r="D671" s="342">
        <v>184567.22517716466</v>
      </c>
    </row>
    <row r="672" spans="1:4" ht="15.95">
      <c r="A672" s="345">
        <f t="shared" ca="1" si="20"/>
        <v>0.60997291863821423</v>
      </c>
      <c r="B672" s="347" t="str">
        <f t="shared" si="21"/>
        <v>Base Case</v>
      </c>
      <c r="C672" s="346">
        <v>660</v>
      </c>
      <c r="D672" s="342">
        <v>184567.22517716466</v>
      </c>
    </row>
    <row r="673" spans="1:4" ht="15.95">
      <c r="A673" s="345">
        <f t="shared" ca="1" si="20"/>
        <v>0.22233266776327876</v>
      </c>
      <c r="B673" s="347" t="str">
        <f t="shared" si="21"/>
        <v>Base Case</v>
      </c>
      <c r="C673" s="346">
        <v>661</v>
      </c>
      <c r="D673" s="342">
        <v>184567.22517716466</v>
      </c>
    </row>
    <row r="674" spans="1:4" ht="15.95">
      <c r="A674" s="345">
        <f t="shared" ca="1" si="20"/>
        <v>0.57064078502123938</v>
      </c>
      <c r="B674" s="347" t="str">
        <f t="shared" si="21"/>
        <v>Base Case</v>
      </c>
      <c r="C674" s="346">
        <v>662</v>
      </c>
      <c r="D674" s="342">
        <v>184567.22517716466</v>
      </c>
    </row>
    <row r="675" spans="1:4" ht="15.95">
      <c r="A675" s="345">
        <f t="shared" ca="1" si="20"/>
        <v>3.0596571124980931E-2</v>
      </c>
      <c r="B675" s="347" t="str">
        <f t="shared" si="21"/>
        <v>Base Case</v>
      </c>
      <c r="C675" s="346">
        <v>663</v>
      </c>
      <c r="D675" s="342">
        <v>184567.22517716466</v>
      </c>
    </row>
    <row r="676" spans="1:4" ht="15.95">
      <c r="A676" s="345">
        <f t="shared" ca="1" si="20"/>
        <v>0.55853704665544346</v>
      </c>
      <c r="B676" s="347" t="str">
        <f t="shared" si="21"/>
        <v>Base Case</v>
      </c>
      <c r="C676" s="346">
        <v>664</v>
      </c>
      <c r="D676" s="342">
        <v>184567.22517716466</v>
      </c>
    </row>
    <row r="677" spans="1:4" ht="15.95">
      <c r="A677" s="345">
        <f t="shared" ca="1" si="20"/>
        <v>0.83746644273065463</v>
      </c>
      <c r="B677" s="347" t="str">
        <f t="shared" si="21"/>
        <v>Base Case</v>
      </c>
      <c r="C677" s="346">
        <v>665</v>
      </c>
      <c r="D677" s="342">
        <v>184567.22517716466</v>
      </c>
    </row>
    <row r="678" spans="1:4" ht="15.95">
      <c r="A678" s="345">
        <f t="shared" ca="1" si="20"/>
        <v>0.84566782826553855</v>
      </c>
      <c r="B678" s="347" t="str">
        <f t="shared" si="21"/>
        <v>Base Case</v>
      </c>
      <c r="C678" s="346">
        <v>666</v>
      </c>
      <c r="D678" s="342">
        <v>184567.22517716466</v>
      </c>
    </row>
    <row r="679" spans="1:4" ht="15.95">
      <c r="A679" s="345">
        <f t="shared" ca="1" si="20"/>
        <v>0.5235479486096889</v>
      </c>
      <c r="B679" s="347" t="str">
        <f t="shared" si="21"/>
        <v>Base Case</v>
      </c>
      <c r="C679" s="346">
        <v>667</v>
      </c>
      <c r="D679" s="342">
        <v>184567.22517716466</v>
      </c>
    </row>
    <row r="680" spans="1:4" ht="15.95">
      <c r="A680" s="345">
        <f t="shared" ca="1" si="20"/>
        <v>0.38887152859326601</v>
      </c>
      <c r="B680" s="347" t="str">
        <f t="shared" si="21"/>
        <v>Base Case</v>
      </c>
      <c r="C680" s="346">
        <v>668</v>
      </c>
      <c r="D680" s="342">
        <v>184567.22517716466</v>
      </c>
    </row>
    <row r="681" spans="1:4" ht="15.95">
      <c r="A681" s="345">
        <f t="shared" ca="1" si="20"/>
        <v>0.70161166772259531</v>
      </c>
      <c r="B681" s="347" t="str">
        <f t="shared" si="21"/>
        <v>Base Case</v>
      </c>
      <c r="C681" s="346">
        <v>669</v>
      </c>
      <c r="D681" s="342">
        <v>184567.22517716466</v>
      </c>
    </row>
    <row r="682" spans="1:4" ht="15.95">
      <c r="A682" s="345">
        <f t="shared" ca="1" si="20"/>
        <v>0.56487715958603912</v>
      </c>
      <c r="B682" s="347" t="str">
        <f t="shared" si="21"/>
        <v>Base Case</v>
      </c>
      <c r="C682" s="346">
        <v>670</v>
      </c>
      <c r="D682" s="342">
        <v>184567.22517716466</v>
      </c>
    </row>
    <row r="683" spans="1:4" ht="15.95">
      <c r="A683" s="345">
        <f t="shared" ca="1" si="20"/>
        <v>0.8632485408146342</v>
      </c>
      <c r="B683" s="347" t="str">
        <f t="shared" si="21"/>
        <v>Base Case</v>
      </c>
      <c r="C683" s="346">
        <v>671</v>
      </c>
      <c r="D683" s="342">
        <v>184567.22517716466</v>
      </c>
    </row>
    <row r="684" spans="1:4" ht="15.95">
      <c r="A684" s="345">
        <f t="shared" ca="1" si="20"/>
        <v>0.86616962741393011</v>
      </c>
      <c r="B684" s="347" t="str">
        <f t="shared" si="21"/>
        <v>Base Case</v>
      </c>
      <c r="C684" s="346">
        <v>672</v>
      </c>
      <c r="D684" s="342">
        <v>184567.22517716466</v>
      </c>
    </row>
    <row r="685" spans="1:4" ht="15.95">
      <c r="A685" s="345">
        <f t="shared" ca="1" si="20"/>
        <v>0.83830622176826952</v>
      </c>
      <c r="B685" s="347" t="str">
        <f t="shared" si="21"/>
        <v>Base Case</v>
      </c>
      <c r="C685" s="346">
        <v>673</v>
      </c>
      <c r="D685" s="342">
        <v>184567.22517716466</v>
      </c>
    </row>
    <row r="686" spans="1:4" ht="15.95">
      <c r="A686" s="345">
        <f t="shared" ca="1" si="20"/>
        <v>0.6637067834761976</v>
      </c>
      <c r="B686" s="347" t="str">
        <f t="shared" si="21"/>
        <v>Base Case</v>
      </c>
      <c r="C686" s="346">
        <v>674</v>
      </c>
      <c r="D686" s="342">
        <v>184567.22517716466</v>
      </c>
    </row>
    <row r="687" spans="1:4" ht="15.95">
      <c r="A687" s="345">
        <f t="shared" ca="1" si="20"/>
        <v>0.17810088463586882</v>
      </c>
      <c r="B687" s="347" t="str">
        <f t="shared" si="21"/>
        <v>Base Case</v>
      </c>
      <c r="C687" s="346">
        <v>675</v>
      </c>
      <c r="D687" s="342">
        <v>184567.22517716466</v>
      </c>
    </row>
    <row r="688" spans="1:4" ht="15.95">
      <c r="A688" s="345">
        <f t="shared" ca="1" si="20"/>
        <v>0.75511362204044563</v>
      </c>
      <c r="B688" s="347" t="str">
        <f t="shared" si="21"/>
        <v>Base Case</v>
      </c>
      <c r="C688" s="346">
        <v>676</v>
      </c>
      <c r="D688" s="342">
        <v>184567.22517716466</v>
      </c>
    </row>
    <row r="689" spans="1:4" ht="15.95">
      <c r="A689" s="345">
        <f t="shared" ca="1" si="20"/>
        <v>0.18113097306959824</v>
      </c>
      <c r="B689" s="347" t="str">
        <f t="shared" si="21"/>
        <v>Base Case</v>
      </c>
      <c r="C689" s="346">
        <v>677</v>
      </c>
      <c r="D689" s="342">
        <v>184567.22517716466</v>
      </c>
    </row>
    <row r="690" spans="1:4" ht="15.95">
      <c r="A690" s="345">
        <f t="shared" ca="1" si="20"/>
        <v>2.7554827316484509E-2</v>
      </c>
      <c r="B690" s="347" t="str">
        <f t="shared" si="21"/>
        <v>Base Case</v>
      </c>
      <c r="C690" s="346">
        <v>678</v>
      </c>
      <c r="D690" s="342">
        <v>184567.22517716466</v>
      </c>
    </row>
    <row r="691" spans="1:4" ht="15.95">
      <c r="A691" s="345">
        <f t="shared" ca="1" si="20"/>
        <v>2.3881822244735118E-2</v>
      </c>
      <c r="B691" s="347" t="str">
        <f t="shared" si="21"/>
        <v>Base Case</v>
      </c>
      <c r="C691" s="346">
        <v>679</v>
      </c>
      <c r="D691" s="342">
        <v>184567.22517716466</v>
      </c>
    </row>
    <row r="692" spans="1:4" ht="15.95">
      <c r="A692" s="345">
        <f t="shared" ca="1" si="20"/>
        <v>0.79164715607560587</v>
      </c>
      <c r="B692" s="347" t="str">
        <f t="shared" si="21"/>
        <v>Base Case</v>
      </c>
      <c r="C692" s="346">
        <v>680</v>
      </c>
      <c r="D692" s="342">
        <v>184567.22517716466</v>
      </c>
    </row>
    <row r="693" spans="1:4" ht="15.95">
      <c r="A693" s="345">
        <f t="shared" ca="1" si="20"/>
        <v>8.2490617126797727E-2</v>
      </c>
      <c r="B693" s="347" t="str">
        <f t="shared" si="21"/>
        <v>Base Case</v>
      </c>
      <c r="C693" s="346">
        <v>681</v>
      </c>
      <c r="D693" s="342">
        <v>184567.22517716466</v>
      </c>
    </row>
    <row r="694" spans="1:4" ht="15.95">
      <c r="A694" s="345">
        <f t="shared" ca="1" si="20"/>
        <v>5.4765290151343349E-2</v>
      </c>
      <c r="B694" s="347" t="str">
        <f t="shared" si="21"/>
        <v>Base Case</v>
      </c>
      <c r="C694" s="346">
        <v>682</v>
      </c>
      <c r="D694" s="342">
        <v>184567.22517716466</v>
      </c>
    </row>
    <row r="695" spans="1:4" ht="15.95">
      <c r="A695" s="345">
        <f t="shared" ca="1" si="20"/>
        <v>0.59046573267687175</v>
      </c>
      <c r="B695" s="347" t="str">
        <f t="shared" si="21"/>
        <v>Base Case</v>
      </c>
      <c r="C695" s="346">
        <v>683</v>
      </c>
      <c r="D695" s="342">
        <v>184567.22517716466</v>
      </c>
    </row>
    <row r="696" spans="1:4" ht="15.95">
      <c r="A696" s="345">
        <f t="shared" ca="1" si="20"/>
        <v>0.85455367305954799</v>
      </c>
      <c r="B696" s="347" t="str">
        <f t="shared" si="21"/>
        <v>Base Case</v>
      </c>
      <c r="C696" s="346">
        <v>684</v>
      </c>
      <c r="D696" s="342">
        <v>184567.22517716466</v>
      </c>
    </row>
    <row r="697" spans="1:4" ht="15.95">
      <c r="A697" s="345">
        <f t="shared" ca="1" si="20"/>
        <v>0.90592167676294377</v>
      </c>
      <c r="B697" s="347" t="str">
        <f t="shared" si="21"/>
        <v>Base Case</v>
      </c>
      <c r="C697" s="346">
        <v>685</v>
      </c>
      <c r="D697" s="342">
        <v>184567.22517716466</v>
      </c>
    </row>
    <row r="698" spans="1:4" ht="15.95">
      <c r="A698" s="345">
        <f t="shared" ca="1" si="20"/>
        <v>0.90011864454705814</v>
      </c>
      <c r="B698" s="347" t="str">
        <f t="shared" si="21"/>
        <v>Base Case</v>
      </c>
      <c r="C698" s="346">
        <v>686</v>
      </c>
      <c r="D698" s="342">
        <v>184567.22517716466</v>
      </c>
    </row>
    <row r="699" spans="1:4" ht="15.95">
      <c r="A699" s="345">
        <f t="shared" ca="1" si="20"/>
        <v>0.65892227557260752</v>
      </c>
      <c r="B699" s="347" t="str">
        <f t="shared" si="21"/>
        <v>Base Case</v>
      </c>
      <c r="C699" s="346">
        <v>687</v>
      </c>
      <c r="D699" s="342">
        <v>184567.22517716466</v>
      </c>
    </row>
    <row r="700" spans="1:4" ht="15.95">
      <c r="A700" s="345">
        <f t="shared" ca="1" si="20"/>
        <v>5.5120845781353345E-2</v>
      </c>
      <c r="B700" s="347" t="str">
        <f t="shared" si="21"/>
        <v>Base Case</v>
      </c>
      <c r="C700" s="346">
        <v>688</v>
      </c>
      <c r="D700" s="342">
        <v>184567.22517716466</v>
      </c>
    </row>
    <row r="701" spans="1:4" ht="15.95">
      <c r="A701" s="345">
        <f t="shared" ca="1" si="20"/>
        <v>2.0368514951749739E-2</v>
      </c>
      <c r="B701" s="347" t="str">
        <f t="shared" si="21"/>
        <v>Base Case</v>
      </c>
      <c r="C701" s="346">
        <v>689</v>
      </c>
      <c r="D701" s="342">
        <v>184567.22517716466</v>
      </c>
    </row>
    <row r="702" spans="1:4" ht="15.95">
      <c r="A702" s="345">
        <f t="shared" ca="1" si="20"/>
        <v>0.53607004578267481</v>
      </c>
      <c r="B702" s="347" t="str">
        <f t="shared" si="21"/>
        <v>Base Case</v>
      </c>
      <c r="C702" s="346">
        <v>690</v>
      </c>
      <c r="D702" s="342">
        <v>184567.22517716466</v>
      </c>
    </row>
    <row r="703" spans="1:4" ht="15.95">
      <c r="A703" s="345">
        <f t="shared" ca="1" si="20"/>
        <v>0.92963583169297104</v>
      </c>
      <c r="B703" s="347" t="str">
        <f t="shared" si="21"/>
        <v>Base Case</v>
      </c>
      <c r="C703" s="346">
        <v>691</v>
      </c>
      <c r="D703" s="342">
        <v>184567.22517716466</v>
      </c>
    </row>
    <row r="704" spans="1:4" ht="15.95">
      <c r="A704" s="345">
        <f t="shared" ca="1" si="20"/>
        <v>0.78333725026765844</v>
      </c>
      <c r="B704" s="347" t="str">
        <f t="shared" si="21"/>
        <v>Base Case</v>
      </c>
      <c r="C704" s="346">
        <v>692</v>
      </c>
      <c r="D704" s="342">
        <v>184567.22517716466</v>
      </c>
    </row>
    <row r="705" spans="1:4" ht="15.95">
      <c r="A705" s="345">
        <f t="shared" ca="1" si="20"/>
        <v>0.32250545385377494</v>
      </c>
      <c r="B705" s="347" t="str">
        <f t="shared" si="21"/>
        <v>Base Case</v>
      </c>
      <c r="C705" s="346">
        <v>693</v>
      </c>
      <c r="D705" s="342">
        <v>184567.22517716466</v>
      </c>
    </row>
    <row r="706" spans="1:4" ht="15.95">
      <c r="A706" s="345">
        <f t="shared" ca="1" si="20"/>
        <v>0.77654337150139929</v>
      </c>
      <c r="B706" s="347" t="str">
        <f t="shared" si="21"/>
        <v>Base Case</v>
      </c>
      <c r="C706" s="346">
        <v>694</v>
      </c>
      <c r="D706" s="342">
        <v>184567.22517716466</v>
      </c>
    </row>
    <row r="707" spans="1:4" ht="15.95">
      <c r="A707" s="345">
        <f t="shared" ca="1" si="20"/>
        <v>0.27328989749868426</v>
      </c>
      <c r="B707" s="347" t="str">
        <f t="shared" si="21"/>
        <v>Base Case</v>
      </c>
      <c r="C707" s="346">
        <v>695</v>
      </c>
      <c r="D707" s="342">
        <v>184567.22517716466</v>
      </c>
    </row>
    <row r="708" spans="1:4" ht="15.95">
      <c r="A708" s="345">
        <f t="shared" ca="1" si="20"/>
        <v>0.73444098563812965</v>
      </c>
      <c r="B708" s="347" t="str">
        <f t="shared" si="21"/>
        <v>Base Case</v>
      </c>
      <c r="C708" s="346">
        <v>696</v>
      </c>
      <c r="D708" s="342">
        <v>184567.22517716466</v>
      </c>
    </row>
    <row r="709" spans="1:4" ht="15.95">
      <c r="A709" s="345">
        <f t="shared" ca="1" si="20"/>
        <v>0.65938285084790083</v>
      </c>
      <c r="B709" s="347" t="str">
        <f t="shared" si="21"/>
        <v>Base Case</v>
      </c>
      <c r="C709" s="346">
        <v>697</v>
      </c>
      <c r="D709" s="342">
        <v>184567.22517716466</v>
      </c>
    </row>
    <row r="710" spans="1:4" ht="15.95">
      <c r="A710" s="345">
        <f t="shared" ca="1" si="20"/>
        <v>9.3507279949832989E-2</v>
      </c>
      <c r="B710" s="347" t="str">
        <f t="shared" si="21"/>
        <v>Base Case</v>
      </c>
      <c r="C710" s="346">
        <v>698</v>
      </c>
      <c r="D710" s="342">
        <v>184567.22517716466</v>
      </c>
    </row>
    <row r="711" spans="1:4" ht="15.95">
      <c r="A711" s="345">
        <f t="shared" ca="1" si="20"/>
        <v>0.22823192468692877</v>
      </c>
      <c r="B711" s="347" t="str">
        <f t="shared" si="21"/>
        <v>Base Case</v>
      </c>
      <c r="C711" s="346">
        <v>699</v>
      </c>
      <c r="D711" s="342">
        <v>184567.22517716466</v>
      </c>
    </row>
    <row r="712" spans="1:4" ht="15.95">
      <c r="A712" s="345">
        <f t="shared" ca="1" si="20"/>
        <v>0.86474775896871114</v>
      </c>
      <c r="B712" s="347" t="str">
        <f t="shared" si="21"/>
        <v>Base Case</v>
      </c>
      <c r="C712" s="346">
        <v>700</v>
      </c>
      <c r="D712" s="342">
        <v>184567.22517716466</v>
      </c>
    </row>
    <row r="713" spans="1:4" ht="15.95">
      <c r="A713" s="345">
        <f t="shared" ca="1" si="20"/>
        <v>0.50055954848408923</v>
      </c>
      <c r="B713" s="347" t="str">
        <f t="shared" si="21"/>
        <v>Base Case</v>
      </c>
      <c r="C713" s="346">
        <v>701</v>
      </c>
      <c r="D713" s="342">
        <v>184567.22517716466</v>
      </c>
    </row>
    <row r="714" spans="1:4" ht="15.95">
      <c r="A714" s="345">
        <f t="shared" ca="1" si="20"/>
        <v>2.3387831562872496E-2</v>
      </c>
      <c r="B714" s="347" t="str">
        <f t="shared" si="21"/>
        <v>Base Case</v>
      </c>
      <c r="C714" s="346">
        <v>702</v>
      </c>
      <c r="D714" s="342">
        <v>184567.22517716466</v>
      </c>
    </row>
    <row r="715" spans="1:4" ht="15.95">
      <c r="A715" s="345">
        <f t="shared" ca="1" si="20"/>
        <v>0.59000619774487939</v>
      </c>
      <c r="B715" s="347" t="str">
        <f t="shared" si="21"/>
        <v>Base Case</v>
      </c>
      <c r="C715" s="346">
        <v>703</v>
      </c>
      <c r="D715" s="342">
        <v>184567.22517716466</v>
      </c>
    </row>
    <row r="716" spans="1:4" ht="15.95">
      <c r="A716" s="345">
        <f t="shared" ca="1" si="20"/>
        <v>0.22776582640711207</v>
      </c>
      <c r="B716" s="347" t="str">
        <f t="shared" si="21"/>
        <v>Base Case</v>
      </c>
      <c r="C716" s="346">
        <v>704</v>
      </c>
      <c r="D716" s="342">
        <v>184567.22517716466</v>
      </c>
    </row>
    <row r="717" spans="1:4" ht="15.95">
      <c r="A717" s="345">
        <f t="shared" ref="A717:A780" ca="1" si="22">RAND()</f>
        <v>7.8136179996746491E-2</v>
      </c>
      <c r="B717" s="347" t="str">
        <f t="shared" ref="B717:B780" si="23">IF(OR($B$1=1, $B$1=2), IF(A717&lt;=(B$5-B$4)/(B$6-B$4),$B$4+SQRT(A717*(B$6-B$4)*(B$5-B$4)),B$6-SQRT((1-A717)*(B$6-B$4)*(-B$5+B$6))),IF($B$1=3, "All Simuls","Base Case"))</f>
        <v>Base Case</v>
      </c>
      <c r="C717" s="346">
        <v>705</v>
      </c>
      <c r="D717" s="342">
        <v>184567.22517716466</v>
      </c>
    </row>
    <row r="718" spans="1:4" ht="15.95">
      <c r="A718" s="345">
        <f t="shared" ca="1" si="22"/>
        <v>8.5967621670177685E-3</v>
      </c>
      <c r="B718" s="347" t="str">
        <f t="shared" si="23"/>
        <v>Base Case</v>
      </c>
      <c r="C718" s="346">
        <v>706</v>
      </c>
      <c r="D718" s="342">
        <v>184567.22517716466</v>
      </c>
    </row>
    <row r="719" spans="1:4" ht="15.95">
      <c r="A719" s="345">
        <f t="shared" ca="1" si="22"/>
        <v>0.49356075234237162</v>
      </c>
      <c r="B719" s="347" t="str">
        <f t="shared" si="23"/>
        <v>Base Case</v>
      </c>
      <c r="C719" s="346">
        <v>707</v>
      </c>
      <c r="D719" s="342">
        <v>184567.22517716466</v>
      </c>
    </row>
    <row r="720" spans="1:4" ht="15.95">
      <c r="A720" s="345">
        <f t="shared" ca="1" si="22"/>
        <v>0.76171135009837265</v>
      </c>
      <c r="B720" s="347" t="str">
        <f t="shared" si="23"/>
        <v>Base Case</v>
      </c>
      <c r="C720" s="346">
        <v>708</v>
      </c>
      <c r="D720" s="342">
        <v>184567.22517716466</v>
      </c>
    </row>
    <row r="721" spans="1:4" ht="15.95">
      <c r="A721" s="345">
        <f t="shared" ca="1" si="22"/>
        <v>0.97281668117641451</v>
      </c>
      <c r="B721" s="347" t="str">
        <f t="shared" si="23"/>
        <v>Base Case</v>
      </c>
      <c r="C721" s="346">
        <v>709</v>
      </c>
      <c r="D721" s="342">
        <v>184567.22517716466</v>
      </c>
    </row>
    <row r="722" spans="1:4" ht="15.95">
      <c r="A722" s="345">
        <f t="shared" ca="1" si="22"/>
        <v>0.68566271675504264</v>
      </c>
      <c r="B722" s="347" t="str">
        <f t="shared" si="23"/>
        <v>Base Case</v>
      </c>
      <c r="C722" s="346">
        <v>710</v>
      </c>
      <c r="D722" s="342">
        <v>184567.22517716466</v>
      </c>
    </row>
    <row r="723" spans="1:4" ht="15.95">
      <c r="A723" s="345">
        <f t="shared" ca="1" si="22"/>
        <v>0.25925355612951406</v>
      </c>
      <c r="B723" s="347" t="str">
        <f t="shared" si="23"/>
        <v>Base Case</v>
      </c>
      <c r="C723" s="346">
        <v>711</v>
      </c>
      <c r="D723" s="342">
        <v>184567.22517716466</v>
      </c>
    </row>
    <row r="724" spans="1:4" ht="15.95">
      <c r="A724" s="345">
        <f t="shared" ca="1" si="22"/>
        <v>0.97345768285738188</v>
      </c>
      <c r="B724" s="347" t="str">
        <f t="shared" si="23"/>
        <v>Base Case</v>
      </c>
      <c r="C724" s="346">
        <v>712</v>
      </c>
      <c r="D724" s="342">
        <v>184567.22517716466</v>
      </c>
    </row>
    <row r="725" spans="1:4" ht="15.95">
      <c r="A725" s="345">
        <f t="shared" ca="1" si="22"/>
        <v>0.57766022560869368</v>
      </c>
      <c r="B725" s="347" t="str">
        <f t="shared" si="23"/>
        <v>Base Case</v>
      </c>
      <c r="C725" s="346">
        <v>713</v>
      </c>
      <c r="D725" s="342">
        <v>184567.22517716466</v>
      </c>
    </row>
    <row r="726" spans="1:4" ht="15.95">
      <c r="A726" s="345">
        <f t="shared" ca="1" si="22"/>
        <v>0.99130282539002024</v>
      </c>
      <c r="B726" s="347" t="str">
        <f t="shared" si="23"/>
        <v>Base Case</v>
      </c>
      <c r="C726" s="346">
        <v>714</v>
      </c>
      <c r="D726" s="342">
        <v>184567.22517716466</v>
      </c>
    </row>
    <row r="727" spans="1:4" ht="15.95">
      <c r="A727" s="345">
        <f t="shared" ca="1" si="22"/>
        <v>0.83025315022128898</v>
      </c>
      <c r="B727" s="347" t="str">
        <f t="shared" si="23"/>
        <v>Base Case</v>
      </c>
      <c r="C727" s="346">
        <v>715</v>
      </c>
      <c r="D727" s="342">
        <v>184567.22517716466</v>
      </c>
    </row>
    <row r="728" spans="1:4" ht="15.95">
      <c r="A728" s="345">
        <f t="shared" ca="1" si="22"/>
        <v>0.62079639028092404</v>
      </c>
      <c r="B728" s="347" t="str">
        <f t="shared" si="23"/>
        <v>Base Case</v>
      </c>
      <c r="C728" s="346">
        <v>716</v>
      </c>
      <c r="D728" s="342">
        <v>184567.22517716466</v>
      </c>
    </row>
    <row r="729" spans="1:4" ht="15.95">
      <c r="A729" s="345">
        <f t="shared" ca="1" si="22"/>
        <v>0.5101958483465695</v>
      </c>
      <c r="B729" s="347" t="str">
        <f t="shared" si="23"/>
        <v>Base Case</v>
      </c>
      <c r="C729" s="346">
        <v>717</v>
      </c>
      <c r="D729" s="342">
        <v>184567.22517716466</v>
      </c>
    </row>
    <row r="730" spans="1:4" ht="15.95">
      <c r="A730" s="345">
        <f t="shared" ca="1" si="22"/>
        <v>0.58271844469848011</v>
      </c>
      <c r="B730" s="347" t="str">
        <f t="shared" si="23"/>
        <v>Base Case</v>
      </c>
      <c r="C730" s="346">
        <v>718</v>
      </c>
      <c r="D730" s="342">
        <v>184567.22517716466</v>
      </c>
    </row>
    <row r="731" spans="1:4" ht="15.95">
      <c r="A731" s="345">
        <f t="shared" ca="1" si="22"/>
        <v>0.53363072395539335</v>
      </c>
      <c r="B731" s="347" t="str">
        <f t="shared" si="23"/>
        <v>Base Case</v>
      </c>
      <c r="C731" s="346">
        <v>719</v>
      </c>
      <c r="D731" s="342">
        <v>184567.22517716466</v>
      </c>
    </row>
    <row r="732" spans="1:4" ht="15.95">
      <c r="A732" s="345">
        <f t="shared" ca="1" si="22"/>
        <v>0.15725641230325671</v>
      </c>
      <c r="B732" s="347" t="str">
        <f t="shared" si="23"/>
        <v>Base Case</v>
      </c>
      <c r="C732" s="346">
        <v>720</v>
      </c>
      <c r="D732" s="342">
        <v>184567.22517716466</v>
      </c>
    </row>
    <row r="733" spans="1:4" ht="15.95">
      <c r="A733" s="345">
        <f t="shared" ca="1" si="22"/>
        <v>0.25464174021467767</v>
      </c>
      <c r="B733" s="347" t="str">
        <f t="shared" si="23"/>
        <v>Base Case</v>
      </c>
      <c r="C733" s="346">
        <v>721</v>
      </c>
      <c r="D733" s="342">
        <v>184567.22517716466</v>
      </c>
    </row>
    <row r="734" spans="1:4" ht="15.95">
      <c r="A734" s="345">
        <f t="shared" ca="1" si="22"/>
        <v>0.69570145247013249</v>
      </c>
      <c r="B734" s="347" t="str">
        <f t="shared" si="23"/>
        <v>Base Case</v>
      </c>
      <c r="C734" s="346">
        <v>722</v>
      </c>
      <c r="D734" s="342">
        <v>184567.22517716466</v>
      </c>
    </row>
    <row r="735" spans="1:4" ht="15.95">
      <c r="A735" s="345">
        <f t="shared" ca="1" si="22"/>
        <v>0.46405912108335912</v>
      </c>
      <c r="B735" s="347" t="str">
        <f t="shared" si="23"/>
        <v>Base Case</v>
      </c>
      <c r="C735" s="346">
        <v>723</v>
      </c>
      <c r="D735" s="342">
        <v>184567.22517716466</v>
      </c>
    </row>
    <row r="736" spans="1:4" ht="15.95">
      <c r="A736" s="345">
        <f t="shared" ca="1" si="22"/>
        <v>0.59384380328183684</v>
      </c>
      <c r="B736" s="347" t="str">
        <f t="shared" si="23"/>
        <v>Base Case</v>
      </c>
      <c r="C736" s="346">
        <v>724</v>
      </c>
      <c r="D736" s="342">
        <v>184567.22517716466</v>
      </c>
    </row>
    <row r="737" spans="1:4" ht="15.95">
      <c r="A737" s="345">
        <f t="shared" ca="1" si="22"/>
        <v>0.85032814647307808</v>
      </c>
      <c r="B737" s="347" t="str">
        <f t="shared" si="23"/>
        <v>Base Case</v>
      </c>
      <c r="C737" s="346">
        <v>725</v>
      </c>
      <c r="D737" s="342">
        <v>184567.22517716466</v>
      </c>
    </row>
    <row r="738" spans="1:4" ht="15.95">
      <c r="A738" s="345">
        <f t="shared" ca="1" si="22"/>
        <v>0.62314071958955086</v>
      </c>
      <c r="B738" s="347" t="str">
        <f t="shared" si="23"/>
        <v>Base Case</v>
      </c>
      <c r="C738" s="346">
        <v>726</v>
      </c>
      <c r="D738" s="342">
        <v>184567.22517716466</v>
      </c>
    </row>
    <row r="739" spans="1:4" ht="15.95">
      <c r="A739" s="345">
        <f t="shared" ca="1" si="22"/>
        <v>0.68386789336439058</v>
      </c>
      <c r="B739" s="347" t="str">
        <f t="shared" si="23"/>
        <v>Base Case</v>
      </c>
      <c r="C739" s="346">
        <v>727</v>
      </c>
      <c r="D739" s="342">
        <v>184567.22517716466</v>
      </c>
    </row>
    <row r="740" spans="1:4" ht="15.95">
      <c r="A740" s="345">
        <f t="shared" ca="1" si="22"/>
        <v>0.3077748067352355</v>
      </c>
      <c r="B740" s="347" t="str">
        <f t="shared" si="23"/>
        <v>Base Case</v>
      </c>
      <c r="C740" s="346">
        <v>728</v>
      </c>
      <c r="D740" s="342">
        <v>184567.22517716466</v>
      </c>
    </row>
    <row r="741" spans="1:4" ht="15.95">
      <c r="A741" s="345">
        <f t="shared" ca="1" si="22"/>
        <v>0.54374007995115015</v>
      </c>
      <c r="B741" s="347" t="str">
        <f t="shared" si="23"/>
        <v>Base Case</v>
      </c>
      <c r="C741" s="346">
        <v>729</v>
      </c>
      <c r="D741" s="342">
        <v>184567.22517716466</v>
      </c>
    </row>
    <row r="742" spans="1:4" ht="15.95">
      <c r="A742" s="345">
        <f t="shared" ca="1" si="22"/>
        <v>0.27811368460217234</v>
      </c>
      <c r="B742" s="347" t="str">
        <f t="shared" si="23"/>
        <v>Base Case</v>
      </c>
      <c r="C742" s="346">
        <v>730</v>
      </c>
      <c r="D742" s="342">
        <v>184567.22517716466</v>
      </c>
    </row>
    <row r="743" spans="1:4" ht="15.95">
      <c r="A743" s="345">
        <f t="shared" ca="1" si="22"/>
        <v>0.47882815734995943</v>
      </c>
      <c r="B743" s="347" t="str">
        <f t="shared" si="23"/>
        <v>Base Case</v>
      </c>
      <c r="C743" s="346">
        <v>731</v>
      </c>
      <c r="D743" s="342">
        <v>184567.22517716466</v>
      </c>
    </row>
    <row r="744" spans="1:4" ht="15.95">
      <c r="A744" s="345">
        <f t="shared" ca="1" si="22"/>
        <v>0.77081351730023939</v>
      </c>
      <c r="B744" s="347" t="str">
        <f t="shared" si="23"/>
        <v>Base Case</v>
      </c>
      <c r="C744" s="346">
        <v>732</v>
      </c>
      <c r="D744" s="342">
        <v>184567.22517716466</v>
      </c>
    </row>
    <row r="745" spans="1:4" ht="15.95">
      <c r="A745" s="345">
        <f t="shared" ca="1" si="22"/>
        <v>0.20563627522797934</v>
      </c>
      <c r="B745" s="347" t="str">
        <f t="shared" si="23"/>
        <v>Base Case</v>
      </c>
      <c r="C745" s="346">
        <v>733</v>
      </c>
      <c r="D745" s="342">
        <v>184567.22517716466</v>
      </c>
    </row>
    <row r="746" spans="1:4" ht="15.95">
      <c r="A746" s="345">
        <f t="shared" ca="1" si="22"/>
        <v>0.47452067066494918</v>
      </c>
      <c r="B746" s="347" t="str">
        <f t="shared" si="23"/>
        <v>Base Case</v>
      </c>
      <c r="C746" s="346">
        <v>734</v>
      </c>
      <c r="D746" s="342">
        <v>184567.22517716466</v>
      </c>
    </row>
    <row r="747" spans="1:4" ht="15.95">
      <c r="A747" s="345">
        <f t="shared" ca="1" si="22"/>
        <v>0.43617323482317094</v>
      </c>
      <c r="B747" s="347" t="str">
        <f t="shared" si="23"/>
        <v>Base Case</v>
      </c>
      <c r="C747" s="346">
        <v>735</v>
      </c>
      <c r="D747" s="342">
        <v>184567.22517716466</v>
      </c>
    </row>
    <row r="748" spans="1:4" ht="15.95">
      <c r="A748" s="345">
        <f t="shared" ca="1" si="22"/>
        <v>0.96368897186280589</v>
      </c>
      <c r="B748" s="347" t="str">
        <f t="shared" si="23"/>
        <v>Base Case</v>
      </c>
      <c r="C748" s="346">
        <v>736</v>
      </c>
      <c r="D748" s="342">
        <v>184567.22517716466</v>
      </c>
    </row>
    <row r="749" spans="1:4" ht="15.95">
      <c r="A749" s="345">
        <f t="shared" ca="1" si="22"/>
        <v>0.76002305611273913</v>
      </c>
      <c r="B749" s="347" t="str">
        <f t="shared" si="23"/>
        <v>Base Case</v>
      </c>
      <c r="C749" s="346">
        <v>737</v>
      </c>
      <c r="D749" s="342">
        <v>184567.22517716466</v>
      </c>
    </row>
    <row r="750" spans="1:4" ht="15.95">
      <c r="A750" s="345">
        <f t="shared" ca="1" si="22"/>
        <v>0.19996866317402673</v>
      </c>
      <c r="B750" s="347" t="str">
        <f t="shared" si="23"/>
        <v>Base Case</v>
      </c>
      <c r="C750" s="346">
        <v>738</v>
      </c>
      <c r="D750" s="342">
        <v>184567.22517716466</v>
      </c>
    </row>
    <row r="751" spans="1:4" ht="15.95">
      <c r="A751" s="345">
        <f t="shared" ca="1" si="22"/>
        <v>0.90204367543950759</v>
      </c>
      <c r="B751" s="347" t="str">
        <f t="shared" si="23"/>
        <v>Base Case</v>
      </c>
      <c r="C751" s="346">
        <v>739</v>
      </c>
      <c r="D751" s="342">
        <v>184567.22517716466</v>
      </c>
    </row>
    <row r="752" spans="1:4" ht="15.95">
      <c r="A752" s="345">
        <f t="shared" ca="1" si="22"/>
        <v>0.40854191518094218</v>
      </c>
      <c r="B752" s="347" t="str">
        <f t="shared" si="23"/>
        <v>Base Case</v>
      </c>
      <c r="C752" s="346">
        <v>740</v>
      </c>
      <c r="D752" s="342">
        <v>184567.22517716466</v>
      </c>
    </row>
    <row r="753" spans="1:4" ht="15.95">
      <c r="A753" s="345">
        <f t="shared" ca="1" si="22"/>
        <v>0.56486513037073971</v>
      </c>
      <c r="B753" s="347" t="str">
        <f t="shared" si="23"/>
        <v>Base Case</v>
      </c>
      <c r="C753" s="346">
        <v>741</v>
      </c>
      <c r="D753" s="342">
        <v>184567.22517716466</v>
      </c>
    </row>
    <row r="754" spans="1:4" ht="15.95">
      <c r="A754" s="345">
        <f t="shared" ca="1" si="22"/>
        <v>0.22363792920731884</v>
      </c>
      <c r="B754" s="347" t="str">
        <f t="shared" si="23"/>
        <v>Base Case</v>
      </c>
      <c r="C754" s="346">
        <v>742</v>
      </c>
      <c r="D754" s="342">
        <v>184567.22517716466</v>
      </c>
    </row>
    <row r="755" spans="1:4" ht="15.95">
      <c r="A755" s="345">
        <f t="shared" ca="1" si="22"/>
        <v>0.85846447806504489</v>
      </c>
      <c r="B755" s="347" t="str">
        <f t="shared" si="23"/>
        <v>Base Case</v>
      </c>
      <c r="C755" s="346">
        <v>743</v>
      </c>
      <c r="D755" s="342">
        <v>184567.22517716466</v>
      </c>
    </row>
    <row r="756" spans="1:4" ht="15.95">
      <c r="A756" s="345">
        <f t="shared" ca="1" si="22"/>
        <v>0.40290809736975119</v>
      </c>
      <c r="B756" s="347" t="str">
        <f t="shared" si="23"/>
        <v>Base Case</v>
      </c>
      <c r="C756" s="346">
        <v>744</v>
      </c>
      <c r="D756" s="342">
        <v>184567.22517716466</v>
      </c>
    </row>
    <row r="757" spans="1:4" ht="15.95">
      <c r="A757" s="345">
        <f t="shared" ca="1" si="22"/>
        <v>0.39967087814245417</v>
      </c>
      <c r="B757" s="347" t="str">
        <f t="shared" si="23"/>
        <v>Base Case</v>
      </c>
      <c r="C757" s="346">
        <v>745</v>
      </c>
      <c r="D757" s="342">
        <v>184567.22517716466</v>
      </c>
    </row>
    <row r="758" spans="1:4" ht="15.95">
      <c r="A758" s="345">
        <f t="shared" ca="1" si="22"/>
        <v>0.44758104259564069</v>
      </c>
      <c r="B758" s="347" t="str">
        <f t="shared" si="23"/>
        <v>Base Case</v>
      </c>
      <c r="C758" s="346">
        <v>746</v>
      </c>
      <c r="D758" s="342">
        <v>184567.22517716466</v>
      </c>
    </row>
    <row r="759" spans="1:4" ht="15.95">
      <c r="A759" s="345">
        <f t="shared" ca="1" si="22"/>
        <v>0.50794161962253781</v>
      </c>
      <c r="B759" s="347" t="str">
        <f t="shared" si="23"/>
        <v>Base Case</v>
      </c>
      <c r="C759" s="346">
        <v>747</v>
      </c>
      <c r="D759" s="342">
        <v>184567.22517716466</v>
      </c>
    </row>
    <row r="760" spans="1:4" ht="15.95">
      <c r="A760" s="345">
        <f t="shared" ca="1" si="22"/>
        <v>0.64403480225990284</v>
      </c>
      <c r="B760" s="347" t="str">
        <f t="shared" si="23"/>
        <v>Base Case</v>
      </c>
      <c r="C760" s="346">
        <v>748</v>
      </c>
      <c r="D760" s="342">
        <v>184567.22517716466</v>
      </c>
    </row>
    <row r="761" spans="1:4" ht="15.95">
      <c r="A761" s="345">
        <f t="shared" ca="1" si="22"/>
        <v>0.6893060786434444</v>
      </c>
      <c r="B761" s="347" t="str">
        <f t="shared" si="23"/>
        <v>Base Case</v>
      </c>
      <c r="C761" s="346">
        <v>749</v>
      </c>
      <c r="D761" s="342">
        <v>184567.22517716466</v>
      </c>
    </row>
    <row r="762" spans="1:4" ht="15.95">
      <c r="A762" s="345">
        <f t="shared" ca="1" si="22"/>
        <v>0.844941387019426</v>
      </c>
      <c r="B762" s="347" t="str">
        <f t="shared" si="23"/>
        <v>Base Case</v>
      </c>
      <c r="C762" s="346">
        <v>750</v>
      </c>
      <c r="D762" s="342">
        <v>184567.22517716466</v>
      </c>
    </row>
    <row r="763" spans="1:4" ht="15.95">
      <c r="A763" s="345">
        <f t="shared" ca="1" si="22"/>
        <v>0.54353549876469665</v>
      </c>
      <c r="B763" s="347" t="str">
        <f t="shared" si="23"/>
        <v>Base Case</v>
      </c>
      <c r="C763" s="346">
        <v>751</v>
      </c>
      <c r="D763" s="342">
        <v>184567.22517716466</v>
      </c>
    </row>
    <row r="764" spans="1:4" ht="15.95">
      <c r="A764" s="345">
        <f t="shared" ca="1" si="22"/>
        <v>0.30264598217712724</v>
      </c>
      <c r="B764" s="347" t="str">
        <f t="shared" si="23"/>
        <v>Base Case</v>
      </c>
      <c r="C764" s="346">
        <v>752</v>
      </c>
      <c r="D764" s="342">
        <v>184567.22517716466</v>
      </c>
    </row>
    <row r="765" spans="1:4" ht="15.95">
      <c r="A765" s="345">
        <f t="shared" ca="1" si="22"/>
        <v>0.12655837518302426</v>
      </c>
      <c r="B765" s="347" t="str">
        <f t="shared" si="23"/>
        <v>Base Case</v>
      </c>
      <c r="C765" s="346">
        <v>753</v>
      </c>
      <c r="D765" s="342">
        <v>184567.22517716466</v>
      </c>
    </row>
    <row r="766" spans="1:4" ht="15.95">
      <c r="A766" s="345">
        <f t="shared" ca="1" si="22"/>
        <v>5.4213861635175387E-2</v>
      </c>
      <c r="B766" s="347" t="str">
        <f t="shared" si="23"/>
        <v>Base Case</v>
      </c>
      <c r="C766" s="346">
        <v>754</v>
      </c>
      <c r="D766" s="342">
        <v>184567.22517716466</v>
      </c>
    </row>
    <row r="767" spans="1:4" ht="15.95">
      <c r="A767" s="345">
        <f t="shared" ca="1" si="22"/>
        <v>4.8403992447938249E-2</v>
      </c>
      <c r="B767" s="347" t="str">
        <f t="shared" si="23"/>
        <v>Base Case</v>
      </c>
      <c r="C767" s="346">
        <v>755</v>
      </c>
      <c r="D767" s="342">
        <v>184567.22517716466</v>
      </c>
    </row>
    <row r="768" spans="1:4" ht="15.95">
      <c r="A768" s="345">
        <f t="shared" ca="1" si="22"/>
        <v>0.48246543393326757</v>
      </c>
      <c r="B768" s="347" t="str">
        <f t="shared" si="23"/>
        <v>Base Case</v>
      </c>
      <c r="C768" s="346">
        <v>756</v>
      </c>
      <c r="D768" s="342">
        <v>184567.22517716466</v>
      </c>
    </row>
    <row r="769" spans="1:4" ht="15.95">
      <c r="A769" s="345">
        <f t="shared" ca="1" si="22"/>
        <v>0.83403510755967913</v>
      </c>
      <c r="B769" s="347" t="str">
        <f t="shared" si="23"/>
        <v>Base Case</v>
      </c>
      <c r="C769" s="346">
        <v>757</v>
      </c>
      <c r="D769" s="342">
        <v>184567.22517716466</v>
      </c>
    </row>
    <row r="770" spans="1:4" ht="15.95">
      <c r="A770" s="345">
        <f t="shared" ca="1" si="22"/>
        <v>0.65249915637392786</v>
      </c>
      <c r="B770" s="347" t="str">
        <f t="shared" si="23"/>
        <v>Base Case</v>
      </c>
      <c r="C770" s="346">
        <v>758</v>
      </c>
      <c r="D770" s="342">
        <v>184567.22517716466</v>
      </c>
    </row>
    <row r="771" spans="1:4" ht="15.95">
      <c r="A771" s="345">
        <f t="shared" ca="1" si="22"/>
        <v>0.13815188668945655</v>
      </c>
      <c r="B771" s="347" t="str">
        <f t="shared" si="23"/>
        <v>Base Case</v>
      </c>
      <c r="C771" s="346">
        <v>759</v>
      </c>
      <c r="D771" s="342">
        <v>184567.22517716466</v>
      </c>
    </row>
    <row r="772" spans="1:4" ht="15.95">
      <c r="A772" s="345">
        <f t="shared" ca="1" si="22"/>
        <v>0.15903949782668425</v>
      </c>
      <c r="B772" s="347" t="str">
        <f t="shared" si="23"/>
        <v>Base Case</v>
      </c>
      <c r="C772" s="346">
        <v>760</v>
      </c>
      <c r="D772" s="342">
        <v>184567.22517716466</v>
      </c>
    </row>
    <row r="773" spans="1:4" ht="15.95">
      <c r="A773" s="345">
        <f t="shared" ca="1" si="22"/>
        <v>0.99213358493206683</v>
      </c>
      <c r="B773" s="347" t="str">
        <f t="shared" si="23"/>
        <v>Base Case</v>
      </c>
      <c r="C773" s="346">
        <v>761</v>
      </c>
      <c r="D773" s="342">
        <v>184567.22517716466</v>
      </c>
    </row>
    <row r="774" spans="1:4" ht="15.95">
      <c r="A774" s="345">
        <f t="shared" ca="1" si="22"/>
        <v>0.64795921238772569</v>
      </c>
      <c r="B774" s="347" t="str">
        <f t="shared" si="23"/>
        <v>Base Case</v>
      </c>
      <c r="C774" s="346">
        <v>762</v>
      </c>
      <c r="D774" s="342">
        <v>184567.22517716466</v>
      </c>
    </row>
    <row r="775" spans="1:4" ht="15.95">
      <c r="A775" s="345">
        <f t="shared" ca="1" si="22"/>
        <v>0.9534244046031275</v>
      </c>
      <c r="B775" s="347" t="str">
        <f t="shared" si="23"/>
        <v>Base Case</v>
      </c>
      <c r="C775" s="346">
        <v>763</v>
      </c>
      <c r="D775" s="342">
        <v>184567.22517716466</v>
      </c>
    </row>
    <row r="776" spans="1:4" ht="15.95">
      <c r="A776" s="345">
        <f t="shared" ca="1" si="22"/>
        <v>0.54913273783970185</v>
      </c>
      <c r="B776" s="347" t="str">
        <f t="shared" si="23"/>
        <v>Base Case</v>
      </c>
      <c r="C776" s="346">
        <v>764</v>
      </c>
      <c r="D776" s="342">
        <v>184567.22517716466</v>
      </c>
    </row>
    <row r="777" spans="1:4" ht="15.95">
      <c r="A777" s="345">
        <f t="shared" ca="1" si="22"/>
        <v>0.74807777872236902</v>
      </c>
      <c r="B777" s="347" t="str">
        <f t="shared" si="23"/>
        <v>Base Case</v>
      </c>
      <c r="C777" s="346">
        <v>765</v>
      </c>
      <c r="D777" s="342">
        <v>184567.22517716466</v>
      </c>
    </row>
    <row r="778" spans="1:4" ht="15.95">
      <c r="A778" s="345">
        <f t="shared" ca="1" si="22"/>
        <v>0.94411340403096033</v>
      </c>
      <c r="B778" s="347" t="str">
        <f t="shared" si="23"/>
        <v>Base Case</v>
      </c>
      <c r="C778" s="346">
        <v>766</v>
      </c>
      <c r="D778" s="342">
        <v>184567.22517716466</v>
      </c>
    </row>
    <row r="779" spans="1:4" ht="15.95">
      <c r="A779" s="345">
        <f t="shared" ca="1" si="22"/>
        <v>0.47645053849355024</v>
      </c>
      <c r="B779" s="347" t="str">
        <f t="shared" si="23"/>
        <v>Base Case</v>
      </c>
      <c r="C779" s="346">
        <v>767</v>
      </c>
      <c r="D779" s="342">
        <v>184567.22517716466</v>
      </c>
    </row>
    <row r="780" spans="1:4" ht="15.95">
      <c r="A780" s="345">
        <f t="shared" ca="1" si="22"/>
        <v>0.85998618293916829</v>
      </c>
      <c r="B780" s="347" t="str">
        <f t="shared" si="23"/>
        <v>Base Case</v>
      </c>
      <c r="C780" s="346">
        <v>768</v>
      </c>
      <c r="D780" s="342">
        <v>184567.22517716466</v>
      </c>
    </row>
    <row r="781" spans="1:4" ht="15.95">
      <c r="A781" s="345">
        <f t="shared" ref="A781:A844" ca="1" si="24">RAND()</f>
        <v>6.6379186647446131E-2</v>
      </c>
      <c r="B781" s="347" t="str">
        <f t="shared" ref="B781:B844" si="25">IF(OR($B$1=1, $B$1=2), IF(A781&lt;=(B$5-B$4)/(B$6-B$4),$B$4+SQRT(A781*(B$6-B$4)*(B$5-B$4)),B$6-SQRT((1-A781)*(B$6-B$4)*(-B$5+B$6))),IF($B$1=3, "All Simuls","Base Case"))</f>
        <v>Base Case</v>
      </c>
      <c r="C781" s="346">
        <v>769</v>
      </c>
      <c r="D781" s="342">
        <v>184567.22517716466</v>
      </c>
    </row>
    <row r="782" spans="1:4" ht="15.95">
      <c r="A782" s="345">
        <f t="shared" ca="1" si="24"/>
        <v>0.7546181450340298</v>
      </c>
      <c r="B782" s="347" t="str">
        <f t="shared" si="25"/>
        <v>Base Case</v>
      </c>
      <c r="C782" s="346">
        <v>770</v>
      </c>
      <c r="D782" s="342">
        <v>184567.22517716466</v>
      </c>
    </row>
    <row r="783" spans="1:4" ht="15.95">
      <c r="A783" s="345">
        <f t="shared" ca="1" si="24"/>
        <v>0.61575419452617253</v>
      </c>
      <c r="B783" s="347" t="str">
        <f t="shared" si="25"/>
        <v>Base Case</v>
      </c>
      <c r="C783" s="346">
        <v>771</v>
      </c>
      <c r="D783" s="342">
        <v>184567.22517716466</v>
      </c>
    </row>
    <row r="784" spans="1:4" ht="15.95">
      <c r="A784" s="345">
        <f t="shared" ca="1" si="24"/>
        <v>0.93706769222366382</v>
      </c>
      <c r="B784" s="347" t="str">
        <f t="shared" si="25"/>
        <v>Base Case</v>
      </c>
      <c r="C784" s="346">
        <v>772</v>
      </c>
      <c r="D784" s="342">
        <v>184567.22517716466</v>
      </c>
    </row>
    <row r="785" spans="1:4" ht="15.95">
      <c r="A785" s="345">
        <f t="shared" ca="1" si="24"/>
        <v>0.59410226048612591</v>
      </c>
      <c r="B785" s="347" t="str">
        <f t="shared" si="25"/>
        <v>Base Case</v>
      </c>
      <c r="C785" s="346">
        <v>773</v>
      </c>
      <c r="D785" s="342">
        <v>184567.22517716466</v>
      </c>
    </row>
    <row r="786" spans="1:4" ht="15.95">
      <c r="A786" s="345">
        <f t="shared" ca="1" si="24"/>
        <v>0.64591282514374748</v>
      </c>
      <c r="B786" s="347" t="str">
        <f t="shared" si="25"/>
        <v>Base Case</v>
      </c>
      <c r="C786" s="346">
        <v>774</v>
      </c>
      <c r="D786" s="342">
        <v>184567.22517716466</v>
      </c>
    </row>
    <row r="787" spans="1:4" ht="15.95">
      <c r="A787" s="345">
        <f t="shared" ca="1" si="24"/>
        <v>0.25440741341709161</v>
      </c>
      <c r="B787" s="347" t="str">
        <f t="shared" si="25"/>
        <v>Base Case</v>
      </c>
      <c r="C787" s="346">
        <v>775</v>
      </c>
      <c r="D787" s="342">
        <v>184567.22517716466</v>
      </c>
    </row>
    <row r="788" spans="1:4" ht="15.95">
      <c r="A788" s="345">
        <f t="shared" ca="1" si="24"/>
        <v>0.74913052283744375</v>
      </c>
      <c r="B788" s="347" t="str">
        <f t="shared" si="25"/>
        <v>Base Case</v>
      </c>
      <c r="C788" s="346">
        <v>776</v>
      </c>
      <c r="D788" s="342">
        <v>184567.22517716466</v>
      </c>
    </row>
    <row r="789" spans="1:4" ht="15.95">
      <c r="A789" s="345">
        <f t="shared" ca="1" si="24"/>
        <v>0.3396138620794722</v>
      </c>
      <c r="B789" s="347" t="str">
        <f t="shared" si="25"/>
        <v>Base Case</v>
      </c>
      <c r="C789" s="346">
        <v>777</v>
      </c>
      <c r="D789" s="342">
        <v>184567.22517716466</v>
      </c>
    </row>
    <row r="790" spans="1:4" ht="15.95">
      <c r="A790" s="345">
        <f t="shared" ca="1" si="24"/>
        <v>0.30639912136543246</v>
      </c>
      <c r="B790" s="347" t="str">
        <f t="shared" si="25"/>
        <v>Base Case</v>
      </c>
      <c r="C790" s="346">
        <v>778</v>
      </c>
      <c r="D790" s="342">
        <v>184567.22517716466</v>
      </c>
    </row>
    <row r="791" spans="1:4" ht="15.95">
      <c r="A791" s="345">
        <f t="shared" ca="1" si="24"/>
        <v>0.14773479911906284</v>
      </c>
      <c r="B791" s="347" t="str">
        <f t="shared" si="25"/>
        <v>Base Case</v>
      </c>
      <c r="C791" s="346">
        <v>779</v>
      </c>
      <c r="D791" s="342">
        <v>184567.22517716466</v>
      </c>
    </row>
    <row r="792" spans="1:4" ht="15.95">
      <c r="A792" s="345">
        <f t="shared" ca="1" si="24"/>
        <v>0.85139506011077082</v>
      </c>
      <c r="B792" s="347" t="str">
        <f t="shared" si="25"/>
        <v>Base Case</v>
      </c>
      <c r="C792" s="346">
        <v>780</v>
      </c>
      <c r="D792" s="342">
        <v>184567.22517716466</v>
      </c>
    </row>
    <row r="793" spans="1:4" ht="15.95">
      <c r="A793" s="345">
        <f t="shared" ca="1" si="24"/>
        <v>0.85231898007779849</v>
      </c>
      <c r="B793" s="347" t="str">
        <f t="shared" si="25"/>
        <v>Base Case</v>
      </c>
      <c r="C793" s="346">
        <v>781</v>
      </c>
      <c r="D793" s="342">
        <v>184567.22517716466</v>
      </c>
    </row>
    <row r="794" spans="1:4" ht="15.95">
      <c r="A794" s="345">
        <f t="shared" ca="1" si="24"/>
        <v>0.53225019649098071</v>
      </c>
      <c r="B794" s="347" t="str">
        <f t="shared" si="25"/>
        <v>Base Case</v>
      </c>
      <c r="C794" s="346">
        <v>782</v>
      </c>
      <c r="D794" s="342">
        <v>184567.22517716466</v>
      </c>
    </row>
    <row r="795" spans="1:4" ht="15.95">
      <c r="A795" s="345">
        <f t="shared" ca="1" si="24"/>
        <v>0.19424585805311678</v>
      </c>
      <c r="B795" s="347" t="str">
        <f t="shared" si="25"/>
        <v>Base Case</v>
      </c>
      <c r="C795" s="346">
        <v>783</v>
      </c>
      <c r="D795" s="342">
        <v>184567.22517716466</v>
      </c>
    </row>
    <row r="796" spans="1:4" ht="15.95">
      <c r="A796" s="345">
        <f t="shared" ca="1" si="24"/>
        <v>0.2233611327310705</v>
      </c>
      <c r="B796" s="347" t="str">
        <f t="shared" si="25"/>
        <v>Base Case</v>
      </c>
      <c r="C796" s="346">
        <v>784</v>
      </c>
      <c r="D796" s="342">
        <v>184567.22517716466</v>
      </c>
    </row>
    <row r="797" spans="1:4" ht="15.95">
      <c r="A797" s="345">
        <f t="shared" ca="1" si="24"/>
        <v>0.98655753243374167</v>
      </c>
      <c r="B797" s="347" t="str">
        <f t="shared" si="25"/>
        <v>Base Case</v>
      </c>
      <c r="C797" s="346">
        <v>785</v>
      </c>
      <c r="D797" s="342">
        <v>184567.22517716466</v>
      </c>
    </row>
    <row r="798" spans="1:4" ht="15.95">
      <c r="A798" s="345">
        <f t="shared" ca="1" si="24"/>
        <v>0.91610302867202087</v>
      </c>
      <c r="B798" s="347" t="str">
        <f t="shared" si="25"/>
        <v>Base Case</v>
      </c>
      <c r="C798" s="346">
        <v>786</v>
      </c>
      <c r="D798" s="342">
        <v>184567.22517716466</v>
      </c>
    </row>
    <row r="799" spans="1:4" ht="15.95">
      <c r="A799" s="345">
        <f t="shared" ca="1" si="24"/>
        <v>0.47051418981850779</v>
      </c>
      <c r="B799" s="347" t="str">
        <f t="shared" si="25"/>
        <v>Base Case</v>
      </c>
      <c r="C799" s="346">
        <v>787</v>
      </c>
      <c r="D799" s="342">
        <v>184567.22517716466</v>
      </c>
    </row>
    <row r="800" spans="1:4" ht="15.95">
      <c r="A800" s="345">
        <f t="shared" ca="1" si="24"/>
        <v>0.38903786020857845</v>
      </c>
      <c r="B800" s="347" t="str">
        <f t="shared" si="25"/>
        <v>Base Case</v>
      </c>
      <c r="C800" s="346">
        <v>788</v>
      </c>
      <c r="D800" s="342">
        <v>184567.22517716466</v>
      </c>
    </row>
    <row r="801" spans="1:4" ht="15.95">
      <c r="A801" s="345">
        <f t="shared" ca="1" si="24"/>
        <v>0.71094153732421561</v>
      </c>
      <c r="B801" s="347" t="str">
        <f t="shared" si="25"/>
        <v>Base Case</v>
      </c>
      <c r="C801" s="346">
        <v>789</v>
      </c>
      <c r="D801" s="342">
        <v>184567.22517716466</v>
      </c>
    </row>
    <row r="802" spans="1:4" ht="15.95">
      <c r="A802" s="345">
        <f t="shared" ca="1" si="24"/>
        <v>0.44886036136256291</v>
      </c>
      <c r="B802" s="347" t="str">
        <f t="shared" si="25"/>
        <v>Base Case</v>
      </c>
      <c r="C802" s="346">
        <v>790</v>
      </c>
      <c r="D802" s="342">
        <v>184567.22517716466</v>
      </c>
    </row>
    <row r="803" spans="1:4" ht="15.95">
      <c r="A803" s="345">
        <f t="shared" ca="1" si="24"/>
        <v>0.72465687150285329</v>
      </c>
      <c r="B803" s="347" t="str">
        <f t="shared" si="25"/>
        <v>Base Case</v>
      </c>
      <c r="C803" s="346">
        <v>791</v>
      </c>
      <c r="D803" s="342">
        <v>184567.22517716466</v>
      </c>
    </row>
    <row r="804" spans="1:4" ht="15.95">
      <c r="A804" s="345">
        <f t="shared" ca="1" si="24"/>
        <v>0.95646752576083771</v>
      </c>
      <c r="B804" s="347" t="str">
        <f t="shared" si="25"/>
        <v>Base Case</v>
      </c>
      <c r="C804" s="346">
        <v>792</v>
      </c>
      <c r="D804" s="342">
        <v>184567.22517716466</v>
      </c>
    </row>
    <row r="805" spans="1:4" ht="15.95">
      <c r="A805" s="345">
        <f t="shared" ca="1" si="24"/>
        <v>0.97143461984699475</v>
      </c>
      <c r="B805" s="347" t="str">
        <f t="shared" si="25"/>
        <v>Base Case</v>
      </c>
      <c r="C805" s="346">
        <v>793</v>
      </c>
      <c r="D805" s="342">
        <v>184567.22517716466</v>
      </c>
    </row>
    <row r="806" spans="1:4" ht="15.95">
      <c r="A806" s="345">
        <f t="shared" ca="1" si="24"/>
        <v>0.30246020660274608</v>
      </c>
      <c r="B806" s="347" t="str">
        <f t="shared" si="25"/>
        <v>Base Case</v>
      </c>
      <c r="C806" s="346">
        <v>794</v>
      </c>
      <c r="D806" s="342">
        <v>184567.22517716466</v>
      </c>
    </row>
    <row r="807" spans="1:4" ht="15.95">
      <c r="A807" s="345">
        <f t="shared" ca="1" si="24"/>
        <v>0.99920044180455025</v>
      </c>
      <c r="B807" s="347" t="str">
        <f t="shared" si="25"/>
        <v>Base Case</v>
      </c>
      <c r="C807" s="346">
        <v>795</v>
      </c>
      <c r="D807" s="342">
        <v>184567.22517716466</v>
      </c>
    </row>
    <row r="808" spans="1:4" ht="15.95">
      <c r="A808" s="345">
        <f t="shared" ca="1" si="24"/>
        <v>0.35636314798656088</v>
      </c>
      <c r="B808" s="347" t="str">
        <f t="shared" si="25"/>
        <v>Base Case</v>
      </c>
      <c r="C808" s="346">
        <v>796</v>
      </c>
      <c r="D808" s="342">
        <v>184567.22517716466</v>
      </c>
    </row>
    <row r="809" spans="1:4" ht="15.95">
      <c r="A809" s="345">
        <f t="shared" ca="1" si="24"/>
        <v>0.29816821162043994</v>
      </c>
      <c r="B809" s="347" t="str">
        <f t="shared" si="25"/>
        <v>Base Case</v>
      </c>
      <c r="C809" s="346">
        <v>797</v>
      </c>
      <c r="D809" s="342">
        <v>184567.22517716466</v>
      </c>
    </row>
    <row r="810" spans="1:4" ht="15.95">
      <c r="A810" s="345">
        <f t="shared" ca="1" si="24"/>
        <v>0.80660700191934742</v>
      </c>
      <c r="B810" s="347" t="str">
        <f t="shared" si="25"/>
        <v>Base Case</v>
      </c>
      <c r="C810" s="346">
        <v>798</v>
      </c>
      <c r="D810" s="342">
        <v>184567.22517716466</v>
      </c>
    </row>
    <row r="811" spans="1:4" ht="15.95">
      <c r="A811" s="345">
        <f t="shared" ca="1" si="24"/>
        <v>0.13402905851673685</v>
      </c>
      <c r="B811" s="347" t="str">
        <f t="shared" si="25"/>
        <v>Base Case</v>
      </c>
      <c r="C811" s="346">
        <v>799</v>
      </c>
      <c r="D811" s="342">
        <v>184567.22517716466</v>
      </c>
    </row>
    <row r="812" spans="1:4" ht="15.95">
      <c r="A812" s="345">
        <f t="shared" ca="1" si="24"/>
        <v>8.7285341563296814E-3</v>
      </c>
      <c r="B812" s="347" t="str">
        <f t="shared" si="25"/>
        <v>Base Case</v>
      </c>
      <c r="C812" s="346">
        <v>800</v>
      </c>
      <c r="D812" s="342">
        <v>184567.22517716466</v>
      </c>
    </row>
    <row r="813" spans="1:4" ht="15.95">
      <c r="A813" s="345">
        <f t="shared" ca="1" si="24"/>
        <v>0.96098193256705888</v>
      </c>
      <c r="B813" s="347" t="str">
        <f t="shared" si="25"/>
        <v>Base Case</v>
      </c>
      <c r="C813" s="346">
        <v>801</v>
      </c>
      <c r="D813" s="342">
        <v>184567.22517716466</v>
      </c>
    </row>
    <row r="814" spans="1:4" ht="15.95">
      <c r="A814" s="345">
        <f t="shared" ca="1" si="24"/>
        <v>0.32097770612834076</v>
      </c>
      <c r="B814" s="347" t="str">
        <f t="shared" si="25"/>
        <v>Base Case</v>
      </c>
      <c r="C814" s="346">
        <v>802</v>
      </c>
      <c r="D814" s="342">
        <v>184567.22517716466</v>
      </c>
    </row>
    <row r="815" spans="1:4" ht="15.95">
      <c r="A815" s="345">
        <f t="shared" ca="1" si="24"/>
        <v>0.69445383117593418</v>
      </c>
      <c r="B815" s="347" t="str">
        <f t="shared" si="25"/>
        <v>Base Case</v>
      </c>
      <c r="C815" s="346">
        <v>803</v>
      </c>
      <c r="D815" s="342">
        <v>184567.22517716466</v>
      </c>
    </row>
    <row r="816" spans="1:4" ht="15.95">
      <c r="A816" s="345">
        <f t="shared" ca="1" si="24"/>
        <v>0.13395186149689453</v>
      </c>
      <c r="B816" s="347" t="str">
        <f t="shared" si="25"/>
        <v>Base Case</v>
      </c>
      <c r="C816" s="346">
        <v>804</v>
      </c>
      <c r="D816" s="342">
        <v>184567.22517716466</v>
      </c>
    </row>
    <row r="817" spans="1:4" ht="15.95">
      <c r="A817" s="345">
        <f t="shared" ca="1" si="24"/>
        <v>0.90726402059271505</v>
      </c>
      <c r="B817" s="347" t="str">
        <f t="shared" si="25"/>
        <v>Base Case</v>
      </c>
      <c r="C817" s="346">
        <v>805</v>
      </c>
      <c r="D817" s="342">
        <v>184567.22517716466</v>
      </c>
    </row>
    <row r="818" spans="1:4" ht="15.95">
      <c r="A818" s="345">
        <f t="shared" ca="1" si="24"/>
        <v>0.63557421095077404</v>
      </c>
      <c r="B818" s="347" t="str">
        <f t="shared" si="25"/>
        <v>Base Case</v>
      </c>
      <c r="C818" s="346">
        <v>806</v>
      </c>
      <c r="D818" s="342">
        <v>184567.22517716466</v>
      </c>
    </row>
    <row r="819" spans="1:4" ht="15.95">
      <c r="A819" s="345">
        <f t="shared" ca="1" si="24"/>
        <v>9.5683333088019573E-2</v>
      </c>
      <c r="B819" s="347" t="str">
        <f t="shared" si="25"/>
        <v>Base Case</v>
      </c>
      <c r="C819" s="346">
        <v>807</v>
      </c>
      <c r="D819" s="342">
        <v>184567.22517716466</v>
      </c>
    </row>
    <row r="820" spans="1:4" ht="15.95">
      <c r="A820" s="345">
        <f t="shared" ca="1" si="24"/>
        <v>0.75491921354097291</v>
      </c>
      <c r="B820" s="347" t="str">
        <f t="shared" si="25"/>
        <v>Base Case</v>
      </c>
      <c r="C820" s="346">
        <v>808</v>
      </c>
      <c r="D820" s="342">
        <v>184567.22517716466</v>
      </c>
    </row>
    <row r="821" spans="1:4" ht="15.95">
      <c r="A821" s="345">
        <f t="shared" ca="1" si="24"/>
        <v>0.46957193547754628</v>
      </c>
      <c r="B821" s="347" t="str">
        <f t="shared" si="25"/>
        <v>Base Case</v>
      </c>
      <c r="C821" s="346">
        <v>809</v>
      </c>
      <c r="D821" s="342">
        <v>184567.22517716466</v>
      </c>
    </row>
    <row r="822" spans="1:4" ht="15.95">
      <c r="A822" s="345">
        <f t="shared" ca="1" si="24"/>
        <v>0.78539982623839211</v>
      </c>
      <c r="B822" s="347" t="str">
        <f t="shared" si="25"/>
        <v>Base Case</v>
      </c>
      <c r="C822" s="346">
        <v>810</v>
      </c>
      <c r="D822" s="342">
        <v>184567.22517716466</v>
      </c>
    </row>
    <row r="823" spans="1:4" ht="15.95">
      <c r="A823" s="345">
        <f t="shared" ca="1" si="24"/>
        <v>0.45411515085702159</v>
      </c>
      <c r="B823" s="347" t="str">
        <f t="shared" si="25"/>
        <v>Base Case</v>
      </c>
      <c r="C823" s="346">
        <v>811</v>
      </c>
      <c r="D823" s="342">
        <v>184567.22517716466</v>
      </c>
    </row>
    <row r="824" spans="1:4" ht="15.95">
      <c r="A824" s="345">
        <f t="shared" ca="1" si="24"/>
        <v>2.7846757642099318E-3</v>
      </c>
      <c r="B824" s="347" t="str">
        <f t="shared" si="25"/>
        <v>Base Case</v>
      </c>
      <c r="C824" s="346">
        <v>812</v>
      </c>
      <c r="D824" s="342">
        <v>184567.22517716466</v>
      </c>
    </row>
    <row r="825" spans="1:4" ht="15.95">
      <c r="A825" s="345">
        <f t="shared" ca="1" si="24"/>
        <v>0.95001145267146381</v>
      </c>
      <c r="B825" s="347" t="str">
        <f t="shared" si="25"/>
        <v>Base Case</v>
      </c>
      <c r="C825" s="346">
        <v>813</v>
      </c>
      <c r="D825" s="342">
        <v>184567.22517716466</v>
      </c>
    </row>
    <row r="826" spans="1:4" ht="15.95">
      <c r="A826" s="345">
        <f t="shared" ca="1" si="24"/>
        <v>0.68373801482087049</v>
      </c>
      <c r="B826" s="347" t="str">
        <f t="shared" si="25"/>
        <v>Base Case</v>
      </c>
      <c r="C826" s="346">
        <v>814</v>
      </c>
      <c r="D826" s="342">
        <v>184567.22517716466</v>
      </c>
    </row>
    <row r="827" spans="1:4" ht="15.95">
      <c r="A827" s="345">
        <f t="shared" ca="1" si="24"/>
        <v>0.7850447895173297</v>
      </c>
      <c r="B827" s="347" t="str">
        <f t="shared" si="25"/>
        <v>Base Case</v>
      </c>
      <c r="C827" s="346">
        <v>815</v>
      </c>
      <c r="D827" s="342">
        <v>184567.22517716466</v>
      </c>
    </row>
    <row r="828" spans="1:4" ht="15.95">
      <c r="A828" s="345">
        <f t="shared" ca="1" si="24"/>
        <v>0.46719126491991136</v>
      </c>
      <c r="B828" s="347" t="str">
        <f t="shared" si="25"/>
        <v>Base Case</v>
      </c>
      <c r="C828" s="346">
        <v>816</v>
      </c>
      <c r="D828" s="342">
        <v>184567.22517716466</v>
      </c>
    </row>
    <row r="829" spans="1:4" ht="15.95">
      <c r="A829" s="345">
        <f t="shared" ca="1" si="24"/>
        <v>0.53238099111931225</v>
      </c>
      <c r="B829" s="347" t="str">
        <f t="shared" si="25"/>
        <v>Base Case</v>
      </c>
      <c r="C829" s="346">
        <v>817</v>
      </c>
      <c r="D829" s="342">
        <v>184567.22517716466</v>
      </c>
    </row>
    <row r="830" spans="1:4" ht="15.95">
      <c r="A830" s="345">
        <f t="shared" ca="1" si="24"/>
        <v>0.28090121931248546</v>
      </c>
      <c r="B830" s="347" t="str">
        <f t="shared" si="25"/>
        <v>Base Case</v>
      </c>
      <c r="C830" s="346">
        <v>818</v>
      </c>
      <c r="D830" s="342">
        <v>184567.22517716466</v>
      </c>
    </row>
    <row r="831" spans="1:4" ht="15.95">
      <c r="A831" s="345">
        <f t="shared" ca="1" si="24"/>
        <v>0.51304707532769656</v>
      </c>
      <c r="B831" s="347" t="str">
        <f t="shared" si="25"/>
        <v>Base Case</v>
      </c>
      <c r="C831" s="346">
        <v>819</v>
      </c>
      <c r="D831" s="342">
        <v>184567.22517716466</v>
      </c>
    </row>
    <row r="832" spans="1:4" ht="15.95">
      <c r="A832" s="345">
        <f t="shared" ca="1" si="24"/>
        <v>0.90833359612711684</v>
      </c>
      <c r="B832" s="347" t="str">
        <f t="shared" si="25"/>
        <v>Base Case</v>
      </c>
      <c r="C832" s="346">
        <v>820</v>
      </c>
      <c r="D832" s="342">
        <v>184567.22517716466</v>
      </c>
    </row>
    <row r="833" spans="1:4" ht="15.95">
      <c r="A833" s="345">
        <f t="shared" ca="1" si="24"/>
        <v>0.8642913189191207</v>
      </c>
      <c r="B833" s="347" t="str">
        <f t="shared" si="25"/>
        <v>Base Case</v>
      </c>
      <c r="C833" s="346">
        <v>821</v>
      </c>
      <c r="D833" s="342">
        <v>184567.22517716466</v>
      </c>
    </row>
    <row r="834" spans="1:4" ht="15.95">
      <c r="A834" s="345">
        <f t="shared" ca="1" si="24"/>
        <v>0.8296602681135643</v>
      </c>
      <c r="B834" s="347" t="str">
        <f t="shared" si="25"/>
        <v>Base Case</v>
      </c>
      <c r="C834" s="346">
        <v>822</v>
      </c>
      <c r="D834" s="342">
        <v>184567.22517716466</v>
      </c>
    </row>
    <row r="835" spans="1:4" ht="15.95">
      <c r="A835" s="345">
        <f t="shared" ca="1" si="24"/>
        <v>0.21224609685122808</v>
      </c>
      <c r="B835" s="347" t="str">
        <f t="shared" si="25"/>
        <v>Base Case</v>
      </c>
      <c r="C835" s="346">
        <v>823</v>
      </c>
      <c r="D835" s="342">
        <v>184567.22517716466</v>
      </c>
    </row>
    <row r="836" spans="1:4" ht="15.95">
      <c r="A836" s="345">
        <f t="shared" ca="1" si="24"/>
        <v>0.12485191469516244</v>
      </c>
      <c r="B836" s="347" t="str">
        <f t="shared" si="25"/>
        <v>Base Case</v>
      </c>
      <c r="C836" s="346">
        <v>824</v>
      </c>
      <c r="D836" s="342">
        <v>184567.22517716466</v>
      </c>
    </row>
    <row r="837" spans="1:4" ht="15.95">
      <c r="A837" s="345">
        <f t="shared" ca="1" si="24"/>
        <v>0.43885266264492506</v>
      </c>
      <c r="B837" s="347" t="str">
        <f t="shared" si="25"/>
        <v>Base Case</v>
      </c>
      <c r="C837" s="346">
        <v>825</v>
      </c>
      <c r="D837" s="342">
        <v>184567.22517716466</v>
      </c>
    </row>
    <row r="838" spans="1:4" ht="15.95">
      <c r="A838" s="345">
        <f t="shared" ca="1" si="24"/>
        <v>0.73071405833166803</v>
      </c>
      <c r="B838" s="347" t="str">
        <f t="shared" si="25"/>
        <v>Base Case</v>
      </c>
      <c r="C838" s="346">
        <v>826</v>
      </c>
      <c r="D838" s="342">
        <v>184567.22517716466</v>
      </c>
    </row>
    <row r="839" spans="1:4" ht="15.95">
      <c r="A839" s="345">
        <f t="shared" ca="1" si="24"/>
        <v>0.50988048042487588</v>
      </c>
      <c r="B839" s="347" t="str">
        <f t="shared" si="25"/>
        <v>Base Case</v>
      </c>
      <c r="C839" s="346">
        <v>827</v>
      </c>
      <c r="D839" s="342">
        <v>184567.22517716466</v>
      </c>
    </row>
    <row r="840" spans="1:4" ht="15.95">
      <c r="A840" s="345">
        <f t="shared" ca="1" si="24"/>
        <v>0.98715033375224848</v>
      </c>
      <c r="B840" s="347" t="str">
        <f t="shared" si="25"/>
        <v>Base Case</v>
      </c>
      <c r="C840" s="346">
        <v>828</v>
      </c>
      <c r="D840" s="342">
        <v>184567.22517716466</v>
      </c>
    </row>
    <row r="841" spans="1:4" ht="15.95">
      <c r="A841" s="345">
        <f t="shared" ca="1" si="24"/>
        <v>0.9174989673873305</v>
      </c>
      <c r="B841" s="347" t="str">
        <f t="shared" si="25"/>
        <v>Base Case</v>
      </c>
      <c r="C841" s="346">
        <v>829</v>
      </c>
      <c r="D841" s="342">
        <v>184567.22517716466</v>
      </c>
    </row>
    <row r="842" spans="1:4" ht="15.95">
      <c r="A842" s="345">
        <f t="shared" ca="1" si="24"/>
        <v>0.6254887055159245</v>
      </c>
      <c r="B842" s="347" t="str">
        <f t="shared" si="25"/>
        <v>Base Case</v>
      </c>
      <c r="C842" s="346">
        <v>830</v>
      </c>
      <c r="D842" s="342">
        <v>184567.22517716466</v>
      </c>
    </row>
    <row r="843" spans="1:4" ht="15.95">
      <c r="A843" s="345">
        <f t="shared" ca="1" si="24"/>
        <v>0.77405913308226182</v>
      </c>
      <c r="B843" s="347" t="str">
        <f t="shared" si="25"/>
        <v>Base Case</v>
      </c>
      <c r="C843" s="346">
        <v>831</v>
      </c>
      <c r="D843" s="342">
        <v>184567.22517716466</v>
      </c>
    </row>
    <row r="844" spans="1:4" ht="15.95">
      <c r="A844" s="345">
        <f t="shared" ca="1" si="24"/>
        <v>0.83208207820375135</v>
      </c>
      <c r="B844" s="347" t="str">
        <f t="shared" si="25"/>
        <v>Base Case</v>
      </c>
      <c r="C844" s="346">
        <v>832</v>
      </c>
      <c r="D844" s="342">
        <v>184567.22517716466</v>
      </c>
    </row>
    <row r="845" spans="1:4" ht="15.95">
      <c r="A845" s="345">
        <f t="shared" ref="A845:A908" ca="1" si="26">RAND()</f>
        <v>0.75904766925394551</v>
      </c>
      <c r="B845" s="347" t="str">
        <f t="shared" ref="B845:B908" si="27">IF(OR($B$1=1, $B$1=2), IF(A845&lt;=(B$5-B$4)/(B$6-B$4),$B$4+SQRT(A845*(B$6-B$4)*(B$5-B$4)),B$6-SQRT((1-A845)*(B$6-B$4)*(-B$5+B$6))),IF($B$1=3, "All Simuls","Base Case"))</f>
        <v>Base Case</v>
      </c>
      <c r="C845" s="346">
        <v>833</v>
      </c>
      <c r="D845" s="342">
        <v>184567.22517716466</v>
      </c>
    </row>
    <row r="846" spans="1:4" ht="15.95">
      <c r="A846" s="345">
        <f t="shared" ca="1" si="26"/>
        <v>0.1233750175303624</v>
      </c>
      <c r="B846" s="347" t="str">
        <f t="shared" si="27"/>
        <v>Base Case</v>
      </c>
      <c r="C846" s="346">
        <v>834</v>
      </c>
      <c r="D846" s="342">
        <v>184567.22517716466</v>
      </c>
    </row>
    <row r="847" spans="1:4" ht="15.95">
      <c r="A847" s="345">
        <f t="shared" ca="1" si="26"/>
        <v>0.66567843869354759</v>
      </c>
      <c r="B847" s="347" t="str">
        <f t="shared" si="27"/>
        <v>Base Case</v>
      </c>
      <c r="C847" s="346">
        <v>835</v>
      </c>
      <c r="D847" s="342">
        <v>184567.22517716466</v>
      </c>
    </row>
    <row r="848" spans="1:4" ht="15.95">
      <c r="A848" s="345">
        <f t="shared" ca="1" si="26"/>
        <v>0.10479701105202166</v>
      </c>
      <c r="B848" s="347" t="str">
        <f t="shared" si="27"/>
        <v>Base Case</v>
      </c>
      <c r="C848" s="346">
        <v>836</v>
      </c>
      <c r="D848" s="342">
        <v>184567.22517716466</v>
      </c>
    </row>
    <row r="849" spans="1:4" ht="15.95">
      <c r="A849" s="345">
        <f t="shared" ca="1" si="26"/>
        <v>0.93380945811323812</v>
      </c>
      <c r="B849" s="347" t="str">
        <f t="shared" si="27"/>
        <v>Base Case</v>
      </c>
      <c r="C849" s="346">
        <v>837</v>
      </c>
      <c r="D849" s="342">
        <v>184567.22517716466</v>
      </c>
    </row>
    <row r="850" spans="1:4" ht="15.95">
      <c r="A850" s="345">
        <f t="shared" ca="1" si="26"/>
        <v>0.77584924553223544</v>
      </c>
      <c r="B850" s="347" t="str">
        <f t="shared" si="27"/>
        <v>Base Case</v>
      </c>
      <c r="C850" s="346">
        <v>838</v>
      </c>
      <c r="D850" s="342">
        <v>184567.22517716466</v>
      </c>
    </row>
    <row r="851" spans="1:4" ht="15.95">
      <c r="A851" s="345">
        <f t="shared" ca="1" si="26"/>
        <v>0.99997338490126653</v>
      </c>
      <c r="B851" s="347" t="str">
        <f t="shared" si="27"/>
        <v>Base Case</v>
      </c>
      <c r="C851" s="346">
        <v>839</v>
      </c>
      <c r="D851" s="342">
        <v>184567.22517716466</v>
      </c>
    </row>
    <row r="852" spans="1:4" ht="15.95">
      <c r="A852" s="345">
        <f t="shared" ca="1" si="26"/>
        <v>0.71530126566095731</v>
      </c>
      <c r="B852" s="347" t="str">
        <f t="shared" si="27"/>
        <v>Base Case</v>
      </c>
      <c r="C852" s="346">
        <v>840</v>
      </c>
      <c r="D852" s="342">
        <v>184567.22517716466</v>
      </c>
    </row>
    <row r="853" spans="1:4" ht="15.95">
      <c r="A853" s="345">
        <f t="shared" ca="1" si="26"/>
        <v>0.10078784425245457</v>
      </c>
      <c r="B853" s="347" t="str">
        <f t="shared" si="27"/>
        <v>Base Case</v>
      </c>
      <c r="C853" s="346">
        <v>841</v>
      </c>
      <c r="D853" s="342">
        <v>184567.22517716466</v>
      </c>
    </row>
    <row r="854" spans="1:4" ht="15.95">
      <c r="A854" s="345">
        <f t="shared" ca="1" si="26"/>
        <v>0.80861195557506893</v>
      </c>
      <c r="B854" s="347" t="str">
        <f t="shared" si="27"/>
        <v>Base Case</v>
      </c>
      <c r="C854" s="346">
        <v>842</v>
      </c>
      <c r="D854" s="342">
        <v>184567.22517716466</v>
      </c>
    </row>
    <row r="855" spans="1:4" ht="15.95">
      <c r="A855" s="345">
        <f t="shared" ca="1" si="26"/>
        <v>3.0015938477798709E-2</v>
      </c>
      <c r="B855" s="347" t="str">
        <f t="shared" si="27"/>
        <v>Base Case</v>
      </c>
      <c r="C855" s="346">
        <v>843</v>
      </c>
      <c r="D855" s="342">
        <v>184567.22517716466</v>
      </c>
    </row>
    <row r="856" spans="1:4" ht="15.95">
      <c r="A856" s="345">
        <f t="shared" ca="1" si="26"/>
        <v>0.79232734866435195</v>
      </c>
      <c r="B856" s="347" t="str">
        <f t="shared" si="27"/>
        <v>Base Case</v>
      </c>
      <c r="C856" s="346">
        <v>844</v>
      </c>
      <c r="D856" s="342">
        <v>184567.22517716466</v>
      </c>
    </row>
    <row r="857" spans="1:4" ht="15.95">
      <c r="A857" s="345">
        <f t="shared" ca="1" si="26"/>
        <v>0.75699654183523257</v>
      </c>
      <c r="B857" s="347" t="str">
        <f t="shared" si="27"/>
        <v>Base Case</v>
      </c>
      <c r="C857" s="346">
        <v>845</v>
      </c>
      <c r="D857" s="342">
        <v>184567.22517716466</v>
      </c>
    </row>
    <row r="858" spans="1:4" ht="15.95">
      <c r="A858" s="345">
        <f t="shared" ca="1" si="26"/>
        <v>0.63218377712306928</v>
      </c>
      <c r="B858" s="347" t="str">
        <f t="shared" si="27"/>
        <v>Base Case</v>
      </c>
      <c r="C858" s="346">
        <v>846</v>
      </c>
      <c r="D858" s="342">
        <v>184567.22517716466</v>
      </c>
    </row>
    <row r="859" spans="1:4" ht="15.95">
      <c r="A859" s="345">
        <f t="shared" ca="1" si="26"/>
        <v>0.29031996788574999</v>
      </c>
      <c r="B859" s="347" t="str">
        <f t="shared" si="27"/>
        <v>Base Case</v>
      </c>
      <c r="C859" s="346">
        <v>847</v>
      </c>
      <c r="D859" s="342">
        <v>184567.22517716466</v>
      </c>
    </row>
    <row r="860" spans="1:4" ht="15.95">
      <c r="A860" s="345">
        <f t="shared" ca="1" si="26"/>
        <v>0.37507110274514144</v>
      </c>
      <c r="B860" s="347" t="str">
        <f t="shared" si="27"/>
        <v>Base Case</v>
      </c>
      <c r="C860" s="346">
        <v>848</v>
      </c>
      <c r="D860" s="342">
        <v>184567.22517716466</v>
      </c>
    </row>
    <row r="861" spans="1:4" ht="15.95">
      <c r="A861" s="345">
        <f t="shared" ca="1" si="26"/>
        <v>0.16102739192961801</v>
      </c>
      <c r="B861" s="347" t="str">
        <f t="shared" si="27"/>
        <v>Base Case</v>
      </c>
      <c r="C861" s="346">
        <v>849</v>
      </c>
      <c r="D861" s="342">
        <v>184567.22517716466</v>
      </c>
    </row>
    <row r="862" spans="1:4" ht="15.95">
      <c r="A862" s="345">
        <f t="shared" ca="1" si="26"/>
        <v>0.1223501509004985</v>
      </c>
      <c r="B862" s="347" t="str">
        <f t="shared" si="27"/>
        <v>Base Case</v>
      </c>
      <c r="C862" s="346">
        <v>850</v>
      </c>
      <c r="D862" s="342">
        <v>184567.22517716466</v>
      </c>
    </row>
    <row r="863" spans="1:4" ht="15.95">
      <c r="A863" s="345">
        <f t="shared" ca="1" si="26"/>
        <v>0.90304109389406551</v>
      </c>
      <c r="B863" s="347" t="str">
        <f t="shared" si="27"/>
        <v>Base Case</v>
      </c>
      <c r="C863" s="346">
        <v>851</v>
      </c>
      <c r="D863" s="342">
        <v>184567.22517716466</v>
      </c>
    </row>
    <row r="864" spans="1:4" ht="15.95">
      <c r="A864" s="345">
        <f t="shared" ca="1" si="26"/>
        <v>0.16661042676690496</v>
      </c>
      <c r="B864" s="347" t="str">
        <f t="shared" si="27"/>
        <v>Base Case</v>
      </c>
      <c r="C864" s="346">
        <v>852</v>
      </c>
      <c r="D864" s="342">
        <v>184567.22517716466</v>
      </c>
    </row>
    <row r="865" spans="1:4" ht="15.95">
      <c r="A865" s="345">
        <f t="shared" ca="1" si="26"/>
        <v>1.1141315672433594E-2</v>
      </c>
      <c r="B865" s="347" t="str">
        <f t="shared" si="27"/>
        <v>Base Case</v>
      </c>
      <c r="C865" s="346">
        <v>853</v>
      </c>
      <c r="D865" s="342">
        <v>184567.22517716466</v>
      </c>
    </row>
    <row r="866" spans="1:4" ht="15.95">
      <c r="A866" s="345">
        <f t="shared" ca="1" si="26"/>
        <v>0.7942761619540647</v>
      </c>
      <c r="B866" s="347" t="str">
        <f t="shared" si="27"/>
        <v>Base Case</v>
      </c>
      <c r="C866" s="346">
        <v>854</v>
      </c>
      <c r="D866" s="342">
        <v>184567.22517716466</v>
      </c>
    </row>
    <row r="867" spans="1:4" ht="15.95">
      <c r="A867" s="345">
        <f t="shared" ca="1" si="26"/>
        <v>0.18427594372000999</v>
      </c>
      <c r="B867" s="347" t="str">
        <f t="shared" si="27"/>
        <v>Base Case</v>
      </c>
      <c r="C867" s="346">
        <v>855</v>
      </c>
      <c r="D867" s="342">
        <v>184567.22517716466</v>
      </c>
    </row>
    <row r="868" spans="1:4" ht="15.95">
      <c r="A868" s="345">
        <f t="shared" ca="1" si="26"/>
        <v>0.95715221064603195</v>
      </c>
      <c r="B868" s="347" t="str">
        <f t="shared" si="27"/>
        <v>Base Case</v>
      </c>
      <c r="C868" s="346">
        <v>856</v>
      </c>
      <c r="D868" s="342">
        <v>184567.22517716466</v>
      </c>
    </row>
    <row r="869" spans="1:4" ht="15.95">
      <c r="A869" s="345">
        <f t="shared" ca="1" si="26"/>
        <v>0.11953154938928845</v>
      </c>
      <c r="B869" s="347" t="str">
        <f t="shared" si="27"/>
        <v>Base Case</v>
      </c>
      <c r="C869" s="346">
        <v>857</v>
      </c>
      <c r="D869" s="342">
        <v>184567.22517716466</v>
      </c>
    </row>
    <row r="870" spans="1:4" ht="15.95">
      <c r="A870" s="345">
        <f t="shared" ca="1" si="26"/>
        <v>0.72414274274431534</v>
      </c>
      <c r="B870" s="347" t="str">
        <f t="shared" si="27"/>
        <v>Base Case</v>
      </c>
      <c r="C870" s="346">
        <v>858</v>
      </c>
      <c r="D870" s="342">
        <v>184567.22517716466</v>
      </c>
    </row>
    <row r="871" spans="1:4" ht="15.95">
      <c r="A871" s="345">
        <f t="shared" ca="1" si="26"/>
        <v>0.41091136996565791</v>
      </c>
      <c r="B871" s="347" t="str">
        <f t="shared" si="27"/>
        <v>Base Case</v>
      </c>
      <c r="C871" s="346">
        <v>859</v>
      </c>
      <c r="D871" s="342">
        <v>184567.22517716466</v>
      </c>
    </row>
    <row r="872" spans="1:4" ht="15.95">
      <c r="A872" s="345">
        <f t="shared" ca="1" si="26"/>
        <v>0.75315112659500139</v>
      </c>
      <c r="B872" s="347" t="str">
        <f t="shared" si="27"/>
        <v>Base Case</v>
      </c>
      <c r="C872" s="346">
        <v>860</v>
      </c>
      <c r="D872" s="342">
        <v>184567.22517716466</v>
      </c>
    </row>
    <row r="873" spans="1:4" ht="15.95">
      <c r="A873" s="345">
        <f t="shared" ca="1" si="26"/>
        <v>0.58725710698914513</v>
      </c>
      <c r="B873" s="347" t="str">
        <f t="shared" si="27"/>
        <v>Base Case</v>
      </c>
      <c r="C873" s="346">
        <v>861</v>
      </c>
      <c r="D873" s="342">
        <v>184567.22517716466</v>
      </c>
    </row>
    <row r="874" spans="1:4" ht="15.95">
      <c r="A874" s="345">
        <f t="shared" ca="1" si="26"/>
        <v>0.55174365861065455</v>
      </c>
      <c r="B874" s="347" t="str">
        <f t="shared" si="27"/>
        <v>Base Case</v>
      </c>
      <c r="C874" s="346">
        <v>862</v>
      </c>
      <c r="D874" s="342">
        <v>184567.22517716466</v>
      </c>
    </row>
    <row r="875" spans="1:4" ht="15.95">
      <c r="A875" s="345">
        <f t="shared" ca="1" si="26"/>
        <v>0.85398604265586453</v>
      </c>
      <c r="B875" s="347" t="str">
        <f t="shared" si="27"/>
        <v>Base Case</v>
      </c>
      <c r="C875" s="346">
        <v>863</v>
      </c>
      <c r="D875" s="342">
        <v>184567.22517716466</v>
      </c>
    </row>
    <row r="876" spans="1:4" ht="15.95">
      <c r="A876" s="345">
        <f t="shared" ca="1" si="26"/>
        <v>0.16220914932967856</v>
      </c>
      <c r="B876" s="347" t="str">
        <f t="shared" si="27"/>
        <v>Base Case</v>
      </c>
      <c r="C876" s="346">
        <v>864</v>
      </c>
      <c r="D876" s="342">
        <v>184567.22517716466</v>
      </c>
    </row>
    <row r="877" spans="1:4" ht="15.95">
      <c r="A877" s="345">
        <f t="shared" ca="1" si="26"/>
        <v>5.8335046636297183E-2</v>
      </c>
      <c r="B877" s="347" t="str">
        <f t="shared" si="27"/>
        <v>Base Case</v>
      </c>
      <c r="C877" s="346">
        <v>865</v>
      </c>
      <c r="D877" s="342">
        <v>184567.22517716466</v>
      </c>
    </row>
    <row r="878" spans="1:4" ht="15.95">
      <c r="A878" s="345">
        <f t="shared" ca="1" si="26"/>
        <v>7.1547063114116849E-2</v>
      </c>
      <c r="B878" s="347" t="str">
        <f t="shared" si="27"/>
        <v>Base Case</v>
      </c>
      <c r="C878" s="346">
        <v>866</v>
      </c>
      <c r="D878" s="342">
        <v>184567.22517716466</v>
      </c>
    </row>
    <row r="879" spans="1:4" ht="15.95">
      <c r="A879" s="345">
        <f t="shared" ca="1" si="26"/>
        <v>0.10411871131636108</v>
      </c>
      <c r="B879" s="347" t="str">
        <f t="shared" si="27"/>
        <v>Base Case</v>
      </c>
      <c r="C879" s="346">
        <v>867</v>
      </c>
      <c r="D879" s="342">
        <v>184567.22517716466</v>
      </c>
    </row>
    <row r="880" spans="1:4" ht="15.95">
      <c r="A880" s="345">
        <f t="shared" ca="1" si="26"/>
        <v>0.5627111741040417</v>
      </c>
      <c r="B880" s="347" t="str">
        <f t="shared" si="27"/>
        <v>Base Case</v>
      </c>
      <c r="C880" s="346">
        <v>868</v>
      </c>
      <c r="D880" s="342">
        <v>184567.22517716466</v>
      </c>
    </row>
    <row r="881" spans="1:4" ht="15.95">
      <c r="A881" s="345">
        <f t="shared" ca="1" si="26"/>
        <v>0.57664610270867855</v>
      </c>
      <c r="B881" s="347" t="str">
        <f t="shared" si="27"/>
        <v>Base Case</v>
      </c>
      <c r="C881" s="346">
        <v>869</v>
      </c>
      <c r="D881" s="342">
        <v>184567.22517716466</v>
      </c>
    </row>
    <row r="882" spans="1:4" ht="15.95">
      <c r="A882" s="345">
        <f t="shared" ca="1" si="26"/>
        <v>0.3740870186317099</v>
      </c>
      <c r="B882" s="347" t="str">
        <f t="shared" si="27"/>
        <v>Base Case</v>
      </c>
      <c r="C882" s="346">
        <v>870</v>
      </c>
      <c r="D882" s="342">
        <v>184567.22517716466</v>
      </c>
    </row>
    <row r="883" spans="1:4" ht="15.95">
      <c r="A883" s="345">
        <f t="shared" ca="1" si="26"/>
        <v>0.14375235815603238</v>
      </c>
      <c r="B883" s="347" t="str">
        <f t="shared" si="27"/>
        <v>Base Case</v>
      </c>
      <c r="C883" s="346">
        <v>871</v>
      </c>
      <c r="D883" s="342">
        <v>184567.22517716466</v>
      </c>
    </row>
    <row r="884" spans="1:4" ht="15.95">
      <c r="A884" s="345">
        <f t="shared" ca="1" si="26"/>
        <v>0.54446804050436537</v>
      </c>
      <c r="B884" s="347" t="str">
        <f t="shared" si="27"/>
        <v>Base Case</v>
      </c>
      <c r="C884" s="346">
        <v>872</v>
      </c>
      <c r="D884" s="342">
        <v>184567.22517716466</v>
      </c>
    </row>
    <row r="885" spans="1:4" ht="15.95">
      <c r="A885" s="345">
        <f t="shared" ca="1" si="26"/>
        <v>0.27185088305664673</v>
      </c>
      <c r="B885" s="347" t="str">
        <f t="shared" si="27"/>
        <v>Base Case</v>
      </c>
      <c r="C885" s="346">
        <v>873</v>
      </c>
      <c r="D885" s="342">
        <v>184567.22517716466</v>
      </c>
    </row>
    <row r="886" spans="1:4" ht="15.95">
      <c r="A886" s="345">
        <f t="shared" ca="1" si="26"/>
        <v>0.70607997578820081</v>
      </c>
      <c r="B886" s="347" t="str">
        <f t="shared" si="27"/>
        <v>Base Case</v>
      </c>
      <c r="C886" s="346">
        <v>874</v>
      </c>
      <c r="D886" s="342">
        <v>184567.22517716466</v>
      </c>
    </row>
    <row r="887" spans="1:4" ht="15.95">
      <c r="A887" s="345">
        <f t="shared" ca="1" si="26"/>
        <v>0.55556359812861678</v>
      </c>
      <c r="B887" s="347" t="str">
        <f t="shared" si="27"/>
        <v>Base Case</v>
      </c>
      <c r="C887" s="346">
        <v>875</v>
      </c>
      <c r="D887" s="342">
        <v>184567.22517716466</v>
      </c>
    </row>
    <row r="888" spans="1:4" ht="15.95">
      <c r="A888" s="345">
        <f t="shared" ca="1" si="26"/>
        <v>0.58656695959109706</v>
      </c>
      <c r="B888" s="347" t="str">
        <f t="shared" si="27"/>
        <v>Base Case</v>
      </c>
      <c r="C888" s="346">
        <v>876</v>
      </c>
      <c r="D888" s="342">
        <v>184567.22517716466</v>
      </c>
    </row>
    <row r="889" spans="1:4" ht="15.95">
      <c r="A889" s="345">
        <f t="shared" ca="1" si="26"/>
        <v>0.37918364142584682</v>
      </c>
      <c r="B889" s="347" t="str">
        <f t="shared" si="27"/>
        <v>Base Case</v>
      </c>
      <c r="C889" s="346">
        <v>877</v>
      </c>
      <c r="D889" s="342">
        <v>184567.22517716466</v>
      </c>
    </row>
    <row r="890" spans="1:4" ht="15.95">
      <c r="A890" s="345">
        <f t="shared" ca="1" si="26"/>
        <v>0.41379808704954368</v>
      </c>
      <c r="B890" s="347" t="str">
        <f t="shared" si="27"/>
        <v>Base Case</v>
      </c>
      <c r="C890" s="346">
        <v>878</v>
      </c>
      <c r="D890" s="342">
        <v>184567.22517716466</v>
      </c>
    </row>
    <row r="891" spans="1:4" ht="15.95">
      <c r="A891" s="345">
        <f t="shared" ca="1" si="26"/>
        <v>0.96224457380463224</v>
      </c>
      <c r="B891" s="347" t="str">
        <f t="shared" si="27"/>
        <v>Base Case</v>
      </c>
      <c r="C891" s="346">
        <v>879</v>
      </c>
      <c r="D891" s="342">
        <v>184567.22517716466</v>
      </c>
    </row>
    <row r="892" spans="1:4" ht="15.95">
      <c r="A892" s="345">
        <f t="shared" ca="1" si="26"/>
        <v>0.82481299372227146</v>
      </c>
      <c r="B892" s="347" t="str">
        <f t="shared" si="27"/>
        <v>Base Case</v>
      </c>
      <c r="C892" s="346">
        <v>880</v>
      </c>
      <c r="D892" s="342">
        <v>184567.22517716466</v>
      </c>
    </row>
    <row r="893" spans="1:4" ht="15.95">
      <c r="A893" s="345">
        <f t="shared" ca="1" si="26"/>
        <v>0.38761612335162809</v>
      </c>
      <c r="B893" s="347" t="str">
        <f t="shared" si="27"/>
        <v>Base Case</v>
      </c>
      <c r="C893" s="346">
        <v>881</v>
      </c>
      <c r="D893" s="342">
        <v>184567.22517716466</v>
      </c>
    </row>
    <row r="894" spans="1:4" ht="15.95">
      <c r="A894" s="345">
        <f t="shared" ca="1" si="26"/>
        <v>0.49667147705381964</v>
      </c>
      <c r="B894" s="347" t="str">
        <f t="shared" si="27"/>
        <v>Base Case</v>
      </c>
      <c r="C894" s="346">
        <v>882</v>
      </c>
      <c r="D894" s="342">
        <v>184567.22517716466</v>
      </c>
    </row>
    <row r="895" spans="1:4" ht="15.95">
      <c r="A895" s="345">
        <f t="shared" ca="1" si="26"/>
        <v>0.63936945973750714</v>
      </c>
      <c r="B895" s="347" t="str">
        <f t="shared" si="27"/>
        <v>Base Case</v>
      </c>
      <c r="C895" s="346">
        <v>883</v>
      </c>
      <c r="D895" s="342">
        <v>184567.22517716466</v>
      </c>
    </row>
    <row r="896" spans="1:4" ht="15.95">
      <c r="A896" s="345">
        <f t="shared" ca="1" si="26"/>
        <v>0.44307858657306909</v>
      </c>
      <c r="B896" s="347" t="str">
        <f t="shared" si="27"/>
        <v>Base Case</v>
      </c>
      <c r="C896" s="346">
        <v>884</v>
      </c>
      <c r="D896" s="342">
        <v>184567.22517716466</v>
      </c>
    </row>
    <row r="897" spans="1:4" ht="15.95">
      <c r="A897" s="345">
        <f t="shared" ca="1" si="26"/>
        <v>8.5985970267402401E-2</v>
      </c>
      <c r="B897" s="347" t="str">
        <f t="shared" si="27"/>
        <v>Base Case</v>
      </c>
      <c r="C897" s="346">
        <v>885</v>
      </c>
      <c r="D897" s="342">
        <v>184567.22517716466</v>
      </c>
    </row>
    <row r="898" spans="1:4" ht="15.95">
      <c r="A898" s="345">
        <f t="shared" ca="1" si="26"/>
        <v>0.76470027298268151</v>
      </c>
      <c r="B898" s="347" t="str">
        <f t="shared" si="27"/>
        <v>Base Case</v>
      </c>
      <c r="C898" s="346">
        <v>886</v>
      </c>
      <c r="D898" s="342">
        <v>184567.22517716466</v>
      </c>
    </row>
    <row r="899" spans="1:4" ht="15.95">
      <c r="A899" s="345">
        <f t="shared" ca="1" si="26"/>
        <v>0.14053413910165435</v>
      </c>
      <c r="B899" s="347" t="str">
        <f t="shared" si="27"/>
        <v>Base Case</v>
      </c>
      <c r="C899" s="346">
        <v>887</v>
      </c>
      <c r="D899" s="342">
        <v>184567.22517716466</v>
      </c>
    </row>
    <row r="900" spans="1:4" ht="15.95">
      <c r="A900" s="345">
        <f t="shared" ca="1" si="26"/>
        <v>0.9978483497745807</v>
      </c>
      <c r="B900" s="347" t="str">
        <f t="shared" si="27"/>
        <v>Base Case</v>
      </c>
      <c r="C900" s="346">
        <v>888</v>
      </c>
      <c r="D900" s="342">
        <v>184567.22517716466</v>
      </c>
    </row>
    <row r="901" spans="1:4" ht="15.95">
      <c r="A901" s="345">
        <f t="shared" ca="1" si="26"/>
        <v>0.23712639678176695</v>
      </c>
      <c r="B901" s="347" t="str">
        <f t="shared" si="27"/>
        <v>Base Case</v>
      </c>
      <c r="C901" s="346">
        <v>889</v>
      </c>
      <c r="D901" s="342">
        <v>184567.22517716466</v>
      </c>
    </row>
    <row r="902" spans="1:4" ht="15.95">
      <c r="A902" s="345">
        <f t="shared" ca="1" si="26"/>
        <v>0.6828838056020895</v>
      </c>
      <c r="B902" s="347" t="str">
        <f t="shared" si="27"/>
        <v>Base Case</v>
      </c>
      <c r="C902" s="346">
        <v>890</v>
      </c>
      <c r="D902" s="342">
        <v>184567.22517716466</v>
      </c>
    </row>
    <row r="903" spans="1:4" ht="15.95">
      <c r="A903" s="345">
        <f t="shared" ca="1" si="26"/>
        <v>0.91588943280233237</v>
      </c>
      <c r="B903" s="347" t="str">
        <f t="shared" si="27"/>
        <v>Base Case</v>
      </c>
      <c r="C903" s="346">
        <v>891</v>
      </c>
      <c r="D903" s="342">
        <v>184567.22517716466</v>
      </c>
    </row>
    <row r="904" spans="1:4" ht="15.95">
      <c r="A904" s="345">
        <f t="shared" ca="1" si="26"/>
        <v>0.92042251699157207</v>
      </c>
      <c r="B904" s="347" t="str">
        <f t="shared" si="27"/>
        <v>Base Case</v>
      </c>
      <c r="C904" s="346">
        <v>892</v>
      </c>
      <c r="D904" s="342">
        <v>184567.22517716466</v>
      </c>
    </row>
    <row r="905" spans="1:4" ht="15.95">
      <c r="A905" s="345">
        <f t="shared" ca="1" si="26"/>
        <v>0.23221399316275027</v>
      </c>
      <c r="B905" s="347" t="str">
        <f t="shared" si="27"/>
        <v>Base Case</v>
      </c>
      <c r="C905" s="346">
        <v>893</v>
      </c>
      <c r="D905" s="342">
        <v>184567.22517716466</v>
      </c>
    </row>
    <row r="906" spans="1:4" ht="15.95">
      <c r="A906" s="345">
        <f t="shared" ca="1" si="26"/>
        <v>4.7447523248461465E-2</v>
      </c>
      <c r="B906" s="347" t="str">
        <f t="shared" si="27"/>
        <v>Base Case</v>
      </c>
      <c r="C906" s="346">
        <v>894</v>
      </c>
      <c r="D906" s="342">
        <v>184567.22517716466</v>
      </c>
    </row>
    <row r="907" spans="1:4" ht="15.95">
      <c r="A907" s="345">
        <f t="shared" ca="1" si="26"/>
        <v>0.20537518160213064</v>
      </c>
      <c r="B907" s="347" t="str">
        <f t="shared" si="27"/>
        <v>Base Case</v>
      </c>
      <c r="C907" s="346">
        <v>895</v>
      </c>
      <c r="D907" s="342">
        <v>184567.22517716466</v>
      </c>
    </row>
    <row r="908" spans="1:4" ht="15.95">
      <c r="A908" s="345">
        <f t="shared" ca="1" si="26"/>
        <v>0.72982135228774736</v>
      </c>
      <c r="B908" s="347" t="str">
        <f t="shared" si="27"/>
        <v>Base Case</v>
      </c>
      <c r="C908" s="346">
        <v>896</v>
      </c>
      <c r="D908" s="342">
        <v>184567.22517716466</v>
      </c>
    </row>
    <row r="909" spans="1:4" ht="15.95">
      <c r="A909" s="345">
        <f t="shared" ref="A909:A972" ca="1" si="28">RAND()</f>
        <v>0.24408481617515876</v>
      </c>
      <c r="B909" s="347" t="str">
        <f t="shared" ref="B909:B972" si="29">IF(OR($B$1=1, $B$1=2), IF(A909&lt;=(B$5-B$4)/(B$6-B$4),$B$4+SQRT(A909*(B$6-B$4)*(B$5-B$4)),B$6-SQRT((1-A909)*(B$6-B$4)*(-B$5+B$6))),IF($B$1=3, "All Simuls","Base Case"))</f>
        <v>Base Case</v>
      </c>
      <c r="C909" s="346">
        <v>897</v>
      </c>
      <c r="D909" s="342">
        <v>184567.22517716466</v>
      </c>
    </row>
    <row r="910" spans="1:4" ht="15.95">
      <c r="A910" s="345">
        <f t="shared" ca="1" si="28"/>
        <v>0.73372628035197318</v>
      </c>
      <c r="B910" s="347" t="str">
        <f t="shared" si="29"/>
        <v>Base Case</v>
      </c>
      <c r="C910" s="346">
        <v>898</v>
      </c>
      <c r="D910" s="342">
        <v>184567.22517716466</v>
      </c>
    </row>
    <row r="911" spans="1:4" ht="15.95">
      <c r="A911" s="345">
        <f t="shared" ca="1" si="28"/>
        <v>0.61147321347323957</v>
      </c>
      <c r="B911" s="347" t="str">
        <f t="shared" si="29"/>
        <v>Base Case</v>
      </c>
      <c r="C911" s="346">
        <v>899</v>
      </c>
      <c r="D911" s="342">
        <v>184567.22517716466</v>
      </c>
    </row>
    <row r="912" spans="1:4" ht="15.95">
      <c r="A912" s="345">
        <f t="shared" ca="1" si="28"/>
        <v>0.85182801139442588</v>
      </c>
      <c r="B912" s="347" t="str">
        <f t="shared" si="29"/>
        <v>Base Case</v>
      </c>
      <c r="C912" s="346">
        <v>900</v>
      </c>
      <c r="D912" s="342">
        <v>184567.22517716466</v>
      </c>
    </row>
    <row r="913" spans="1:4" ht="15.95">
      <c r="A913" s="345">
        <f t="shared" ca="1" si="28"/>
        <v>0.20452933045249821</v>
      </c>
      <c r="B913" s="347" t="str">
        <f t="shared" si="29"/>
        <v>Base Case</v>
      </c>
      <c r="C913" s="346">
        <v>901</v>
      </c>
      <c r="D913" s="342">
        <v>184567.22517716466</v>
      </c>
    </row>
    <row r="914" spans="1:4" ht="15.95">
      <c r="A914" s="345">
        <f t="shared" ca="1" si="28"/>
        <v>0.59806520633079985</v>
      </c>
      <c r="B914" s="347" t="str">
        <f t="shared" si="29"/>
        <v>Base Case</v>
      </c>
      <c r="C914" s="346">
        <v>902</v>
      </c>
      <c r="D914" s="342">
        <v>184567.22517716466</v>
      </c>
    </row>
    <row r="915" spans="1:4" ht="15.95">
      <c r="A915" s="345">
        <f t="shared" ca="1" si="28"/>
        <v>0.73814754063592869</v>
      </c>
      <c r="B915" s="347" t="str">
        <f t="shared" si="29"/>
        <v>Base Case</v>
      </c>
      <c r="C915" s="346">
        <v>903</v>
      </c>
      <c r="D915" s="342">
        <v>184567.22517716466</v>
      </c>
    </row>
    <row r="916" spans="1:4" ht="15.95">
      <c r="A916" s="345">
        <f t="shared" ca="1" si="28"/>
        <v>0.46806828976431381</v>
      </c>
      <c r="B916" s="347" t="str">
        <f t="shared" si="29"/>
        <v>Base Case</v>
      </c>
      <c r="C916" s="346">
        <v>904</v>
      </c>
      <c r="D916" s="342">
        <v>184567.22517716466</v>
      </c>
    </row>
    <row r="917" spans="1:4" ht="15.95">
      <c r="A917" s="345">
        <f t="shared" ca="1" si="28"/>
        <v>0.24890333267817499</v>
      </c>
      <c r="B917" s="347" t="str">
        <f t="shared" si="29"/>
        <v>Base Case</v>
      </c>
      <c r="C917" s="346">
        <v>905</v>
      </c>
      <c r="D917" s="342">
        <v>184567.22517716466</v>
      </c>
    </row>
    <row r="918" spans="1:4" ht="15.95">
      <c r="A918" s="345">
        <f t="shared" ca="1" si="28"/>
        <v>0.3313608996801638</v>
      </c>
      <c r="B918" s="347" t="str">
        <f t="shared" si="29"/>
        <v>Base Case</v>
      </c>
      <c r="C918" s="346">
        <v>906</v>
      </c>
      <c r="D918" s="342">
        <v>184567.22517716466</v>
      </c>
    </row>
    <row r="919" spans="1:4" ht="15.95">
      <c r="A919" s="345">
        <f t="shared" ca="1" si="28"/>
        <v>0.68477505128520133</v>
      </c>
      <c r="B919" s="347" t="str">
        <f t="shared" si="29"/>
        <v>Base Case</v>
      </c>
      <c r="C919" s="346">
        <v>907</v>
      </c>
      <c r="D919" s="342">
        <v>184567.22517716466</v>
      </c>
    </row>
    <row r="920" spans="1:4" ht="15.95">
      <c r="A920" s="345">
        <f t="shared" ca="1" si="28"/>
        <v>0.74742688574221516</v>
      </c>
      <c r="B920" s="347" t="str">
        <f t="shared" si="29"/>
        <v>Base Case</v>
      </c>
      <c r="C920" s="346">
        <v>908</v>
      </c>
      <c r="D920" s="342">
        <v>184567.22517716466</v>
      </c>
    </row>
    <row r="921" spans="1:4" ht="15.95">
      <c r="A921" s="345">
        <f t="shared" ca="1" si="28"/>
        <v>0.89859231998398847</v>
      </c>
      <c r="B921" s="347" t="str">
        <f t="shared" si="29"/>
        <v>Base Case</v>
      </c>
      <c r="C921" s="346">
        <v>909</v>
      </c>
      <c r="D921" s="342">
        <v>184567.22517716466</v>
      </c>
    </row>
    <row r="922" spans="1:4" ht="15.95">
      <c r="A922" s="345">
        <f t="shared" ca="1" si="28"/>
        <v>0.65416278365863589</v>
      </c>
      <c r="B922" s="347" t="str">
        <f t="shared" si="29"/>
        <v>Base Case</v>
      </c>
      <c r="C922" s="346">
        <v>910</v>
      </c>
      <c r="D922" s="342">
        <v>184567.22517716466</v>
      </c>
    </row>
    <row r="923" spans="1:4" ht="15.95">
      <c r="A923" s="345">
        <f t="shared" ca="1" si="28"/>
        <v>0.775293896105131</v>
      </c>
      <c r="B923" s="347" t="str">
        <f t="shared" si="29"/>
        <v>Base Case</v>
      </c>
      <c r="C923" s="346">
        <v>911</v>
      </c>
      <c r="D923" s="342">
        <v>184567.22517716466</v>
      </c>
    </row>
    <row r="924" spans="1:4" ht="15.95">
      <c r="A924" s="345">
        <f t="shared" ca="1" si="28"/>
        <v>0.76833028193012909</v>
      </c>
      <c r="B924" s="347" t="str">
        <f t="shared" si="29"/>
        <v>Base Case</v>
      </c>
      <c r="C924" s="346">
        <v>912</v>
      </c>
      <c r="D924" s="342">
        <v>184567.22517716466</v>
      </c>
    </row>
    <row r="925" spans="1:4" ht="15.95">
      <c r="A925" s="345">
        <f t="shared" ca="1" si="28"/>
        <v>0.91701089888316401</v>
      </c>
      <c r="B925" s="347" t="str">
        <f t="shared" si="29"/>
        <v>Base Case</v>
      </c>
      <c r="C925" s="346">
        <v>913</v>
      </c>
      <c r="D925" s="342">
        <v>184567.22517716466</v>
      </c>
    </row>
    <row r="926" spans="1:4" ht="15.95">
      <c r="A926" s="345">
        <f t="shared" ca="1" si="28"/>
        <v>0.96952190079150913</v>
      </c>
      <c r="B926" s="347" t="str">
        <f t="shared" si="29"/>
        <v>Base Case</v>
      </c>
      <c r="C926" s="346">
        <v>914</v>
      </c>
      <c r="D926" s="342">
        <v>184567.22517716466</v>
      </c>
    </row>
    <row r="927" spans="1:4" ht="15.95">
      <c r="A927" s="345">
        <f t="shared" ca="1" si="28"/>
        <v>0.33055781714176813</v>
      </c>
      <c r="B927" s="347" t="str">
        <f t="shared" si="29"/>
        <v>Base Case</v>
      </c>
      <c r="C927" s="346">
        <v>915</v>
      </c>
      <c r="D927" s="342">
        <v>184567.22517716466</v>
      </c>
    </row>
    <row r="928" spans="1:4" ht="15.95">
      <c r="A928" s="345">
        <f t="shared" ca="1" si="28"/>
        <v>0.53457636256891583</v>
      </c>
      <c r="B928" s="347" t="str">
        <f t="shared" si="29"/>
        <v>Base Case</v>
      </c>
      <c r="C928" s="346">
        <v>916</v>
      </c>
      <c r="D928" s="342">
        <v>184567.22517716466</v>
      </c>
    </row>
    <row r="929" spans="1:4" ht="15.95">
      <c r="A929" s="345">
        <f t="shared" ca="1" si="28"/>
        <v>0.6518286929669902</v>
      </c>
      <c r="B929" s="347" t="str">
        <f t="shared" si="29"/>
        <v>Base Case</v>
      </c>
      <c r="C929" s="346">
        <v>917</v>
      </c>
      <c r="D929" s="342">
        <v>184567.22517716466</v>
      </c>
    </row>
    <row r="930" spans="1:4" ht="15.95">
      <c r="A930" s="345">
        <f t="shared" ca="1" si="28"/>
        <v>0.60430197032036592</v>
      </c>
      <c r="B930" s="347" t="str">
        <f t="shared" si="29"/>
        <v>Base Case</v>
      </c>
      <c r="C930" s="346">
        <v>918</v>
      </c>
      <c r="D930" s="342">
        <v>184567.22517716466</v>
      </c>
    </row>
    <row r="931" spans="1:4" ht="15.95">
      <c r="A931" s="345">
        <f t="shared" ca="1" si="28"/>
        <v>0.79505269920352895</v>
      </c>
      <c r="B931" s="347" t="str">
        <f t="shared" si="29"/>
        <v>Base Case</v>
      </c>
      <c r="C931" s="346">
        <v>919</v>
      </c>
      <c r="D931" s="342">
        <v>184567.22517716466</v>
      </c>
    </row>
    <row r="932" spans="1:4" ht="15.95">
      <c r="A932" s="345">
        <f t="shared" ca="1" si="28"/>
        <v>0.76633459206725574</v>
      </c>
      <c r="B932" s="347" t="str">
        <f t="shared" si="29"/>
        <v>Base Case</v>
      </c>
      <c r="C932" s="346">
        <v>920</v>
      </c>
      <c r="D932" s="342">
        <v>184567.22517716466</v>
      </c>
    </row>
    <row r="933" spans="1:4" ht="15.95">
      <c r="A933" s="345">
        <f t="shared" ca="1" si="28"/>
        <v>0.51597427692252507</v>
      </c>
      <c r="B933" s="347" t="str">
        <f t="shared" si="29"/>
        <v>Base Case</v>
      </c>
      <c r="C933" s="346">
        <v>921</v>
      </c>
      <c r="D933" s="342">
        <v>184567.22517716466</v>
      </c>
    </row>
    <row r="934" spans="1:4" ht="15.95">
      <c r="A934" s="345">
        <f t="shared" ca="1" si="28"/>
        <v>0.61385802843219639</v>
      </c>
      <c r="B934" s="347" t="str">
        <f t="shared" si="29"/>
        <v>Base Case</v>
      </c>
      <c r="C934" s="346">
        <v>922</v>
      </c>
      <c r="D934" s="342">
        <v>184567.22517716466</v>
      </c>
    </row>
    <row r="935" spans="1:4" ht="15.95">
      <c r="A935" s="345">
        <f t="shared" ca="1" si="28"/>
        <v>0.67895688911724283</v>
      </c>
      <c r="B935" s="347" t="str">
        <f t="shared" si="29"/>
        <v>Base Case</v>
      </c>
      <c r="C935" s="346">
        <v>923</v>
      </c>
      <c r="D935" s="342">
        <v>184567.22517716466</v>
      </c>
    </row>
    <row r="936" spans="1:4" ht="15.95">
      <c r="A936" s="345">
        <f t="shared" ca="1" si="28"/>
        <v>0.94949217004295772</v>
      </c>
      <c r="B936" s="347" t="str">
        <f t="shared" si="29"/>
        <v>Base Case</v>
      </c>
      <c r="C936" s="346">
        <v>924</v>
      </c>
      <c r="D936" s="342">
        <v>184567.22517716466</v>
      </c>
    </row>
    <row r="937" spans="1:4" ht="15.95">
      <c r="A937" s="345">
        <f t="shared" ca="1" si="28"/>
        <v>0.36878054768188384</v>
      </c>
      <c r="B937" s="347" t="str">
        <f t="shared" si="29"/>
        <v>Base Case</v>
      </c>
      <c r="C937" s="346">
        <v>925</v>
      </c>
      <c r="D937" s="342">
        <v>184567.22517716466</v>
      </c>
    </row>
    <row r="938" spans="1:4" ht="15.95">
      <c r="A938" s="345">
        <f t="shared" ca="1" si="28"/>
        <v>0.41068921021635518</v>
      </c>
      <c r="B938" s="347" t="str">
        <f t="shared" si="29"/>
        <v>Base Case</v>
      </c>
      <c r="C938" s="346">
        <v>926</v>
      </c>
      <c r="D938" s="342">
        <v>184567.22517716466</v>
      </c>
    </row>
    <row r="939" spans="1:4" ht="15.95">
      <c r="A939" s="345">
        <f t="shared" ca="1" si="28"/>
        <v>0.53155778318702862</v>
      </c>
      <c r="B939" s="347" t="str">
        <f t="shared" si="29"/>
        <v>Base Case</v>
      </c>
      <c r="C939" s="346">
        <v>927</v>
      </c>
      <c r="D939" s="342">
        <v>184567.22517716466</v>
      </c>
    </row>
    <row r="940" spans="1:4" ht="15.95">
      <c r="A940" s="345">
        <f t="shared" ca="1" si="28"/>
        <v>1.5603277971610652E-2</v>
      </c>
      <c r="B940" s="347" t="str">
        <f t="shared" si="29"/>
        <v>Base Case</v>
      </c>
      <c r="C940" s="346">
        <v>928</v>
      </c>
      <c r="D940" s="342">
        <v>184567.22517716466</v>
      </c>
    </row>
    <row r="941" spans="1:4" ht="15.95">
      <c r="A941" s="345">
        <f t="shared" ca="1" si="28"/>
        <v>0.83939250271529531</v>
      </c>
      <c r="B941" s="347" t="str">
        <f t="shared" si="29"/>
        <v>Base Case</v>
      </c>
      <c r="C941" s="346">
        <v>929</v>
      </c>
      <c r="D941" s="342">
        <v>184567.22517716466</v>
      </c>
    </row>
    <row r="942" spans="1:4" ht="15.95">
      <c r="A942" s="345">
        <f t="shared" ca="1" si="28"/>
        <v>0.46922609309283991</v>
      </c>
      <c r="B942" s="347" t="str">
        <f t="shared" si="29"/>
        <v>Base Case</v>
      </c>
      <c r="C942" s="346">
        <v>930</v>
      </c>
      <c r="D942" s="342">
        <v>184567.22517716466</v>
      </c>
    </row>
    <row r="943" spans="1:4" ht="15.95">
      <c r="A943" s="345">
        <f t="shared" ca="1" si="28"/>
        <v>0.16432609369216411</v>
      </c>
      <c r="B943" s="347" t="str">
        <f t="shared" si="29"/>
        <v>Base Case</v>
      </c>
      <c r="C943" s="346">
        <v>931</v>
      </c>
      <c r="D943" s="342">
        <v>184567.22517716466</v>
      </c>
    </row>
    <row r="944" spans="1:4" ht="15.95">
      <c r="A944" s="345">
        <f t="shared" ca="1" si="28"/>
        <v>0.51973447023877994</v>
      </c>
      <c r="B944" s="347" t="str">
        <f t="shared" si="29"/>
        <v>Base Case</v>
      </c>
      <c r="C944" s="346">
        <v>932</v>
      </c>
      <c r="D944" s="342">
        <v>184567.22517716466</v>
      </c>
    </row>
    <row r="945" spans="1:4" ht="15.95">
      <c r="A945" s="345">
        <f t="shared" ca="1" si="28"/>
        <v>0.62096821603914387</v>
      </c>
      <c r="B945" s="347" t="str">
        <f t="shared" si="29"/>
        <v>Base Case</v>
      </c>
      <c r="C945" s="346">
        <v>933</v>
      </c>
      <c r="D945" s="342">
        <v>184567.22517716466</v>
      </c>
    </row>
    <row r="946" spans="1:4" ht="15.95">
      <c r="A946" s="345">
        <f t="shared" ca="1" si="28"/>
        <v>0.66543971550491166</v>
      </c>
      <c r="B946" s="347" t="str">
        <f t="shared" si="29"/>
        <v>Base Case</v>
      </c>
      <c r="C946" s="346">
        <v>934</v>
      </c>
      <c r="D946" s="342">
        <v>184567.22517716466</v>
      </c>
    </row>
    <row r="947" spans="1:4" ht="15.95">
      <c r="A947" s="345">
        <f t="shared" ca="1" si="28"/>
        <v>0.70774692969726238</v>
      </c>
      <c r="B947" s="347" t="str">
        <f t="shared" si="29"/>
        <v>Base Case</v>
      </c>
      <c r="C947" s="346">
        <v>935</v>
      </c>
      <c r="D947" s="342">
        <v>184567.22517716466</v>
      </c>
    </row>
    <row r="948" spans="1:4" ht="15.95">
      <c r="A948" s="345">
        <f t="shared" ca="1" si="28"/>
        <v>0.74417226372379996</v>
      </c>
      <c r="B948" s="347" t="str">
        <f t="shared" si="29"/>
        <v>Base Case</v>
      </c>
      <c r="C948" s="346">
        <v>936</v>
      </c>
      <c r="D948" s="342">
        <v>184567.22517716466</v>
      </c>
    </row>
    <row r="949" spans="1:4" ht="15.95">
      <c r="A949" s="345">
        <f t="shared" ca="1" si="28"/>
        <v>0.51782068095027012</v>
      </c>
      <c r="B949" s="347" t="str">
        <f t="shared" si="29"/>
        <v>Base Case</v>
      </c>
      <c r="C949" s="346">
        <v>937</v>
      </c>
      <c r="D949" s="342">
        <v>184567.22517716466</v>
      </c>
    </row>
    <row r="950" spans="1:4" ht="15.95">
      <c r="A950" s="345">
        <f t="shared" ca="1" si="28"/>
        <v>0.31785659580623049</v>
      </c>
      <c r="B950" s="347" t="str">
        <f t="shared" si="29"/>
        <v>Base Case</v>
      </c>
      <c r="C950" s="346">
        <v>938</v>
      </c>
      <c r="D950" s="342">
        <v>184567.22517716466</v>
      </c>
    </row>
    <row r="951" spans="1:4" ht="15.95">
      <c r="A951" s="345">
        <f t="shared" ca="1" si="28"/>
        <v>0.95474807209033863</v>
      </c>
      <c r="B951" s="347" t="str">
        <f t="shared" si="29"/>
        <v>Base Case</v>
      </c>
      <c r="C951" s="346">
        <v>939</v>
      </c>
      <c r="D951" s="342">
        <v>184567.22517716466</v>
      </c>
    </row>
    <row r="952" spans="1:4" ht="15.95">
      <c r="A952" s="345">
        <f t="shared" ca="1" si="28"/>
        <v>7.5327494765361047E-2</v>
      </c>
      <c r="B952" s="347" t="str">
        <f t="shared" si="29"/>
        <v>Base Case</v>
      </c>
      <c r="C952" s="346">
        <v>940</v>
      </c>
      <c r="D952" s="342">
        <v>184567.22517716466</v>
      </c>
    </row>
    <row r="953" spans="1:4" ht="15.95">
      <c r="A953" s="345">
        <f t="shared" ca="1" si="28"/>
        <v>0.57426015186204848</v>
      </c>
      <c r="B953" s="347" t="str">
        <f t="shared" si="29"/>
        <v>Base Case</v>
      </c>
      <c r="C953" s="346">
        <v>941</v>
      </c>
      <c r="D953" s="342">
        <v>184567.22517716466</v>
      </c>
    </row>
    <row r="954" spans="1:4" ht="15.95">
      <c r="A954" s="345">
        <f t="shared" ca="1" si="28"/>
        <v>0.68344824850997066</v>
      </c>
      <c r="B954" s="347" t="str">
        <f t="shared" si="29"/>
        <v>Base Case</v>
      </c>
      <c r="C954" s="346">
        <v>942</v>
      </c>
      <c r="D954" s="342">
        <v>184567.22517716466</v>
      </c>
    </row>
    <row r="955" spans="1:4" ht="15.95">
      <c r="A955" s="345">
        <f t="shared" ca="1" si="28"/>
        <v>0.83347820979099896</v>
      </c>
      <c r="B955" s="347" t="str">
        <f t="shared" si="29"/>
        <v>Base Case</v>
      </c>
      <c r="C955" s="346">
        <v>943</v>
      </c>
      <c r="D955" s="342">
        <v>184567.22517716466</v>
      </c>
    </row>
    <row r="956" spans="1:4" ht="15.95">
      <c r="A956" s="345">
        <f t="shared" ca="1" si="28"/>
        <v>0.96309960969051212</v>
      </c>
      <c r="B956" s="347" t="str">
        <f t="shared" si="29"/>
        <v>Base Case</v>
      </c>
      <c r="C956" s="346">
        <v>944</v>
      </c>
      <c r="D956" s="342">
        <v>184567.22517716466</v>
      </c>
    </row>
    <row r="957" spans="1:4" ht="15.95">
      <c r="A957" s="345">
        <f t="shared" ca="1" si="28"/>
        <v>0.65370288611541261</v>
      </c>
      <c r="B957" s="347" t="str">
        <f t="shared" si="29"/>
        <v>Base Case</v>
      </c>
      <c r="C957" s="346">
        <v>945</v>
      </c>
      <c r="D957" s="342">
        <v>184567.22517716466</v>
      </c>
    </row>
    <row r="958" spans="1:4" ht="15.95">
      <c r="A958" s="345">
        <f t="shared" ca="1" si="28"/>
        <v>0.48191752992524906</v>
      </c>
      <c r="B958" s="347" t="str">
        <f t="shared" si="29"/>
        <v>Base Case</v>
      </c>
      <c r="C958" s="346">
        <v>946</v>
      </c>
      <c r="D958" s="342">
        <v>184567.22517716466</v>
      </c>
    </row>
    <row r="959" spans="1:4" ht="15.95">
      <c r="A959" s="345">
        <f t="shared" ca="1" si="28"/>
        <v>0.91139101606488748</v>
      </c>
      <c r="B959" s="347" t="str">
        <f t="shared" si="29"/>
        <v>Base Case</v>
      </c>
      <c r="C959" s="346">
        <v>947</v>
      </c>
      <c r="D959" s="342">
        <v>184567.22517716466</v>
      </c>
    </row>
    <row r="960" spans="1:4" ht="15.95">
      <c r="A960" s="345">
        <f t="shared" ca="1" si="28"/>
        <v>0.35393794017393976</v>
      </c>
      <c r="B960" s="347" t="str">
        <f t="shared" si="29"/>
        <v>Base Case</v>
      </c>
      <c r="C960" s="346">
        <v>948</v>
      </c>
      <c r="D960" s="342">
        <v>184567.22517716466</v>
      </c>
    </row>
    <row r="961" spans="1:4" ht="15.95">
      <c r="A961" s="345">
        <f t="shared" ca="1" si="28"/>
        <v>0.86373747413776125</v>
      </c>
      <c r="B961" s="347" t="str">
        <f t="shared" si="29"/>
        <v>Base Case</v>
      </c>
      <c r="C961" s="346">
        <v>949</v>
      </c>
      <c r="D961" s="342">
        <v>184567.22517716466</v>
      </c>
    </row>
    <row r="962" spans="1:4" ht="15.95">
      <c r="A962" s="345">
        <f t="shared" ca="1" si="28"/>
        <v>0.12373773416610545</v>
      </c>
      <c r="B962" s="347" t="str">
        <f t="shared" si="29"/>
        <v>Base Case</v>
      </c>
      <c r="C962" s="346">
        <v>950</v>
      </c>
      <c r="D962" s="342">
        <v>184567.22517716466</v>
      </c>
    </row>
    <row r="963" spans="1:4" ht="15.95">
      <c r="A963" s="345">
        <f t="shared" ca="1" si="28"/>
        <v>0.80869918949968189</v>
      </c>
      <c r="B963" s="347" t="str">
        <f t="shared" si="29"/>
        <v>Base Case</v>
      </c>
      <c r="C963" s="346">
        <v>951</v>
      </c>
      <c r="D963" s="342">
        <v>184567.22517716466</v>
      </c>
    </row>
    <row r="964" spans="1:4" ht="15.95">
      <c r="A964" s="345">
        <f t="shared" ca="1" si="28"/>
        <v>0.26829496979080258</v>
      </c>
      <c r="B964" s="347" t="str">
        <f t="shared" si="29"/>
        <v>Base Case</v>
      </c>
      <c r="C964" s="346">
        <v>952</v>
      </c>
      <c r="D964" s="342">
        <v>184567.22517716466</v>
      </c>
    </row>
    <row r="965" spans="1:4" ht="15.95">
      <c r="A965" s="345">
        <f t="shared" ca="1" si="28"/>
        <v>0.27126622748699802</v>
      </c>
      <c r="B965" s="347" t="str">
        <f t="shared" si="29"/>
        <v>Base Case</v>
      </c>
      <c r="C965" s="346">
        <v>953</v>
      </c>
      <c r="D965" s="342">
        <v>184567.22517716466</v>
      </c>
    </row>
    <row r="966" spans="1:4" ht="15.95">
      <c r="A966" s="345">
        <f t="shared" ca="1" si="28"/>
        <v>0.37725183247758998</v>
      </c>
      <c r="B966" s="347" t="str">
        <f t="shared" si="29"/>
        <v>Base Case</v>
      </c>
      <c r="C966" s="346">
        <v>954</v>
      </c>
      <c r="D966" s="342">
        <v>184567.22517716466</v>
      </c>
    </row>
    <row r="967" spans="1:4" ht="15.95">
      <c r="A967" s="345">
        <f t="shared" ca="1" si="28"/>
        <v>0.22230584920804786</v>
      </c>
      <c r="B967" s="347" t="str">
        <f t="shared" si="29"/>
        <v>Base Case</v>
      </c>
      <c r="C967" s="346">
        <v>955</v>
      </c>
      <c r="D967" s="342">
        <v>184567.22517716466</v>
      </c>
    </row>
    <row r="968" spans="1:4" ht="15.95">
      <c r="A968" s="345">
        <f t="shared" ca="1" si="28"/>
        <v>0.84479737450362313</v>
      </c>
      <c r="B968" s="347" t="str">
        <f t="shared" si="29"/>
        <v>Base Case</v>
      </c>
      <c r="C968" s="346">
        <v>956</v>
      </c>
      <c r="D968" s="342">
        <v>184567.22517716466</v>
      </c>
    </row>
    <row r="969" spans="1:4" ht="15.95">
      <c r="A969" s="345">
        <f t="shared" ca="1" si="28"/>
        <v>0.2003294840169273</v>
      </c>
      <c r="B969" s="347" t="str">
        <f t="shared" si="29"/>
        <v>Base Case</v>
      </c>
      <c r="C969" s="346">
        <v>957</v>
      </c>
      <c r="D969" s="342">
        <v>184567.22517716466</v>
      </c>
    </row>
    <row r="970" spans="1:4" ht="15.95">
      <c r="A970" s="345">
        <f t="shared" ca="1" si="28"/>
        <v>0.50518644317043893</v>
      </c>
      <c r="B970" s="347" t="str">
        <f t="shared" si="29"/>
        <v>Base Case</v>
      </c>
      <c r="C970" s="346">
        <v>958</v>
      </c>
      <c r="D970" s="342">
        <v>184567.22517716466</v>
      </c>
    </row>
    <row r="971" spans="1:4" ht="15.95">
      <c r="A971" s="345">
        <f t="shared" ca="1" si="28"/>
        <v>7.5013949906952315E-2</v>
      </c>
      <c r="B971" s="347" t="str">
        <f t="shared" si="29"/>
        <v>Base Case</v>
      </c>
      <c r="C971" s="346">
        <v>959</v>
      </c>
      <c r="D971" s="342">
        <v>184567.22517716466</v>
      </c>
    </row>
    <row r="972" spans="1:4" ht="15.95">
      <c r="A972" s="345">
        <f t="shared" ca="1" si="28"/>
        <v>0.61181340417691621</v>
      </c>
      <c r="B972" s="347" t="str">
        <f t="shared" si="29"/>
        <v>Base Case</v>
      </c>
      <c r="C972" s="346">
        <v>960</v>
      </c>
      <c r="D972" s="342">
        <v>184567.22517716466</v>
      </c>
    </row>
    <row r="973" spans="1:4" ht="15.95">
      <c r="A973" s="345">
        <f t="shared" ref="A973:A1012" ca="1" si="30">RAND()</f>
        <v>0.66767955159294756</v>
      </c>
      <c r="B973" s="347" t="str">
        <f t="shared" ref="B973:B1036" si="31">IF(OR($B$1=1, $B$1=2), IF(A973&lt;=(B$5-B$4)/(B$6-B$4),$B$4+SQRT(A973*(B$6-B$4)*(B$5-B$4)),B$6-SQRT((1-A973)*(B$6-B$4)*(-B$5+B$6))),IF($B$1=3, "All Simuls","Base Case"))</f>
        <v>Base Case</v>
      </c>
      <c r="C973" s="346">
        <v>961</v>
      </c>
      <c r="D973" s="342">
        <v>184567.22517716466</v>
      </c>
    </row>
    <row r="974" spans="1:4" ht="15.95">
      <c r="A974" s="345">
        <f t="shared" ca="1" si="30"/>
        <v>0.15602420437189246</v>
      </c>
      <c r="B974" s="347" t="str">
        <f t="shared" si="31"/>
        <v>Base Case</v>
      </c>
      <c r="C974" s="346">
        <v>962</v>
      </c>
      <c r="D974" s="342">
        <v>184567.22517716466</v>
      </c>
    </row>
    <row r="975" spans="1:4" ht="15.95">
      <c r="A975" s="345">
        <f t="shared" ca="1" si="30"/>
        <v>0.89835975957165559</v>
      </c>
      <c r="B975" s="347" t="str">
        <f t="shared" si="31"/>
        <v>Base Case</v>
      </c>
      <c r="C975" s="346">
        <v>963</v>
      </c>
      <c r="D975" s="342">
        <v>184567.22517716466</v>
      </c>
    </row>
    <row r="976" spans="1:4" ht="15.95">
      <c r="A976" s="345">
        <f t="shared" ca="1" si="30"/>
        <v>0.97560738917194612</v>
      </c>
      <c r="B976" s="347" t="str">
        <f t="shared" si="31"/>
        <v>Base Case</v>
      </c>
      <c r="C976" s="346">
        <v>964</v>
      </c>
      <c r="D976" s="342">
        <v>184567.22517716466</v>
      </c>
    </row>
    <row r="977" spans="1:4" ht="15.95">
      <c r="A977" s="345">
        <f t="shared" ca="1" si="30"/>
        <v>0.80185689872859656</v>
      </c>
      <c r="B977" s="347" t="str">
        <f t="shared" si="31"/>
        <v>Base Case</v>
      </c>
      <c r="C977" s="346">
        <v>965</v>
      </c>
      <c r="D977" s="342">
        <v>184567.22517716466</v>
      </c>
    </row>
    <row r="978" spans="1:4" ht="15.95">
      <c r="A978" s="345">
        <f t="shared" ca="1" si="30"/>
        <v>0.43453238999947241</v>
      </c>
      <c r="B978" s="347" t="str">
        <f t="shared" si="31"/>
        <v>Base Case</v>
      </c>
      <c r="C978" s="346">
        <v>966</v>
      </c>
      <c r="D978" s="342">
        <v>184567.22517716466</v>
      </c>
    </row>
    <row r="979" spans="1:4" ht="15.95">
      <c r="A979" s="345">
        <f t="shared" ca="1" si="30"/>
        <v>0.39613728968510853</v>
      </c>
      <c r="B979" s="347" t="str">
        <f t="shared" si="31"/>
        <v>Base Case</v>
      </c>
      <c r="C979" s="346">
        <v>967</v>
      </c>
      <c r="D979" s="342">
        <v>184567.22517716466</v>
      </c>
    </row>
    <row r="980" spans="1:4" ht="15.95">
      <c r="A980" s="345">
        <f t="shared" ca="1" si="30"/>
        <v>0.67463563257418524</v>
      </c>
      <c r="B980" s="347" t="str">
        <f t="shared" si="31"/>
        <v>Base Case</v>
      </c>
      <c r="C980" s="346">
        <v>968</v>
      </c>
      <c r="D980" s="342">
        <v>184567.22517716466</v>
      </c>
    </row>
    <row r="981" spans="1:4" ht="15.95">
      <c r="A981" s="345">
        <f t="shared" ca="1" si="30"/>
        <v>0.48799820778673952</v>
      </c>
      <c r="B981" s="347" t="str">
        <f t="shared" si="31"/>
        <v>Base Case</v>
      </c>
      <c r="C981" s="346">
        <v>969</v>
      </c>
      <c r="D981" s="342">
        <v>184567.22517716466</v>
      </c>
    </row>
    <row r="982" spans="1:4" ht="15.95">
      <c r="A982" s="345">
        <f t="shared" ca="1" si="30"/>
        <v>4.9979884333232749E-2</v>
      </c>
      <c r="B982" s="347" t="str">
        <f t="shared" si="31"/>
        <v>Base Case</v>
      </c>
      <c r="C982" s="346">
        <v>970</v>
      </c>
      <c r="D982" s="342">
        <v>184567.22517716466</v>
      </c>
    </row>
    <row r="983" spans="1:4" ht="15.95">
      <c r="A983" s="345">
        <f t="shared" ca="1" si="30"/>
        <v>0.13697724326226135</v>
      </c>
      <c r="B983" s="347" t="str">
        <f t="shared" si="31"/>
        <v>Base Case</v>
      </c>
      <c r="C983" s="346">
        <v>971</v>
      </c>
      <c r="D983" s="342">
        <v>184567.22517716466</v>
      </c>
    </row>
    <row r="984" spans="1:4" ht="15.95">
      <c r="A984" s="345">
        <f t="shared" ca="1" si="30"/>
        <v>0.40635303989275695</v>
      </c>
      <c r="B984" s="347" t="str">
        <f t="shared" si="31"/>
        <v>Base Case</v>
      </c>
      <c r="C984" s="346">
        <v>972</v>
      </c>
      <c r="D984" s="342">
        <v>184567.22517716466</v>
      </c>
    </row>
    <row r="985" spans="1:4" ht="15.95">
      <c r="A985" s="345">
        <f t="shared" ca="1" si="30"/>
        <v>0.58873503809953198</v>
      </c>
      <c r="B985" s="347" t="str">
        <f t="shared" si="31"/>
        <v>Base Case</v>
      </c>
      <c r="C985" s="346">
        <v>973</v>
      </c>
      <c r="D985" s="342">
        <v>184567.22517716466</v>
      </c>
    </row>
    <row r="986" spans="1:4" ht="15.95">
      <c r="A986" s="345">
        <f t="shared" ca="1" si="30"/>
        <v>0.6521252997893523</v>
      </c>
      <c r="B986" s="347" t="str">
        <f t="shared" si="31"/>
        <v>Base Case</v>
      </c>
      <c r="C986" s="346">
        <v>974</v>
      </c>
      <c r="D986" s="342">
        <v>184567.22517716466</v>
      </c>
    </row>
    <row r="987" spans="1:4" ht="15.95">
      <c r="A987" s="345">
        <f t="shared" ca="1" si="30"/>
        <v>0.19455572578315794</v>
      </c>
      <c r="B987" s="347" t="str">
        <f t="shared" si="31"/>
        <v>Base Case</v>
      </c>
      <c r="C987" s="346">
        <v>975</v>
      </c>
      <c r="D987" s="342">
        <v>184567.22517716466</v>
      </c>
    </row>
    <row r="988" spans="1:4" ht="15.95">
      <c r="A988" s="345">
        <f t="shared" ca="1" si="30"/>
        <v>0.65213729298221679</v>
      </c>
      <c r="B988" s="347" t="str">
        <f t="shared" si="31"/>
        <v>Base Case</v>
      </c>
      <c r="C988" s="346">
        <v>976</v>
      </c>
      <c r="D988" s="342">
        <v>184567.22517716466</v>
      </c>
    </row>
    <row r="989" spans="1:4" ht="15.95">
      <c r="A989" s="345">
        <f t="shared" ca="1" si="30"/>
        <v>0.73892409840408602</v>
      </c>
      <c r="B989" s="347" t="str">
        <f t="shared" si="31"/>
        <v>Base Case</v>
      </c>
      <c r="C989" s="346">
        <v>977</v>
      </c>
      <c r="D989" s="342">
        <v>184567.22517716466</v>
      </c>
    </row>
    <row r="990" spans="1:4" ht="15.95">
      <c r="A990" s="345">
        <f t="shared" ca="1" si="30"/>
        <v>0.22671833894725746</v>
      </c>
      <c r="B990" s="347" t="str">
        <f t="shared" si="31"/>
        <v>Base Case</v>
      </c>
      <c r="C990" s="346">
        <v>978</v>
      </c>
      <c r="D990" s="342">
        <v>184567.22517716466</v>
      </c>
    </row>
    <row r="991" spans="1:4" ht="15.95">
      <c r="A991" s="345">
        <f t="shared" ca="1" si="30"/>
        <v>0.84706319289178833</v>
      </c>
      <c r="B991" s="347" t="str">
        <f t="shared" si="31"/>
        <v>Base Case</v>
      </c>
      <c r="C991" s="346">
        <v>979</v>
      </c>
      <c r="D991" s="342">
        <v>184567.22517716466</v>
      </c>
    </row>
    <row r="992" spans="1:4" ht="15.95">
      <c r="A992" s="345">
        <f t="shared" ca="1" si="30"/>
        <v>4.7239811669258502E-3</v>
      </c>
      <c r="B992" s="347" t="str">
        <f t="shared" si="31"/>
        <v>Base Case</v>
      </c>
      <c r="C992" s="346">
        <v>980</v>
      </c>
      <c r="D992" s="342">
        <v>184567.22517716466</v>
      </c>
    </row>
    <row r="993" spans="1:4" ht="15.95">
      <c r="A993" s="345">
        <f t="shared" ca="1" si="30"/>
        <v>0.60838682912216757</v>
      </c>
      <c r="B993" s="347" t="str">
        <f t="shared" si="31"/>
        <v>Base Case</v>
      </c>
      <c r="C993" s="346">
        <v>981</v>
      </c>
      <c r="D993" s="342">
        <v>184567.22517716466</v>
      </c>
    </row>
    <row r="994" spans="1:4" ht="15.95">
      <c r="A994" s="345">
        <f t="shared" ca="1" si="30"/>
        <v>0.48287946578022234</v>
      </c>
      <c r="B994" s="347" t="str">
        <f t="shared" si="31"/>
        <v>Base Case</v>
      </c>
      <c r="C994" s="346">
        <v>982</v>
      </c>
      <c r="D994" s="342">
        <v>184567.22517716466</v>
      </c>
    </row>
    <row r="995" spans="1:4" ht="15.95">
      <c r="A995" s="345">
        <f t="shared" ca="1" si="30"/>
        <v>0.11717018750707942</v>
      </c>
      <c r="B995" s="347" t="str">
        <f t="shared" si="31"/>
        <v>Base Case</v>
      </c>
      <c r="C995" s="346">
        <v>983</v>
      </c>
      <c r="D995" s="342">
        <v>184567.22517716466</v>
      </c>
    </row>
    <row r="996" spans="1:4" ht="15.95">
      <c r="A996" s="345">
        <f t="shared" ca="1" si="30"/>
        <v>0.32333702161710387</v>
      </c>
      <c r="B996" s="347" t="str">
        <f t="shared" si="31"/>
        <v>Base Case</v>
      </c>
      <c r="C996" s="346">
        <v>984</v>
      </c>
      <c r="D996" s="342">
        <v>184567.22517716466</v>
      </c>
    </row>
    <row r="997" spans="1:4" ht="15.95">
      <c r="A997" s="345">
        <f t="shared" ca="1" si="30"/>
        <v>0.21780007142679125</v>
      </c>
      <c r="B997" s="347" t="str">
        <f t="shared" si="31"/>
        <v>Base Case</v>
      </c>
      <c r="C997" s="346">
        <v>985</v>
      </c>
      <c r="D997" s="342">
        <v>184567.22517716466</v>
      </c>
    </row>
    <row r="998" spans="1:4" ht="15.95">
      <c r="A998" s="345">
        <f t="shared" ca="1" si="30"/>
        <v>0.80809373528847928</v>
      </c>
      <c r="B998" s="347" t="str">
        <f t="shared" si="31"/>
        <v>Base Case</v>
      </c>
      <c r="C998" s="346">
        <v>986</v>
      </c>
      <c r="D998" s="342">
        <v>184567.22517716466</v>
      </c>
    </row>
    <row r="999" spans="1:4" ht="15.95">
      <c r="A999" s="345">
        <f t="shared" ca="1" si="30"/>
        <v>0.92228461703535725</v>
      </c>
      <c r="B999" s="347" t="str">
        <f t="shared" si="31"/>
        <v>Base Case</v>
      </c>
      <c r="C999" s="346">
        <v>987</v>
      </c>
      <c r="D999" s="342">
        <v>184567.22517716466</v>
      </c>
    </row>
    <row r="1000" spans="1:4" ht="15.95">
      <c r="A1000" s="345">
        <f t="shared" ca="1" si="30"/>
        <v>0.4960599081278364</v>
      </c>
      <c r="B1000" s="347" t="str">
        <f t="shared" si="31"/>
        <v>Base Case</v>
      </c>
      <c r="C1000" s="346">
        <v>988</v>
      </c>
      <c r="D1000" s="342">
        <v>184567.22517716466</v>
      </c>
    </row>
    <row r="1001" spans="1:4" ht="15.95">
      <c r="A1001" s="345">
        <f t="shared" ca="1" si="30"/>
        <v>0.22292213153473972</v>
      </c>
      <c r="B1001" s="347" t="str">
        <f t="shared" si="31"/>
        <v>Base Case</v>
      </c>
      <c r="C1001" s="346">
        <v>989</v>
      </c>
      <c r="D1001" s="342">
        <v>184567.22517716466</v>
      </c>
    </row>
    <row r="1002" spans="1:4" ht="15.95">
      <c r="A1002" s="345">
        <f t="shared" ca="1" si="30"/>
        <v>7.8752559008908873E-2</v>
      </c>
      <c r="B1002" s="347" t="str">
        <f t="shared" si="31"/>
        <v>Base Case</v>
      </c>
      <c r="C1002" s="346">
        <v>990</v>
      </c>
      <c r="D1002" s="342">
        <v>184567.22517716466</v>
      </c>
    </row>
    <row r="1003" spans="1:4" ht="15.95">
      <c r="A1003" s="345">
        <f t="shared" ca="1" si="30"/>
        <v>0.47130851669082863</v>
      </c>
      <c r="B1003" s="347" t="str">
        <f t="shared" si="31"/>
        <v>Base Case</v>
      </c>
      <c r="C1003" s="346">
        <v>991</v>
      </c>
      <c r="D1003" s="342">
        <v>184567.22517716466</v>
      </c>
    </row>
    <row r="1004" spans="1:4" ht="15.95">
      <c r="A1004" s="345">
        <f t="shared" ca="1" si="30"/>
        <v>0.8051277788760981</v>
      </c>
      <c r="B1004" s="347" t="str">
        <f t="shared" si="31"/>
        <v>Base Case</v>
      </c>
      <c r="C1004" s="346">
        <v>992</v>
      </c>
      <c r="D1004" s="342">
        <v>184567.22517716466</v>
      </c>
    </row>
    <row r="1005" spans="1:4" ht="15.95">
      <c r="A1005" s="345">
        <f t="shared" ca="1" si="30"/>
        <v>0.23045297924008723</v>
      </c>
      <c r="B1005" s="347" t="str">
        <f t="shared" si="31"/>
        <v>Base Case</v>
      </c>
      <c r="C1005" s="346">
        <v>993</v>
      </c>
      <c r="D1005" s="342">
        <v>184567.22517716466</v>
      </c>
    </row>
    <row r="1006" spans="1:4" ht="15.95">
      <c r="A1006" s="345">
        <f t="shared" ca="1" si="30"/>
        <v>0.80221674916872365</v>
      </c>
      <c r="B1006" s="347" t="str">
        <f t="shared" si="31"/>
        <v>Base Case</v>
      </c>
      <c r="C1006" s="346">
        <v>994</v>
      </c>
      <c r="D1006" s="342">
        <v>184567.22517716466</v>
      </c>
    </row>
    <row r="1007" spans="1:4" ht="15.95">
      <c r="A1007" s="345">
        <f t="shared" ca="1" si="30"/>
        <v>0.27274803895905442</v>
      </c>
      <c r="B1007" s="347" t="str">
        <f t="shared" si="31"/>
        <v>Base Case</v>
      </c>
      <c r="C1007" s="346">
        <v>995</v>
      </c>
      <c r="D1007" s="342">
        <v>184567.22517716466</v>
      </c>
    </row>
    <row r="1008" spans="1:4" ht="15.95">
      <c r="A1008" s="345">
        <f t="shared" ca="1" si="30"/>
        <v>0.74355884756488244</v>
      </c>
      <c r="B1008" s="347" t="str">
        <f t="shared" si="31"/>
        <v>Base Case</v>
      </c>
      <c r="C1008" s="346">
        <v>996</v>
      </c>
      <c r="D1008" s="342">
        <v>184567.22517716466</v>
      </c>
    </row>
    <row r="1009" spans="1:4" ht="15.95">
      <c r="A1009" s="345">
        <f t="shared" ca="1" si="30"/>
        <v>1.6793843057199886E-2</v>
      </c>
      <c r="B1009" s="347" t="str">
        <f t="shared" si="31"/>
        <v>Base Case</v>
      </c>
      <c r="C1009" s="346">
        <v>997</v>
      </c>
      <c r="D1009" s="342">
        <v>184567.22517716466</v>
      </c>
    </row>
    <row r="1010" spans="1:4" ht="15.95">
      <c r="A1010" s="345">
        <f t="shared" ca="1" si="30"/>
        <v>0.84100157286790345</v>
      </c>
      <c r="B1010" s="347" t="str">
        <f t="shared" si="31"/>
        <v>Base Case</v>
      </c>
      <c r="C1010" s="346">
        <v>998</v>
      </c>
      <c r="D1010" s="342">
        <v>184567.22517716466</v>
      </c>
    </row>
    <row r="1011" spans="1:4" ht="15.95">
      <c r="A1011" s="345">
        <f t="shared" ca="1" si="30"/>
        <v>0.63272659215938942</v>
      </c>
      <c r="B1011" s="347" t="str">
        <f t="shared" si="31"/>
        <v>Base Case</v>
      </c>
      <c r="C1011" s="346">
        <v>999</v>
      </c>
      <c r="D1011" s="342">
        <v>184567.22517716466</v>
      </c>
    </row>
    <row r="1012" spans="1:4" ht="15.95">
      <c r="A1012" s="345">
        <f t="shared" ca="1" si="30"/>
        <v>0.67558204866096483</v>
      </c>
      <c r="B1012" s="347" t="str">
        <f t="shared" si="31"/>
        <v>Base Case</v>
      </c>
      <c r="C1012" s="346">
        <v>1000</v>
      </c>
      <c r="D1012" s="342">
        <v>184567.22517716466</v>
      </c>
    </row>
  </sheetData>
  <hyperlinks>
    <hyperlink ref="F1" location="Index!A1" display="Back to Index" xr:uid="{E0ADF1A2-0F96-5B40-A1DD-4E621FF2DDAB}"/>
    <hyperlink ref="F3" location="'QM Simulation Summary Stats'!A1" display="Go to Simulation Summary" xr:uid="{CDF224E2-954A-3C48-8B4C-3C12CF9B1232}"/>
    <hyperlink ref="F2" location="'QM Parameters for Simulation'!A1" display="Go to Parameters for Simulations" xr:uid="{96D0DD4F-5D74-7645-B621-91CBA45637AA}"/>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D79B5-03F5-E744-BEA3-BCD109A66BA9}">
  <sheetPr>
    <tabColor rgb="FFDEDCE8"/>
  </sheetPr>
  <dimension ref="A1:M57"/>
  <sheetViews>
    <sheetView workbookViewId="0">
      <selection activeCell="A3" sqref="A3"/>
    </sheetView>
  </sheetViews>
  <sheetFormatPr defaultColWidth="9" defaultRowHeight="12.95"/>
  <cols>
    <col min="1" max="1" width="50.625" style="315" customWidth="1"/>
    <col min="2" max="6" width="25.625" style="315" customWidth="1"/>
    <col min="7" max="7" width="12.5" style="315" bestFit="1" customWidth="1"/>
    <col min="8" max="8" width="10.375" style="315" bestFit="1" customWidth="1"/>
    <col min="9" max="9" width="11.5" style="315" bestFit="1" customWidth="1"/>
    <col min="10" max="10" width="13.5" style="315" bestFit="1" customWidth="1"/>
    <col min="11" max="11" width="11.875" style="315" bestFit="1" customWidth="1"/>
    <col min="12" max="12" width="12.125" style="315" bestFit="1" customWidth="1"/>
    <col min="13" max="13" width="15" style="315" bestFit="1" customWidth="1"/>
    <col min="14" max="14" width="12.5" style="315" bestFit="1" customWidth="1"/>
    <col min="15" max="16384" width="9" style="315"/>
  </cols>
  <sheetData>
    <row r="1" spans="1:13" ht="15.95">
      <c r="A1" s="328" t="s">
        <v>1236</v>
      </c>
      <c r="B1" s="307"/>
      <c r="C1" s="44" t="s">
        <v>41</v>
      </c>
      <c r="D1" s="307"/>
      <c r="E1" s="307"/>
      <c r="F1" s="307"/>
      <c r="G1" s="307"/>
      <c r="H1" s="307"/>
      <c r="I1" s="307"/>
      <c r="J1" s="307"/>
      <c r="K1" s="307"/>
      <c r="L1" s="307"/>
      <c r="M1" s="307"/>
    </row>
    <row r="2" spans="1:13" ht="15.95">
      <c r="A2" s="348">
        <v>0</v>
      </c>
      <c r="B2" s="343" t="s">
        <v>1170</v>
      </c>
      <c r="C2" s="44" t="s">
        <v>1223</v>
      </c>
      <c r="D2" s="307"/>
      <c r="E2" s="307"/>
      <c r="F2" s="307"/>
      <c r="G2" s="307"/>
      <c r="H2" s="307"/>
      <c r="I2" s="307"/>
      <c r="J2" s="307"/>
      <c r="K2" s="307"/>
      <c r="L2" s="307"/>
      <c r="M2" s="307"/>
    </row>
    <row r="3" spans="1:13" ht="15.95">
      <c r="A3" s="337" t="s">
        <v>1222</v>
      </c>
      <c r="B3" s="340">
        <f>AVERAGE([0]!NPV_RunSimul)</f>
        <v>184567.22517716678</v>
      </c>
      <c r="C3" s="44" t="s">
        <v>1166</v>
      </c>
      <c r="D3" s="307"/>
      <c r="E3" s="307"/>
      <c r="F3" s="307"/>
      <c r="G3" s="307"/>
      <c r="H3" s="307"/>
      <c r="I3" s="307"/>
      <c r="J3" s="307"/>
      <c r="K3" s="307"/>
      <c r="L3" s="307"/>
      <c r="M3" s="307"/>
    </row>
    <row r="4" spans="1:13" ht="15.95">
      <c r="A4" s="337" t="s">
        <v>1224</v>
      </c>
      <c r="B4" s="340">
        <f>MEDIAN([0]!NPV_RunSimul)</f>
        <v>184567.22517716466</v>
      </c>
      <c r="C4" s="310"/>
      <c r="D4" s="310"/>
      <c r="E4" s="310"/>
      <c r="F4" s="310"/>
      <c r="G4" s="310"/>
      <c r="H4" s="310"/>
      <c r="I4" s="310"/>
      <c r="J4" s="310"/>
      <c r="K4" s="310"/>
      <c r="L4" s="310"/>
      <c r="M4" s="310"/>
    </row>
    <row r="5" spans="1:13" ht="15.95">
      <c r="A5" s="337" t="s">
        <v>1226</v>
      </c>
      <c r="B5" s="340">
        <f>STDEV([0]!NPV_RunSimul)</f>
        <v>2.1256416477134815E-9</v>
      </c>
      <c r="C5" s="310"/>
      <c r="D5" s="310"/>
      <c r="E5" s="310"/>
      <c r="F5" s="310"/>
      <c r="G5" s="310"/>
      <c r="H5" s="310"/>
      <c r="I5" s="310"/>
      <c r="J5" s="310"/>
      <c r="K5" s="310"/>
      <c r="L5" s="310"/>
      <c r="M5" s="307"/>
    </row>
    <row r="6" spans="1:13" ht="15.95">
      <c r="A6" s="337" t="s">
        <v>1227</v>
      </c>
      <c r="B6" s="340">
        <f>PERCENTILE([0]!NPV_RunSimul,0.05)</f>
        <v>184567.22517716466</v>
      </c>
      <c r="C6" s="310"/>
      <c r="D6" s="310"/>
      <c r="E6" s="310"/>
      <c r="F6" s="310"/>
      <c r="G6" s="307"/>
      <c r="H6" s="307"/>
      <c r="I6" s="307"/>
      <c r="J6" s="307"/>
      <c r="K6" s="307"/>
      <c r="L6" s="307"/>
      <c r="M6" s="307"/>
    </row>
    <row r="7" spans="1:13" ht="15.95">
      <c r="A7" s="337" t="s">
        <v>1228</v>
      </c>
      <c r="B7" s="340">
        <f>PERCENTILE([0]!NPV_RunSimul,0.95)</f>
        <v>184567.22517716466</v>
      </c>
      <c r="C7" s="310"/>
      <c r="D7" s="310"/>
      <c r="E7" s="310"/>
      <c r="F7" s="310"/>
      <c r="G7" s="307"/>
      <c r="H7" s="307"/>
      <c r="I7" s="307"/>
      <c r="J7" s="307"/>
      <c r="K7" s="307"/>
      <c r="L7" s="307"/>
      <c r="M7" s="307"/>
    </row>
    <row r="8" spans="1:13" ht="15.95">
      <c r="A8" s="337" t="s">
        <v>1229</v>
      </c>
      <c r="B8" s="349">
        <f>COUNTIF([0]!NPV_RunSimul,"&lt;0")/1000</f>
        <v>0</v>
      </c>
      <c r="C8" s="323"/>
      <c r="D8" s="323"/>
      <c r="E8" s="323"/>
      <c r="F8" s="323"/>
      <c r="G8" s="307"/>
      <c r="H8" s="307"/>
      <c r="I8" s="307"/>
      <c r="J8" s="307"/>
      <c r="K8" s="307"/>
      <c r="L8" s="307"/>
      <c r="M8" s="307"/>
    </row>
    <row r="12" spans="1:13" ht="15.95">
      <c r="A12" s="331" t="s">
        <v>1237</v>
      </c>
      <c r="B12" s="338"/>
      <c r="C12" s="338"/>
      <c r="D12" s="338"/>
      <c r="E12" s="307"/>
      <c r="F12" s="307"/>
      <c r="G12" s="307"/>
      <c r="H12" s="307"/>
      <c r="I12" s="307"/>
      <c r="J12" s="307"/>
      <c r="K12" s="307"/>
      <c r="L12" s="307"/>
      <c r="M12" s="307"/>
    </row>
    <row r="13" spans="1:13" ht="15.95">
      <c r="A13" s="338"/>
      <c r="B13" s="332" t="s">
        <v>1238</v>
      </c>
      <c r="C13" s="332" t="s">
        <v>1238</v>
      </c>
      <c r="D13" s="332" t="s">
        <v>1238</v>
      </c>
      <c r="E13" s="318"/>
      <c r="F13" s="318" t="s">
        <v>1238</v>
      </c>
      <c r="G13" s="307"/>
      <c r="H13" s="307"/>
      <c r="I13" s="307"/>
      <c r="J13" s="307"/>
      <c r="K13" s="307"/>
      <c r="L13" s="307"/>
      <c r="M13" s="307"/>
    </row>
    <row r="14" spans="1:13" ht="15.95">
      <c r="A14" s="338"/>
      <c r="B14" s="343" t="s">
        <v>1130</v>
      </c>
      <c r="C14" s="343" t="s">
        <v>327</v>
      </c>
      <c r="D14" s="343" t="s">
        <v>1171</v>
      </c>
      <c r="E14" s="316"/>
      <c r="F14" s="316" t="s">
        <v>1171</v>
      </c>
      <c r="G14" s="307"/>
      <c r="H14" s="307"/>
      <c r="I14" s="307"/>
      <c r="J14" s="307"/>
      <c r="K14" s="307"/>
      <c r="L14" s="307"/>
      <c r="M14" s="307"/>
    </row>
    <row r="15" spans="1:13" ht="15.95">
      <c r="A15" s="337" t="s">
        <v>1222</v>
      </c>
      <c r="B15" s="340">
        <v>386449.90834805946</v>
      </c>
      <c r="C15" s="340">
        <v>121460.7209800924</v>
      </c>
      <c r="D15" s="340">
        <v>318764.80664532562</v>
      </c>
      <c r="E15" s="310"/>
      <c r="F15" s="310">
        <v>374168.02773662237</v>
      </c>
      <c r="G15" s="307"/>
      <c r="H15" s="307"/>
      <c r="I15" s="307"/>
      <c r="J15" s="307"/>
      <c r="K15" s="307"/>
      <c r="L15" s="307"/>
      <c r="M15" s="307"/>
    </row>
    <row r="16" spans="1:13" ht="15.95">
      <c r="A16" s="337" t="s">
        <v>1224</v>
      </c>
      <c r="B16" s="340">
        <v>359059.17408080748</v>
      </c>
      <c r="C16" s="340">
        <v>134045.46553508844</v>
      </c>
      <c r="D16" s="340">
        <v>294515.84546647826</v>
      </c>
      <c r="E16" s="310"/>
      <c r="F16" s="310">
        <v>283304.06851137115</v>
      </c>
      <c r="G16" s="307"/>
      <c r="H16" s="307"/>
      <c r="I16" s="307"/>
      <c r="J16" s="307"/>
      <c r="K16" s="307"/>
      <c r="L16" s="307"/>
      <c r="M16" s="307"/>
    </row>
    <row r="17" spans="1:6" ht="15.95">
      <c r="A17" s="337" t="s">
        <v>1226</v>
      </c>
      <c r="B17" s="340">
        <v>293393.92382488819</v>
      </c>
      <c r="C17" s="340">
        <v>86789.458394210116</v>
      </c>
      <c r="D17" s="340">
        <v>203681.26754446904</v>
      </c>
      <c r="E17" s="310"/>
      <c r="F17" s="310">
        <v>1305112.5579493472</v>
      </c>
    </row>
    <row r="18" spans="1:6" ht="15.95">
      <c r="A18" s="337" t="s">
        <v>1227</v>
      </c>
      <c r="B18" s="340">
        <v>-55518.38865518407</v>
      </c>
      <c r="C18" s="340">
        <v>-35221.431194171077</v>
      </c>
      <c r="D18" s="340">
        <v>22780.806246181019</v>
      </c>
      <c r="E18" s="310"/>
      <c r="F18" s="310">
        <v>-1634781.3216002269</v>
      </c>
    </row>
    <row r="19" spans="1:6" ht="15.95">
      <c r="A19" s="337" t="s">
        <v>1228</v>
      </c>
      <c r="B19" s="340">
        <v>917827.00265572919</v>
      </c>
      <c r="C19" s="340">
        <v>248575.17491386551</v>
      </c>
      <c r="D19" s="340">
        <v>694927.89882554114</v>
      </c>
      <c r="E19" s="310"/>
      <c r="F19" s="310">
        <v>2698541.160849446</v>
      </c>
    </row>
    <row r="20" spans="1:6" ht="15.95">
      <c r="A20" s="337" t="s">
        <v>1229</v>
      </c>
      <c r="B20" s="349">
        <v>0.09</v>
      </c>
      <c r="C20" s="349">
        <v>0.106</v>
      </c>
      <c r="D20" s="1029">
        <v>0.03</v>
      </c>
      <c r="E20" s="323"/>
      <c r="F20" s="323">
        <v>0.41099999999999998</v>
      </c>
    </row>
    <row r="21" spans="1:6">
      <c r="A21" s="317"/>
      <c r="B21" s="323"/>
      <c r="C21" s="323"/>
      <c r="D21" s="323"/>
      <c r="E21" s="323"/>
      <c r="F21" s="323"/>
    </row>
    <row r="22" spans="1:6">
      <c r="A22" s="317"/>
      <c r="B22" s="323"/>
      <c r="C22" s="323"/>
      <c r="D22" s="323"/>
      <c r="E22" s="323"/>
      <c r="F22" s="323"/>
    </row>
    <row r="23" spans="1:6">
      <c r="A23" s="317"/>
      <c r="B23" s="323"/>
      <c r="C23" s="323"/>
      <c r="D23" s="323"/>
      <c r="E23" s="323"/>
      <c r="F23" s="323"/>
    </row>
    <row r="24" spans="1:6" ht="15.95">
      <c r="A24" s="331" t="s">
        <v>1239</v>
      </c>
      <c r="B24" s="350" t="str">
        <f>B14</f>
        <v>Segment Size</v>
      </c>
      <c r="C24" s="350" t="str">
        <f>C14</f>
        <v>Floor Worker Hourly Wage</v>
      </c>
      <c r="D24" s="350"/>
      <c r="E24" s="319"/>
      <c r="F24" s="323"/>
    </row>
    <row r="25" spans="1:6" ht="15.95">
      <c r="A25" s="337" t="s">
        <v>1227</v>
      </c>
      <c r="B25" s="351">
        <f t="shared" ref="B25:C26" si="0">B18</f>
        <v>-55518.38865518407</v>
      </c>
      <c r="C25" s="351">
        <f t="shared" si="0"/>
        <v>-35221.431194171077</v>
      </c>
      <c r="D25" s="351"/>
      <c r="E25" s="324"/>
      <c r="F25" s="323"/>
    </row>
    <row r="26" spans="1:6" ht="15.95">
      <c r="A26" s="337" t="s">
        <v>1228</v>
      </c>
      <c r="B26" s="351">
        <f t="shared" si="0"/>
        <v>917827.00265572919</v>
      </c>
      <c r="C26" s="351">
        <f t="shared" si="0"/>
        <v>248575.17491386551</v>
      </c>
      <c r="D26" s="351"/>
      <c r="E26" s="324"/>
      <c r="F26" s="323"/>
    </row>
    <row r="27" spans="1:6">
      <c r="A27" s="317"/>
      <c r="B27" s="323"/>
      <c r="C27" s="323"/>
      <c r="D27" s="323"/>
      <c r="E27" s="323"/>
      <c r="F27" s="323"/>
    </row>
    <row r="28" spans="1:6">
      <c r="A28" s="317"/>
      <c r="B28" s="323"/>
      <c r="C28" s="323"/>
      <c r="D28" s="323"/>
      <c r="E28" s="323"/>
      <c r="F28" s="323"/>
    </row>
    <row r="29" spans="1:6">
      <c r="A29" s="317"/>
      <c r="B29" s="323"/>
      <c r="C29" s="323"/>
      <c r="D29" s="323"/>
      <c r="E29" s="323"/>
      <c r="F29" s="323"/>
    </row>
    <row r="30" spans="1:6">
      <c r="A30" s="317"/>
      <c r="B30" s="323"/>
      <c r="C30" s="323"/>
      <c r="D30" s="323"/>
      <c r="E30" s="323"/>
      <c r="F30" s="323"/>
    </row>
    <row r="31" spans="1:6">
      <c r="A31" s="317"/>
      <c r="B31" s="323"/>
      <c r="C31" s="323"/>
      <c r="D31" s="323"/>
      <c r="E31" s="323"/>
      <c r="F31" s="323"/>
    </row>
    <row r="32" spans="1:6">
      <c r="A32" s="317"/>
      <c r="B32" s="323"/>
      <c r="C32" s="323"/>
      <c r="D32" s="323"/>
      <c r="E32" s="323"/>
      <c r="F32" s="323"/>
    </row>
    <row r="33" spans="1:6">
      <c r="A33" s="317"/>
      <c r="B33" s="323"/>
      <c r="C33" s="323"/>
      <c r="D33" s="323"/>
      <c r="E33" s="323"/>
      <c r="F33" s="323"/>
    </row>
    <row r="34" spans="1:6">
      <c r="A34" s="317"/>
      <c r="B34" s="323"/>
      <c r="C34" s="323"/>
      <c r="D34" s="323"/>
      <c r="E34" s="323"/>
      <c r="F34" s="323"/>
    </row>
    <row r="35" spans="1:6">
      <c r="A35" s="317"/>
      <c r="B35" s="323"/>
      <c r="C35" s="323"/>
      <c r="D35" s="323"/>
      <c r="E35" s="323"/>
      <c r="F35" s="323"/>
    </row>
    <row r="36" spans="1:6">
      <c r="A36" s="317"/>
      <c r="B36" s="323"/>
      <c r="C36" s="323"/>
      <c r="D36" s="323"/>
      <c r="E36" s="323"/>
      <c r="F36" s="323"/>
    </row>
    <row r="37" spans="1:6">
      <c r="A37" s="317"/>
      <c r="B37" s="323"/>
      <c r="C37" s="323"/>
      <c r="D37" s="323"/>
      <c r="E37" s="323"/>
      <c r="F37" s="323"/>
    </row>
    <row r="38" spans="1:6">
      <c r="A38" s="317"/>
      <c r="B38" s="323"/>
      <c r="C38" s="323"/>
      <c r="D38" s="323"/>
      <c r="E38" s="323"/>
      <c r="F38" s="323"/>
    </row>
    <row r="39" spans="1:6">
      <c r="A39" s="317"/>
      <c r="B39" s="323"/>
      <c r="C39" s="323"/>
      <c r="D39" s="323"/>
      <c r="E39" s="323"/>
      <c r="F39" s="323"/>
    </row>
    <row r="40" spans="1:6">
      <c r="A40" s="317"/>
      <c r="B40" s="323"/>
      <c r="C40" s="323"/>
      <c r="D40" s="323"/>
      <c r="E40" s="323"/>
      <c r="F40" s="323"/>
    </row>
    <row r="41" spans="1:6">
      <c r="A41" s="317"/>
      <c r="B41" s="323"/>
      <c r="C41" s="323"/>
      <c r="D41" s="323"/>
      <c r="E41" s="323"/>
      <c r="F41" s="323"/>
    </row>
    <row r="42" spans="1:6">
      <c r="A42" s="317"/>
      <c r="B42" s="323"/>
      <c r="C42" s="323"/>
      <c r="D42" s="323"/>
      <c r="E42" s="323"/>
      <c r="F42" s="323"/>
    </row>
    <row r="43" spans="1:6">
      <c r="A43" s="317"/>
      <c r="B43" s="323"/>
      <c r="C43" s="323"/>
      <c r="D43" s="323"/>
      <c r="E43" s="323"/>
      <c r="F43" s="323"/>
    </row>
    <row r="44" spans="1:6">
      <c r="A44" s="317"/>
      <c r="B44" s="323"/>
      <c r="C44" s="323"/>
      <c r="D44" s="323"/>
      <c r="E44" s="323"/>
      <c r="F44" s="323"/>
    </row>
    <row r="45" spans="1:6">
      <c r="A45" s="317"/>
      <c r="B45" s="323"/>
      <c r="C45" s="323"/>
      <c r="D45" s="323"/>
      <c r="E45" s="323"/>
      <c r="F45" s="323"/>
    </row>
    <row r="46" spans="1:6">
      <c r="A46" s="317"/>
      <c r="B46" s="323"/>
      <c r="C46" s="323"/>
      <c r="D46" s="323"/>
      <c r="E46" s="323"/>
      <c r="F46" s="323"/>
    </row>
    <row r="47" spans="1:6">
      <c r="A47" s="317"/>
      <c r="B47" s="323"/>
      <c r="C47" s="323"/>
      <c r="D47" s="323"/>
      <c r="E47" s="323"/>
      <c r="F47" s="323"/>
    </row>
    <row r="48" spans="1:6">
      <c r="A48" s="317"/>
      <c r="B48" s="323"/>
      <c r="C48" s="323"/>
      <c r="D48" s="323"/>
      <c r="E48" s="323"/>
      <c r="F48" s="323"/>
    </row>
    <row r="49" spans="1:6">
      <c r="A49" s="317"/>
      <c r="B49" s="323"/>
      <c r="C49" s="323"/>
      <c r="D49" s="323"/>
      <c r="E49" s="323"/>
      <c r="F49" s="323"/>
    </row>
    <row r="50" spans="1:6">
      <c r="A50" s="317"/>
      <c r="B50" s="323"/>
      <c r="C50" s="323"/>
      <c r="D50" s="323"/>
      <c r="E50" s="323"/>
      <c r="F50" s="323"/>
    </row>
    <row r="51" spans="1:6">
      <c r="A51" s="317"/>
      <c r="B51" s="323"/>
      <c r="C51" s="323"/>
      <c r="D51" s="323"/>
      <c r="E51" s="323"/>
      <c r="F51" s="323"/>
    </row>
    <row r="52" spans="1:6">
      <c r="A52" s="317"/>
      <c r="B52" s="323"/>
      <c r="C52" s="323"/>
      <c r="D52" s="323"/>
      <c r="E52" s="323"/>
      <c r="F52" s="323"/>
    </row>
    <row r="53" spans="1:6">
      <c r="A53" s="317"/>
      <c r="B53" s="323"/>
      <c r="C53" s="323"/>
      <c r="D53" s="323"/>
      <c r="E53" s="323"/>
      <c r="F53" s="323"/>
    </row>
    <row r="54" spans="1:6">
      <c r="A54" s="317"/>
      <c r="B54" s="323"/>
      <c r="C54" s="323"/>
      <c r="D54" s="323"/>
      <c r="E54" s="323"/>
      <c r="F54" s="323"/>
    </row>
    <row r="55" spans="1:6">
      <c r="A55" s="317"/>
      <c r="B55" s="323"/>
      <c r="C55" s="323"/>
      <c r="D55" s="323"/>
      <c r="E55" s="323"/>
      <c r="F55" s="323"/>
    </row>
    <row r="56" spans="1:6">
      <c r="A56" s="317"/>
      <c r="B56" s="323"/>
      <c r="C56" s="323"/>
      <c r="D56" s="323"/>
      <c r="E56" s="323"/>
      <c r="F56" s="323"/>
    </row>
    <row r="57" spans="1:6">
      <c r="A57" s="317"/>
      <c r="B57" s="323"/>
      <c r="C57" s="323"/>
      <c r="D57" s="323"/>
      <c r="E57" s="323"/>
      <c r="F57" s="323"/>
    </row>
  </sheetData>
  <hyperlinks>
    <hyperlink ref="C1" location="'Index'!A1" display="Back to Index" xr:uid="{034EC624-D7EF-C34A-8223-08B0FDFA02CB}"/>
    <hyperlink ref="C3" location="'QM RUN Simulations'!A1" display="Go to RUN Simulations" xr:uid="{0C3D395F-56FA-8542-B013-7455A1C9A067}"/>
    <hyperlink ref="C2" location="'QM Parameters for Simulation'!A1" display="Go to Parameters for Simulations" xr:uid="{BCEB3B4B-2B54-D443-8290-4FC90E8274B3}"/>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FC5D8-A76C-46A6-892A-233456032C4A}">
  <sheetPr>
    <tabColor rgb="FFDEDCE8"/>
  </sheetPr>
  <dimension ref="A1:F1012"/>
  <sheetViews>
    <sheetView topLeftCell="J6" workbookViewId="0">
      <selection activeCell="K6" sqref="K6"/>
    </sheetView>
  </sheetViews>
  <sheetFormatPr defaultColWidth="9.125" defaultRowHeight="12.95"/>
  <cols>
    <col min="1" max="1" width="25.625" style="307" customWidth="1"/>
    <col min="2" max="2" width="15.625" style="313" customWidth="1"/>
    <col min="3" max="3" width="38.625" style="307" bestFit="1" customWidth="1"/>
    <col min="4" max="4" width="15.625" style="311" customWidth="1"/>
    <col min="5" max="12" width="15.625" style="307" customWidth="1"/>
    <col min="13" max="16384" width="9.125" style="307"/>
  </cols>
  <sheetData>
    <row r="1" spans="1:6" ht="55.5" customHeight="1">
      <c r="A1" s="304" t="s">
        <v>1219</v>
      </c>
      <c r="B1" s="305">
        <v>1</v>
      </c>
      <c r="C1" s="317" t="s">
        <v>1220</v>
      </c>
      <c r="D1" s="306" t="s">
        <v>1221</v>
      </c>
      <c r="F1" s="308" t="s">
        <v>41</v>
      </c>
    </row>
    <row r="2" spans="1:6" ht="15.95">
      <c r="A2" s="339" t="s">
        <v>1169</v>
      </c>
      <c r="B2" s="352" t="s">
        <v>1130</v>
      </c>
      <c r="C2" s="338" t="s">
        <v>1180</v>
      </c>
      <c r="D2" s="337" t="s">
        <v>1222</v>
      </c>
      <c r="E2" s="340">
        <v>386449.90834805946</v>
      </c>
      <c r="F2" s="44" t="s">
        <v>1223</v>
      </c>
    </row>
    <row r="3" spans="1:6" ht="15.95">
      <c r="A3" s="339" t="s">
        <v>1174</v>
      </c>
      <c r="B3" s="352" t="s">
        <v>1175</v>
      </c>
      <c r="C3" s="338"/>
      <c r="D3" s="337" t="s">
        <v>1224</v>
      </c>
      <c r="E3" s="340">
        <v>359059.17408080748</v>
      </c>
      <c r="F3" s="44" t="s">
        <v>1225</v>
      </c>
    </row>
    <row r="4" spans="1:6" ht="15.95">
      <c r="A4" s="339" t="s">
        <v>1182</v>
      </c>
      <c r="B4" s="353">
        <v>0.7</v>
      </c>
      <c r="C4" s="338" t="s">
        <v>1206</v>
      </c>
      <c r="D4" s="337" t="s">
        <v>1226</v>
      </c>
      <c r="E4" s="340">
        <v>293393.92382488819</v>
      </c>
    </row>
    <row r="5" spans="1:6" ht="15.95">
      <c r="A5" s="339" t="s">
        <v>1190</v>
      </c>
      <c r="B5" s="353">
        <v>1</v>
      </c>
      <c r="C5" s="338" t="s">
        <v>681</v>
      </c>
      <c r="D5" s="337" t="s">
        <v>1227</v>
      </c>
      <c r="E5" s="340">
        <v>-55518.38865518407</v>
      </c>
    </row>
    <row r="6" spans="1:6" ht="15.95">
      <c r="A6" s="339" t="s">
        <v>1184</v>
      </c>
      <c r="B6" s="353">
        <v>1.03199174406605</v>
      </c>
      <c r="C6" s="338" t="s">
        <v>1213</v>
      </c>
      <c r="D6" s="337" t="s">
        <v>1228</v>
      </c>
      <c r="E6" s="340">
        <v>917827.00265572919</v>
      </c>
    </row>
    <row r="7" spans="1:6" ht="15.95">
      <c r="A7" s="339"/>
      <c r="B7" s="339"/>
      <c r="C7" s="339"/>
      <c r="D7" s="337" t="s">
        <v>1229</v>
      </c>
      <c r="E7" s="349">
        <v>0.09</v>
      </c>
    </row>
    <row r="8" spans="1:6">
      <c r="A8" s="309"/>
      <c r="B8" s="309"/>
      <c r="C8" s="309"/>
    </row>
    <row r="9" spans="1:6">
      <c r="A9" s="309"/>
      <c r="B9" s="309"/>
      <c r="C9" s="309"/>
    </row>
    <row r="10" spans="1:6">
      <c r="A10" s="309"/>
      <c r="B10" s="309"/>
      <c r="C10" s="309"/>
    </row>
    <row r="11" spans="1:6">
      <c r="A11" s="316" t="s">
        <v>1230</v>
      </c>
      <c r="B11" s="316" t="s">
        <v>1231</v>
      </c>
      <c r="C11" s="305" t="s">
        <v>1232</v>
      </c>
      <c r="D11" s="941" t="s">
        <v>1233</v>
      </c>
      <c r="E11" s="305"/>
      <c r="F11" s="317" t="s">
        <v>1234</v>
      </c>
    </row>
    <row r="12" spans="1:6">
      <c r="A12" s="312">
        <v>0.50534911990907361</v>
      </c>
      <c r="C12" s="313">
        <v>0</v>
      </c>
      <c r="D12" s="311">
        <v>540003.52572347573</v>
      </c>
    </row>
    <row r="13" spans="1:6">
      <c r="A13" s="312">
        <v>0.70280586645932119</v>
      </c>
      <c r="B13" s="314">
        <v>0.96457082908685232</v>
      </c>
      <c r="C13" s="313">
        <v>1</v>
      </c>
      <c r="D13" s="311">
        <v>13262.679271583678</v>
      </c>
    </row>
    <row r="14" spans="1:6">
      <c r="A14" s="312">
        <v>0.60844569195368603</v>
      </c>
      <c r="B14" s="314">
        <v>0.94617003053246274</v>
      </c>
      <c r="C14" s="313">
        <v>2</v>
      </c>
      <c r="D14" s="311">
        <v>127852.54611776932</v>
      </c>
    </row>
    <row r="15" spans="1:6">
      <c r="A15" s="312">
        <v>0.25904508973223095</v>
      </c>
      <c r="B15" s="314">
        <v>0.86062456020044054</v>
      </c>
      <c r="C15" s="313">
        <v>3</v>
      </c>
      <c r="D15" s="311">
        <v>913370.9220024664</v>
      </c>
    </row>
    <row r="16" spans="1:6">
      <c r="A16" s="312">
        <v>0.1391329397090052</v>
      </c>
      <c r="B16" s="314">
        <v>0.817717017432947</v>
      </c>
      <c r="C16" s="313">
        <v>4</v>
      </c>
      <c r="D16" s="311">
        <v>795470.54859558819</v>
      </c>
    </row>
    <row r="17" spans="1:4">
      <c r="A17" s="312">
        <v>0.36875099919904686</v>
      </c>
      <c r="B17" s="314">
        <v>0.89164207837804577</v>
      </c>
      <c r="C17" s="313">
        <v>5</v>
      </c>
      <c r="D17" s="311">
        <v>578278.32315336727</v>
      </c>
    </row>
    <row r="18" spans="1:4">
      <c r="A18" s="312">
        <v>0.34122033586056788</v>
      </c>
      <c r="B18" s="314">
        <v>0.88434939740597462</v>
      </c>
      <c r="C18" s="313">
        <v>6</v>
      </c>
      <c r="D18" s="311">
        <v>137744.49127946142</v>
      </c>
    </row>
    <row r="19" spans="1:4">
      <c r="A19" s="312">
        <v>0.4173388195247788</v>
      </c>
      <c r="B19" s="314">
        <v>0.90387720021657481</v>
      </c>
      <c r="C19" s="313">
        <v>7</v>
      </c>
      <c r="D19" s="311">
        <v>53142.531784793129</v>
      </c>
    </row>
    <row r="20" spans="1:4">
      <c r="A20" s="312">
        <v>7.8527968239029633E-2</v>
      </c>
      <c r="B20" s="314">
        <v>0.78843749849521771</v>
      </c>
      <c r="C20" s="313">
        <v>8</v>
      </c>
      <c r="D20" s="311">
        <v>354359.71192901442</v>
      </c>
    </row>
    <row r="21" spans="1:4">
      <c r="A21" s="312">
        <v>0.11712944901202837</v>
      </c>
      <c r="B21" s="314">
        <v>0.80800834698160895</v>
      </c>
      <c r="C21" s="313">
        <v>9</v>
      </c>
      <c r="D21" s="311">
        <v>627858.59709536703</v>
      </c>
    </row>
    <row r="22" spans="1:4">
      <c r="A22" s="312">
        <v>0.32175332001619172</v>
      </c>
      <c r="B22" s="314">
        <v>0.87901350161751823</v>
      </c>
      <c r="C22" s="313">
        <v>10</v>
      </c>
      <c r="D22" s="311">
        <v>368507.79870018968</v>
      </c>
    </row>
    <row r="23" spans="1:4">
      <c r="A23" s="312">
        <v>0.94119993399731494</v>
      </c>
      <c r="B23" s="314">
        <v>1.0070014419146853</v>
      </c>
      <c r="C23" s="313">
        <v>11</v>
      </c>
      <c r="D23" s="311">
        <v>185775.54123808886</v>
      </c>
    </row>
    <row r="24" spans="1:4">
      <c r="A24" s="312">
        <v>0.98104895223154642</v>
      </c>
      <c r="B24" s="314">
        <v>1.017804461667583</v>
      </c>
      <c r="C24" s="313">
        <v>12</v>
      </c>
      <c r="D24" s="311">
        <v>865396.12700234726</v>
      </c>
    </row>
    <row r="25" spans="1:4">
      <c r="A25" s="312">
        <v>0.58818244237111794</v>
      </c>
      <c r="B25" s="314">
        <v>0.94203618419886093</v>
      </c>
      <c r="C25" s="313">
        <v>13</v>
      </c>
      <c r="D25" s="311">
        <v>-11942.095803232398</v>
      </c>
    </row>
    <row r="26" spans="1:4">
      <c r="A26" s="312">
        <v>0.96263460421780545</v>
      </c>
      <c r="B26" s="314">
        <v>1.0120704570005599</v>
      </c>
      <c r="C26" s="313">
        <v>14</v>
      </c>
      <c r="D26" s="311">
        <v>-156972.37152201764</v>
      </c>
    </row>
    <row r="27" spans="1:4">
      <c r="A27" s="312">
        <v>6.512319231966468E-2</v>
      </c>
      <c r="B27" s="314">
        <v>0.78053638096665556</v>
      </c>
      <c r="C27" s="313">
        <v>15</v>
      </c>
      <c r="D27" s="311">
        <v>-56818.151804600144</v>
      </c>
    </row>
    <row r="28" spans="1:4">
      <c r="A28" s="312">
        <v>9.0144607109545416E-2</v>
      </c>
      <c r="B28" s="314">
        <v>0.79475325640701766</v>
      </c>
      <c r="C28" s="313">
        <v>16</v>
      </c>
      <c r="D28" s="311">
        <v>749176.81194555876</v>
      </c>
    </row>
    <row r="29" spans="1:4">
      <c r="A29" s="312">
        <v>0.37628616536499371</v>
      </c>
      <c r="B29" s="314">
        <v>0.8935902117676281</v>
      </c>
      <c r="C29" s="313">
        <v>17</v>
      </c>
      <c r="D29" s="311">
        <v>456206.71456862381</v>
      </c>
    </row>
    <row r="30" spans="1:4">
      <c r="A30" s="312">
        <v>0.90109861080103393</v>
      </c>
      <c r="B30" s="314">
        <v>0.99957835337787504</v>
      </c>
      <c r="C30" s="313">
        <v>18</v>
      </c>
      <c r="D30" s="311">
        <v>270638.26254879497</v>
      </c>
    </row>
    <row r="31" spans="1:4">
      <c r="A31" s="312">
        <v>0.23784210486425583</v>
      </c>
      <c r="B31" s="314">
        <v>0.85391063823487767</v>
      </c>
      <c r="C31" s="313">
        <v>19</v>
      </c>
      <c r="D31" s="311">
        <v>75401.104777581058</v>
      </c>
    </row>
    <row r="32" spans="1:4">
      <c r="A32" s="312">
        <v>0.47036313529207074</v>
      </c>
      <c r="B32" s="314">
        <v>0.91644168565458228</v>
      </c>
      <c r="C32" s="313">
        <v>20</v>
      </c>
      <c r="D32" s="311">
        <v>117946.3172679462</v>
      </c>
    </row>
    <row r="33" spans="1:6">
      <c r="A33" s="312">
        <v>0.85482038838239494</v>
      </c>
      <c r="B33" s="314">
        <v>0.99178415563681122</v>
      </c>
      <c r="C33" s="313">
        <v>21</v>
      </c>
      <c r="D33" s="311">
        <v>319526.81505808863</v>
      </c>
    </row>
    <row r="34" spans="1:6">
      <c r="A34" s="312">
        <v>0.77858031657296645</v>
      </c>
      <c r="B34" s="314">
        <v>0.9784684383522968</v>
      </c>
      <c r="C34" s="313">
        <v>22</v>
      </c>
      <c r="D34" s="311">
        <v>-55518.38865518407</v>
      </c>
    </row>
    <row r="35" spans="1:6">
      <c r="A35" s="312">
        <v>0.25367433302374975</v>
      </c>
      <c r="B35" s="314">
        <v>0.85895073222103757</v>
      </c>
      <c r="C35" s="313">
        <v>23</v>
      </c>
      <c r="D35" s="311">
        <v>466212.83170122351</v>
      </c>
    </row>
    <row r="36" spans="1:6">
      <c r="A36" s="312">
        <v>0.61888402278040511</v>
      </c>
      <c r="B36" s="314">
        <v>0.94827266428111634</v>
      </c>
      <c r="C36" s="313">
        <v>24</v>
      </c>
      <c r="D36" s="311">
        <v>312434.9254713268</v>
      </c>
    </row>
    <row r="37" spans="1:6">
      <c r="A37" s="312">
        <v>0.16974919840915514</v>
      </c>
      <c r="B37" s="314">
        <v>0.83002538109961765</v>
      </c>
      <c r="C37" s="313">
        <v>25</v>
      </c>
      <c r="D37" s="311">
        <v>794815.06628926238</v>
      </c>
    </row>
    <row r="38" spans="1:6">
      <c r="A38" s="312">
        <v>0.50276818239155074</v>
      </c>
      <c r="B38" s="314">
        <v>0.92377324621126333</v>
      </c>
      <c r="C38" s="313">
        <v>26</v>
      </c>
      <c r="D38" s="311">
        <v>426098.63750988664</v>
      </c>
    </row>
    <row r="39" spans="1:6">
      <c r="A39" s="312">
        <v>0.33367385486549916</v>
      </c>
      <c r="B39" s="314">
        <v>0.88229945010287802</v>
      </c>
      <c r="C39" s="313">
        <v>27</v>
      </c>
      <c r="D39" s="311">
        <v>426451.50867215358</v>
      </c>
    </row>
    <row r="40" spans="1:6">
      <c r="A40" s="312">
        <v>1.5919087989257896E-2</v>
      </c>
      <c r="B40" s="314">
        <v>0.73981835927870943</v>
      </c>
      <c r="C40" s="313">
        <v>28</v>
      </c>
      <c r="D40" s="311">
        <v>1101373.3593468315</v>
      </c>
    </row>
    <row r="41" spans="1:6">
      <c r="A41" s="312">
        <v>0.16626063197600705</v>
      </c>
      <c r="B41" s="314">
        <v>0.82868234981446165</v>
      </c>
      <c r="C41" s="313">
        <v>29</v>
      </c>
      <c r="D41" s="311">
        <v>93930.774737057276</v>
      </c>
    </row>
    <row r="42" spans="1:6">
      <c r="A42" s="312">
        <v>0.22188602758066001</v>
      </c>
      <c r="B42" s="314">
        <v>0.84865832901024174</v>
      </c>
      <c r="C42" s="313">
        <v>30</v>
      </c>
      <c r="D42" s="311">
        <v>270691.73041031836</v>
      </c>
    </row>
    <row r="43" spans="1:6">
      <c r="A43" s="312">
        <v>0.98675522214698097</v>
      </c>
      <c r="B43" s="314">
        <v>1.0201311910377469</v>
      </c>
      <c r="C43" s="313">
        <v>31</v>
      </c>
      <c r="D43" s="311">
        <v>108435.57624484343</v>
      </c>
      <c r="F43" s="307" t="s">
        <v>1235</v>
      </c>
    </row>
    <row r="44" spans="1:6">
      <c r="A44" s="312">
        <v>0.27739874240987961</v>
      </c>
      <c r="B44" s="314">
        <v>0.86621741090606441</v>
      </c>
      <c r="C44" s="313">
        <v>32</v>
      </c>
      <c r="D44" s="311">
        <v>720446.79225115781</v>
      </c>
    </row>
    <row r="45" spans="1:6">
      <c r="A45" s="312">
        <v>0.22287065295599651</v>
      </c>
      <c r="B45" s="314">
        <v>0.84898780162416043</v>
      </c>
      <c r="C45" s="313">
        <v>33</v>
      </c>
      <c r="D45" s="311">
        <v>197107.93500355119</v>
      </c>
    </row>
    <row r="46" spans="1:6">
      <c r="A46" s="312">
        <v>0.58697013421370237</v>
      </c>
      <c r="B46" s="314">
        <v>0.94178662405453106</v>
      </c>
      <c r="C46" s="313">
        <v>34</v>
      </c>
      <c r="D46" s="311">
        <v>-98507.746880022576</v>
      </c>
    </row>
    <row r="47" spans="1:6">
      <c r="A47" s="312">
        <v>0.75994253158704284</v>
      </c>
      <c r="B47" s="314">
        <v>0.97511523755594753</v>
      </c>
      <c r="C47" s="313">
        <v>35</v>
      </c>
      <c r="D47" s="311">
        <v>852139.1554513236</v>
      </c>
    </row>
    <row r="48" spans="1:6">
      <c r="A48" s="312">
        <v>0.77306517581730205</v>
      </c>
      <c r="B48" s="314">
        <v>0.97748040795503766</v>
      </c>
      <c r="C48" s="313">
        <v>36</v>
      </c>
      <c r="D48" s="311">
        <v>885233.13134480407</v>
      </c>
    </row>
    <row r="49" spans="1:4">
      <c r="A49" s="312">
        <v>8.5044686105290257E-2</v>
      </c>
      <c r="B49" s="314">
        <v>0.79203390733362089</v>
      </c>
      <c r="C49" s="313">
        <v>37</v>
      </c>
      <c r="D49" s="311">
        <v>663794.52693352266</v>
      </c>
    </row>
    <row r="50" spans="1:4">
      <c r="A50" s="312">
        <v>0.68162152107284402</v>
      </c>
      <c r="B50" s="314">
        <v>0.96055290302005503</v>
      </c>
      <c r="C50" s="313">
        <v>38</v>
      </c>
      <c r="D50" s="311">
        <v>231996.6895082572</v>
      </c>
    </row>
    <row r="51" spans="1:4">
      <c r="A51" s="312">
        <v>0.8619021378521039</v>
      </c>
      <c r="B51" s="314">
        <v>0.99299030391453758</v>
      </c>
      <c r="C51" s="313">
        <v>39</v>
      </c>
      <c r="D51" s="311">
        <v>433902.90564443404</v>
      </c>
    </row>
    <row r="52" spans="1:4">
      <c r="A52" s="312">
        <v>5.7597150713039613E-2</v>
      </c>
      <c r="B52" s="314">
        <v>0.77573990728497855</v>
      </c>
      <c r="C52" s="313">
        <v>40</v>
      </c>
      <c r="D52" s="311">
        <v>338914.94224871276</v>
      </c>
    </row>
    <row r="53" spans="1:4">
      <c r="A53" s="312">
        <v>0.97905327457254288</v>
      </c>
      <c r="B53" s="314">
        <v>1.0170761460522746</v>
      </c>
      <c r="C53" s="313">
        <v>41</v>
      </c>
      <c r="D53" s="311">
        <v>-6334.8291350160725</v>
      </c>
    </row>
    <row r="54" spans="1:4">
      <c r="A54" s="312">
        <v>0.82568143855113463</v>
      </c>
      <c r="B54" s="314">
        <v>0.98676789612553717</v>
      </c>
      <c r="C54" s="313">
        <v>42</v>
      </c>
      <c r="D54" s="311">
        <v>488571.93805992766</v>
      </c>
    </row>
    <row r="55" spans="1:4">
      <c r="A55" s="312">
        <v>0.41950203735119707</v>
      </c>
      <c r="B55" s="314">
        <v>0.90440490186354516</v>
      </c>
      <c r="C55" s="313">
        <v>43</v>
      </c>
      <c r="D55" s="311">
        <v>760313.94028157345</v>
      </c>
    </row>
    <row r="56" spans="1:4">
      <c r="A56" s="312">
        <v>0.33163842386015874</v>
      </c>
      <c r="B56" s="314">
        <v>0.88174258064910105</v>
      </c>
      <c r="C56" s="313">
        <v>44</v>
      </c>
      <c r="D56" s="311">
        <v>271204.38061252516</v>
      </c>
    </row>
    <row r="57" spans="1:4">
      <c r="A57" s="312">
        <v>0.61150435489576416</v>
      </c>
      <c r="B57" s="314">
        <v>0.94678800454185141</v>
      </c>
      <c r="C57" s="313">
        <v>45</v>
      </c>
      <c r="D57" s="311">
        <v>127326.76902783592</v>
      </c>
    </row>
    <row r="58" spans="1:4">
      <c r="A58" s="312">
        <v>1.7612112902944954E-3</v>
      </c>
      <c r="B58" s="314">
        <v>0.71324433019748845</v>
      </c>
      <c r="C58" s="313">
        <v>46</v>
      </c>
      <c r="D58" s="311">
        <v>-2545.9714746822137</v>
      </c>
    </row>
    <row r="59" spans="1:4">
      <c r="A59" s="312">
        <v>5.0378566397696334E-2</v>
      </c>
      <c r="B59" s="314">
        <v>0.77083488149616364</v>
      </c>
      <c r="C59" s="313">
        <v>47</v>
      </c>
      <c r="D59" s="311">
        <v>490382.2740076147</v>
      </c>
    </row>
    <row r="60" spans="1:4">
      <c r="A60" s="312">
        <v>0.61914347096414035</v>
      </c>
      <c r="B60" s="314">
        <v>0.94832469918585993</v>
      </c>
      <c r="C60" s="313">
        <v>48</v>
      </c>
      <c r="D60" s="311">
        <v>-56898.084995956626</v>
      </c>
    </row>
    <row r="61" spans="1:4">
      <c r="A61" s="312">
        <v>0.17214845541923984</v>
      </c>
      <c r="B61" s="314">
        <v>0.830941054623342</v>
      </c>
      <c r="C61" s="313">
        <v>49</v>
      </c>
      <c r="D61" s="311">
        <v>535803.10074488749</v>
      </c>
    </row>
    <row r="62" spans="1:4">
      <c r="A62" s="312">
        <v>0.62303019398485882</v>
      </c>
      <c r="B62" s="314">
        <v>0.94910291891516008</v>
      </c>
      <c r="C62" s="313">
        <v>50</v>
      </c>
      <c r="D62" s="311">
        <v>473366.15126397437</v>
      </c>
    </row>
    <row r="63" spans="1:4">
      <c r="A63" s="312">
        <v>3.6911620858624872E-2</v>
      </c>
      <c r="B63" s="314">
        <v>0.76063254914274914</v>
      </c>
      <c r="C63" s="313">
        <v>51</v>
      </c>
      <c r="D63" s="311">
        <v>831888.99434219184</v>
      </c>
    </row>
    <row r="64" spans="1:4">
      <c r="A64" s="312">
        <v>0.16955548659784137</v>
      </c>
      <c r="B64" s="314">
        <v>0.82995116972723071</v>
      </c>
      <c r="C64" s="313">
        <v>52</v>
      </c>
      <c r="D64" s="311">
        <v>549421.15694374801</v>
      </c>
    </row>
    <row r="65" spans="1:4">
      <c r="A65" s="312">
        <v>0.68957851931970171</v>
      </c>
      <c r="B65" s="314">
        <v>0.9620692896732268</v>
      </c>
      <c r="C65" s="313">
        <v>53</v>
      </c>
      <c r="D65" s="311">
        <v>937807.45068377443</v>
      </c>
    </row>
    <row r="66" spans="1:4">
      <c r="A66" s="312">
        <v>0.95455542977199126</v>
      </c>
      <c r="B66" s="314">
        <v>1.0100220706730034</v>
      </c>
      <c r="C66" s="313">
        <v>54</v>
      </c>
      <c r="D66" s="311">
        <v>198867.13054620731</v>
      </c>
    </row>
    <row r="67" spans="1:4">
      <c r="A67" s="312">
        <v>0.29932848255766753</v>
      </c>
      <c r="B67" s="314">
        <v>0.87266260594549494</v>
      </c>
      <c r="C67" s="313">
        <v>55</v>
      </c>
      <c r="D67" s="311">
        <v>241956.63662466919</v>
      </c>
    </row>
    <row r="68" spans="1:4">
      <c r="A68" s="312">
        <v>0.14667795949560314</v>
      </c>
      <c r="B68" s="314">
        <v>0.82086670954691543</v>
      </c>
      <c r="C68" s="313">
        <v>56</v>
      </c>
      <c r="D68" s="311">
        <v>175708.74703795346</v>
      </c>
    </row>
    <row r="69" spans="1:4">
      <c r="A69" s="312">
        <v>0.49664853043596668</v>
      </c>
      <c r="B69" s="314">
        <v>0.92240720209153115</v>
      </c>
      <c r="C69" s="313">
        <v>57</v>
      </c>
      <c r="D69" s="311">
        <v>217065.0069460778</v>
      </c>
    </row>
    <row r="70" spans="1:4">
      <c r="A70" s="312">
        <v>0.99450149133284094</v>
      </c>
      <c r="B70" s="314">
        <v>1.0243497788373537</v>
      </c>
      <c r="C70" s="313">
        <v>58</v>
      </c>
      <c r="D70" s="311">
        <v>195092.94595195749</v>
      </c>
    </row>
    <row r="71" spans="1:4">
      <c r="A71" s="312">
        <v>0.71661775324610877</v>
      </c>
      <c r="B71" s="314">
        <v>0.96715791831548059</v>
      </c>
      <c r="C71" s="313">
        <v>59</v>
      </c>
      <c r="D71" s="311">
        <v>394569.78643798595</v>
      </c>
    </row>
    <row r="72" spans="1:4">
      <c r="A72" s="312">
        <v>0.1620681731804442</v>
      </c>
      <c r="B72" s="314">
        <v>0.82704955191393748</v>
      </c>
      <c r="C72" s="313">
        <v>60</v>
      </c>
      <c r="D72" s="311">
        <v>381996.27941313665</v>
      </c>
    </row>
    <row r="73" spans="1:4">
      <c r="A73" s="312">
        <v>0.72530716780170312</v>
      </c>
      <c r="B73" s="314">
        <v>0.96877276180191396</v>
      </c>
      <c r="C73" s="313">
        <v>61</v>
      </c>
      <c r="D73" s="311">
        <v>114215.64905377198</v>
      </c>
    </row>
    <row r="74" spans="1:4">
      <c r="A74" s="312">
        <v>0.95480181349098825</v>
      </c>
      <c r="B74" s="314">
        <v>1.0100817073528856</v>
      </c>
      <c r="C74" s="313">
        <v>62</v>
      </c>
      <c r="D74" s="311">
        <v>49526.865478037391</v>
      </c>
    </row>
    <row r="75" spans="1:4">
      <c r="A75" s="312">
        <v>0.13996412547755555</v>
      </c>
      <c r="B75" s="314">
        <v>0.81806811693760484</v>
      </c>
      <c r="C75" s="313">
        <v>63</v>
      </c>
      <c r="D75" s="311">
        <v>393929.57705779839</v>
      </c>
    </row>
    <row r="76" spans="1:4">
      <c r="A76" s="312">
        <v>0.89706265907542004</v>
      </c>
      <c r="B76" s="314">
        <v>0.99890670620930055</v>
      </c>
      <c r="C76" s="313">
        <v>64</v>
      </c>
      <c r="D76" s="311">
        <v>553162.23492601933</v>
      </c>
    </row>
    <row r="77" spans="1:4">
      <c r="A77" s="312">
        <v>0.68099925095737834</v>
      </c>
      <c r="B77" s="314">
        <v>0.96043394308327801</v>
      </c>
      <c r="C77" s="313">
        <v>65</v>
      </c>
      <c r="D77" s="311">
        <v>486904.11128753982</v>
      </c>
    </row>
    <row r="78" spans="1:4">
      <c r="A78" s="312">
        <v>0.25849095352214913</v>
      </c>
      <c r="B78" s="314">
        <v>0.86045266824061972</v>
      </c>
      <c r="C78" s="313">
        <v>66</v>
      </c>
      <c r="D78" s="311">
        <v>350491.21135100513</v>
      </c>
    </row>
    <row r="79" spans="1:4">
      <c r="A79" s="312">
        <v>7.1743786165992307E-2</v>
      </c>
      <c r="B79" s="314">
        <v>0.78453107954205281</v>
      </c>
      <c r="C79" s="313">
        <v>67</v>
      </c>
      <c r="D79" s="311">
        <v>459765.06261023879</v>
      </c>
    </row>
    <row r="80" spans="1:4">
      <c r="A80" s="312">
        <v>0.64350202459791117</v>
      </c>
      <c r="B80" s="314">
        <v>0.95316241394979706</v>
      </c>
      <c r="C80" s="313">
        <v>68</v>
      </c>
      <c r="D80" s="311">
        <v>-100098.99000022653</v>
      </c>
    </row>
    <row r="81" spans="1:4">
      <c r="A81" s="312">
        <v>0.78276570372083631</v>
      </c>
      <c r="B81" s="314">
        <v>0.97921591170993605</v>
      </c>
      <c r="C81" s="313">
        <v>69</v>
      </c>
      <c r="D81" s="311">
        <v>743185.17627765494</v>
      </c>
    </row>
    <row r="82" spans="1:4">
      <c r="A82" s="312">
        <v>1.6766676504974654E-2</v>
      </c>
      <c r="B82" s="314">
        <v>0.74086464795545581</v>
      </c>
      <c r="C82" s="313">
        <v>70</v>
      </c>
      <c r="D82" s="311">
        <v>671243.26821151306</v>
      </c>
    </row>
    <row r="83" spans="1:4">
      <c r="A83" s="312">
        <v>0.98066393475042701</v>
      </c>
      <c r="B83" s="314">
        <v>1.0176610689053889</v>
      </c>
      <c r="C83" s="313">
        <v>71</v>
      </c>
      <c r="D83" s="311">
        <v>967281.82918776665</v>
      </c>
    </row>
    <row r="84" spans="1:4">
      <c r="A84" s="312">
        <v>0.42029798972038535</v>
      </c>
      <c r="B84" s="314">
        <v>0.90459872626782811</v>
      </c>
      <c r="C84" s="313">
        <v>72</v>
      </c>
      <c r="D84" s="311">
        <v>524630.09311268153</v>
      </c>
    </row>
    <row r="85" spans="1:4">
      <c r="A85" s="312">
        <v>0.39487196867327123</v>
      </c>
      <c r="B85" s="314">
        <v>0.89831356501457527</v>
      </c>
      <c r="C85" s="313">
        <v>73</v>
      </c>
      <c r="D85" s="311">
        <v>363951.06360983569</v>
      </c>
    </row>
    <row r="86" spans="1:4">
      <c r="A86" s="312">
        <v>5.7025491738946332E-2</v>
      </c>
      <c r="B86" s="314">
        <v>0.77536310594442792</v>
      </c>
      <c r="C86" s="313">
        <v>74</v>
      </c>
      <c r="D86" s="311">
        <v>741937.67754533631</v>
      </c>
    </row>
    <row r="87" spans="1:4">
      <c r="A87" s="312">
        <v>5.323706485990265E-2</v>
      </c>
      <c r="B87" s="314">
        <v>0.7728167549643552</v>
      </c>
      <c r="C87" s="313">
        <v>75</v>
      </c>
      <c r="D87" s="311">
        <v>292125.41206663428</v>
      </c>
    </row>
    <row r="88" spans="1:4">
      <c r="A88" s="312">
        <v>0.65649123272634846</v>
      </c>
      <c r="B88" s="314">
        <v>0.9557047140650079</v>
      </c>
      <c r="C88" s="313">
        <v>76</v>
      </c>
      <c r="D88" s="311">
        <v>607673.25148679363</v>
      </c>
    </row>
    <row r="89" spans="1:4">
      <c r="A89" s="312">
        <v>0.80207328275138856</v>
      </c>
      <c r="B89" s="314">
        <v>0.98263848358428585</v>
      </c>
      <c r="C89" s="313">
        <v>77</v>
      </c>
      <c r="D89" s="311">
        <v>232570.05301279877</v>
      </c>
    </row>
    <row r="90" spans="1:4">
      <c r="A90" s="312">
        <v>0.25138629087704623</v>
      </c>
      <c r="B90" s="314">
        <v>0.85823227212793785</v>
      </c>
      <c r="C90" s="313">
        <v>78</v>
      </c>
      <c r="D90" s="311">
        <v>431814.08949574642</v>
      </c>
    </row>
    <row r="91" spans="1:4">
      <c r="A91" s="312">
        <v>0.28272757042741548</v>
      </c>
      <c r="B91" s="314">
        <v>0.8678063340894091</v>
      </c>
      <c r="C91" s="313">
        <v>79</v>
      </c>
      <c r="D91" s="311">
        <v>968961.73519852664</v>
      </c>
    </row>
    <row r="92" spans="1:4">
      <c r="A92" s="312">
        <v>0.21452743593914159</v>
      </c>
      <c r="B92" s="314">
        <v>0.84617250521981213</v>
      </c>
      <c r="C92" s="313">
        <v>80</v>
      </c>
      <c r="D92" s="311">
        <v>556130.23225633055</v>
      </c>
    </row>
    <row r="93" spans="1:4">
      <c r="A93" s="312">
        <v>0.59834501595870127</v>
      </c>
      <c r="B93" s="314">
        <v>0.94411817142606846</v>
      </c>
      <c r="C93" s="313">
        <v>81</v>
      </c>
      <c r="D93" s="311">
        <v>590252.05892753019</v>
      </c>
    </row>
    <row r="94" spans="1:4">
      <c r="A94" s="312">
        <v>0.90955279368752384</v>
      </c>
      <c r="B94" s="314">
        <v>1.0009975620683595</v>
      </c>
      <c r="C94" s="313">
        <v>82</v>
      </c>
      <c r="D94" s="311">
        <v>176790.79627478262</v>
      </c>
    </row>
    <row r="95" spans="1:4">
      <c r="A95" s="312">
        <v>0.97522659463106864</v>
      </c>
      <c r="B95" s="314">
        <v>1.0157708250944795</v>
      </c>
      <c r="C95" s="313">
        <v>83</v>
      </c>
      <c r="D95" s="311">
        <v>-115506.4063532697</v>
      </c>
    </row>
    <row r="96" spans="1:4">
      <c r="A96" s="312">
        <v>8.4486159053691279E-2</v>
      </c>
      <c r="B96" s="314">
        <v>0.79173119528330038</v>
      </c>
      <c r="C96" s="313">
        <v>84</v>
      </c>
      <c r="D96" s="311">
        <v>150803.0243450678</v>
      </c>
    </row>
    <row r="97" spans="1:4">
      <c r="A97" s="312">
        <v>0.44110487179222357</v>
      </c>
      <c r="B97" s="314">
        <v>0.90960189099981781</v>
      </c>
      <c r="C97" s="313">
        <v>85</v>
      </c>
      <c r="D97" s="311">
        <v>113814.55811068858</v>
      </c>
    </row>
    <row r="98" spans="1:4">
      <c r="A98" s="312">
        <v>0.78333112589055509</v>
      </c>
      <c r="B98" s="314">
        <v>0.9793167377721721</v>
      </c>
      <c r="C98" s="313">
        <v>86</v>
      </c>
      <c r="D98" s="311">
        <v>685476.05078644282</v>
      </c>
    </row>
    <row r="99" spans="1:4">
      <c r="A99" s="312">
        <v>0.87063988504955037</v>
      </c>
      <c r="B99" s="314">
        <v>0.9944716899250583</v>
      </c>
      <c r="C99" s="313">
        <v>87</v>
      </c>
      <c r="D99" s="311">
        <v>-36572.943455486791</v>
      </c>
    </row>
    <row r="100" spans="1:4">
      <c r="A100" s="312">
        <v>0.32926017802992047</v>
      </c>
      <c r="B100" s="314">
        <v>0.88108975185442007</v>
      </c>
      <c r="C100" s="313">
        <v>88</v>
      </c>
      <c r="D100" s="311">
        <v>312823.47541038413</v>
      </c>
    </row>
    <row r="101" spans="1:4">
      <c r="A101" s="312">
        <v>0.29769651684757603</v>
      </c>
      <c r="B101" s="314">
        <v>0.87219127663498086</v>
      </c>
      <c r="C101" s="313">
        <v>89</v>
      </c>
      <c r="D101" s="311">
        <v>257075.39199222811</v>
      </c>
    </row>
    <row r="102" spans="1:4">
      <c r="A102" s="312">
        <v>0.33688552425717411</v>
      </c>
      <c r="B102" s="314">
        <v>0.88317468117789488</v>
      </c>
      <c r="C102" s="313">
        <v>90</v>
      </c>
      <c r="D102" s="311">
        <v>699186.90218705591</v>
      </c>
    </row>
    <row r="103" spans="1:4">
      <c r="A103" s="312">
        <v>0.85487362172174697</v>
      </c>
      <c r="B103" s="314">
        <v>0.99179324082205711</v>
      </c>
      <c r="C103" s="313">
        <v>91</v>
      </c>
      <c r="D103" s="311">
        <v>-18467.277887511998</v>
      </c>
    </row>
    <row r="104" spans="1:4">
      <c r="A104" s="312">
        <v>0.58476957151431896</v>
      </c>
      <c r="B104" s="314">
        <v>0.94133296703338865</v>
      </c>
      <c r="C104" s="313">
        <v>92</v>
      </c>
      <c r="D104" s="311">
        <v>383559.12530195434</v>
      </c>
    </row>
    <row r="105" spans="1:4">
      <c r="A105" s="312">
        <v>0.79509680932976734</v>
      </c>
      <c r="B105" s="314">
        <v>0.98140659716719925</v>
      </c>
      <c r="C105" s="313">
        <v>93</v>
      </c>
      <c r="D105" s="311">
        <v>607851.7756536603</v>
      </c>
    </row>
    <row r="106" spans="1:4">
      <c r="A106" s="312">
        <v>0.75066448527579888</v>
      </c>
      <c r="B106" s="314">
        <v>0.97343065574757137</v>
      </c>
      <c r="C106" s="313">
        <v>94</v>
      </c>
      <c r="D106" s="311">
        <v>636301.20965314843</v>
      </c>
    </row>
    <row r="107" spans="1:4">
      <c r="A107" s="312">
        <v>0.10032151736368433</v>
      </c>
      <c r="B107" s="314">
        <v>0.79995886481486578</v>
      </c>
      <c r="C107" s="313">
        <v>95</v>
      </c>
      <c r="D107" s="311">
        <v>400254.75645980611</v>
      </c>
    </row>
    <row r="108" spans="1:4">
      <c r="A108" s="312">
        <v>0.3346692853590636</v>
      </c>
      <c r="B108" s="314">
        <v>0.88257116946415226</v>
      </c>
      <c r="C108" s="313">
        <v>96</v>
      </c>
      <c r="D108" s="311">
        <v>18957.811015992193</v>
      </c>
    </row>
    <row r="109" spans="1:4">
      <c r="A109" s="312">
        <v>0.60117362596149659</v>
      </c>
      <c r="B109" s="314">
        <v>0.94469451193445375</v>
      </c>
      <c r="C109" s="313">
        <v>97</v>
      </c>
      <c r="D109" s="311">
        <v>449791.4913861691</v>
      </c>
    </row>
    <row r="110" spans="1:4">
      <c r="A110" s="312">
        <v>0.73791028813205173</v>
      </c>
      <c r="B110" s="314">
        <v>0.971097836687002</v>
      </c>
      <c r="C110" s="313">
        <v>98</v>
      </c>
      <c r="D110" s="311">
        <v>412164.60181933572</v>
      </c>
    </row>
    <row r="111" spans="1:4">
      <c r="A111" s="312">
        <v>0.83580347115128584</v>
      </c>
      <c r="B111" s="314">
        <v>0.98852028633216094</v>
      </c>
      <c r="C111" s="313">
        <v>99</v>
      </c>
      <c r="D111" s="311">
        <v>369765.65073021641</v>
      </c>
    </row>
    <row r="112" spans="1:4">
      <c r="A112" s="312">
        <v>0.74527228453347449</v>
      </c>
      <c r="B112" s="314">
        <v>0.97244682722305154</v>
      </c>
      <c r="C112" s="313">
        <v>100</v>
      </c>
      <c r="D112" s="311">
        <v>474011.38005400379</v>
      </c>
    </row>
    <row r="113" spans="1:4">
      <c r="A113" s="312">
        <v>6.9615783370656881E-2</v>
      </c>
      <c r="B113" s="314">
        <v>0.78326799865929653</v>
      </c>
      <c r="C113" s="313">
        <v>101</v>
      </c>
      <c r="D113" s="311">
        <v>721988.80818172428</v>
      </c>
    </row>
    <row r="114" spans="1:4">
      <c r="A114" s="312">
        <v>0.14134931063990741</v>
      </c>
      <c r="B114" s="314">
        <v>0.81865092181927213</v>
      </c>
      <c r="C114" s="313">
        <v>102</v>
      </c>
      <c r="D114" s="311">
        <v>-99987.099515012931</v>
      </c>
    </row>
    <row r="115" spans="1:4">
      <c r="A115" s="312">
        <v>0.54601205080330728</v>
      </c>
      <c r="B115" s="314">
        <v>0.93319830168374129</v>
      </c>
      <c r="C115" s="313">
        <v>103</v>
      </c>
      <c r="D115" s="311">
        <v>88250.171541307122</v>
      </c>
    </row>
    <row r="116" spans="1:4">
      <c r="A116" s="312">
        <v>3.0795602778389997E-2</v>
      </c>
      <c r="B116" s="314">
        <v>0.75538199854455323</v>
      </c>
      <c r="C116" s="313">
        <v>104</v>
      </c>
      <c r="D116" s="311">
        <v>652303.61636300455</v>
      </c>
    </row>
    <row r="117" spans="1:4">
      <c r="A117" s="312">
        <v>0.41024561341768007</v>
      </c>
      <c r="B117" s="314">
        <v>0.90213719847715967</v>
      </c>
      <c r="C117" s="313">
        <v>105</v>
      </c>
      <c r="D117" s="311">
        <v>482764.3784912324</v>
      </c>
    </row>
    <row r="118" spans="1:4">
      <c r="A118" s="312">
        <v>0.60025269452375563</v>
      </c>
      <c r="B118" s="314">
        <v>0.94450701765099965</v>
      </c>
      <c r="C118" s="313">
        <v>106</v>
      </c>
      <c r="D118" s="311">
        <v>419525.1904603627</v>
      </c>
    </row>
    <row r="119" spans="1:4">
      <c r="A119" s="312">
        <v>0.83723244196367974</v>
      </c>
      <c r="B119" s="314">
        <v>0.98876682215735934</v>
      </c>
      <c r="C119" s="313">
        <v>107</v>
      </c>
      <c r="D119" s="311">
        <v>283045.62146802084</v>
      </c>
    </row>
    <row r="120" spans="1:4">
      <c r="A120" s="312">
        <v>0.12779950997917322</v>
      </c>
      <c r="B120" s="314">
        <v>0.81282071911945819</v>
      </c>
      <c r="C120" s="313">
        <v>108</v>
      </c>
      <c r="D120" s="311">
        <v>201598.02373030898</v>
      </c>
    </row>
    <row r="121" spans="1:4">
      <c r="A121" s="312">
        <v>4.2083938759134965E-2</v>
      </c>
      <c r="B121" s="314">
        <v>0.76474145555781248</v>
      </c>
      <c r="C121" s="313">
        <v>109</v>
      </c>
      <c r="D121" s="311">
        <v>590390.68525996245</v>
      </c>
    </row>
    <row r="122" spans="1:4">
      <c r="A122" s="312">
        <v>0.57083768554331271</v>
      </c>
      <c r="B122" s="314">
        <v>0.93844080951180642</v>
      </c>
      <c r="C122" s="313">
        <v>110</v>
      </c>
      <c r="D122" s="311">
        <v>-56785.903996184468</v>
      </c>
    </row>
    <row r="123" spans="1:4">
      <c r="A123" s="312">
        <v>0.34103912987499652</v>
      </c>
      <c r="B123" s="314">
        <v>0.88430044128159446</v>
      </c>
      <c r="C123" s="313">
        <v>111</v>
      </c>
      <c r="D123" s="311">
        <v>94820.925299842609</v>
      </c>
    </row>
    <row r="124" spans="1:4">
      <c r="A124" s="312">
        <v>0.44314247345525104</v>
      </c>
      <c r="B124" s="314">
        <v>0.91008544164136085</v>
      </c>
      <c r="C124" s="313">
        <v>112</v>
      </c>
      <c r="D124" s="311">
        <v>261070.70485291467</v>
      </c>
    </row>
    <row r="125" spans="1:4">
      <c r="A125" s="312">
        <v>0.29728233145177685</v>
      </c>
      <c r="B125" s="314">
        <v>0.87207145001309505</v>
      </c>
      <c r="C125" s="313">
        <v>113</v>
      </c>
      <c r="D125" s="311">
        <v>703203.63068143278</v>
      </c>
    </row>
    <row r="126" spans="1:4">
      <c r="A126" s="312">
        <v>0.79076585787011777</v>
      </c>
      <c r="B126" s="314">
        <v>0.98063912929357511</v>
      </c>
      <c r="C126" s="313">
        <v>114</v>
      </c>
      <c r="D126" s="311">
        <v>407090.36959995772</v>
      </c>
    </row>
    <row r="127" spans="1:4">
      <c r="A127" s="312">
        <v>0.39326906043006482</v>
      </c>
      <c r="B127" s="314">
        <v>0.89791064745944871</v>
      </c>
      <c r="C127" s="313">
        <v>115</v>
      </c>
      <c r="D127" s="311">
        <v>557056.6418538678</v>
      </c>
    </row>
    <row r="128" spans="1:4">
      <c r="A128" s="312">
        <v>0.2482833942662801</v>
      </c>
      <c r="B128" s="314">
        <v>0.85725269830921924</v>
      </c>
      <c r="C128" s="313">
        <v>116</v>
      </c>
      <c r="D128" s="311">
        <v>901698.56795814913</v>
      </c>
    </row>
    <row r="129" spans="1:4">
      <c r="A129" s="312">
        <v>0.98869911041119352</v>
      </c>
      <c r="B129" s="314">
        <v>1.0210360747217848</v>
      </c>
      <c r="C129" s="313">
        <v>117</v>
      </c>
      <c r="D129" s="311">
        <v>965523.11641582847</v>
      </c>
    </row>
    <row r="130" spans="1:4">
      <c r="A130" s="312">
        <v>0.26832929543764605</v>
      </c>
      <c r="B130" s="314">
        <v>0.8634776230341864</v>
      </c>
      <c r="C130" s="313">
        <v>118</v>
      </c>
      <c r="D130" s="311">
        <v>447931.63528071856</v>
      </c>
    </row>
    <row r="131" spans="1:4">
      <c r="A131" s="312">
        <v>0.97685513178591976</v>
      </c>
      <c r="B131" s="314">
        <v>1.0163130474539981</v>
      </c>
      <c r="C131" s="313">
        <v>119</v>
      </c>
      <c r="D131" s="311">
        <v>840867.52436934761</v>
      </c>
    </row>
    <row r="132" spans="1:4">
      <c r="A132" s="312">
        <v>0.81295183625544731</v>
      </c>
      <c r="B132" s="314">
        <v>0.98454874694512917</v>
      </c>
      <c r="C132" s="313">
        <v>120</v>
      </c>
      <c r="D132" s="311">
        <v>766654.35950887995</v>
      </c>
    </row>
    <row r="133" spans="1:4">
      <c r="A133" s="312">
        <v>0.50310963067367764</v>
      </c>
      <c r="B133" s="314">
        <v>0.92384921961698718</v>
      </c>
      <c r="C133" s="313">
        <v>121</v>
      </c>
      <c r="D133" s="311">
        <v>-56514.078797909198</v>
      </c>
    </row>
    <row r="134" spans="1:4">
      <c r="A134" s="312">
        <v>0.82546767752932282</v>
      </c>
      <c r="B134" s="314">
        <v>0.98673077299085543</v>
      </c>
      <c r="C134" s="313">
        <v>122</v>
      </c>
      <c r="D134" s="311">
        <v>472391.92196293618</v>
      </c>
    </row>
    <row r="135" spans="1:4">
      <c r="A135" s="312">
        <v>0.16681038954021876</v>
      </c>
      <c r="B135" s="314">
        <v>0.82889492482459626</v>
      </c>
      <c r="C135" s="313">
        <v>123</v>
      </c>
      <c r="D135" s="311">
        <v>467375.42130833329</v>
      </c>
    </row>
    <row r="136" spans="1:4">
      <c r="A136" s="312">
        <v>0.86526131364556114</v>
      </c>
      <c r="B136" s="314">
        <v>0.99356069862469909</v>
      </c>
      <c r="C136" s="313">
        <v>124</v>
      </c>
      <c r="D136" s="311">
        <v>63342.076534903375</v>
      </c>
    </row>
    <row r="137" spans="1:4">
      <c r="A137" s="312">
        <v>0.98579907546402668</v>
      </c>
      <c r="B137" s="314">
        <v>1.0197105410635612</v>
      </c>
      <c r="C137" s="313">
        <v>125</v>
      </c>
      <c r="D137" s="311">
        <v>-14354.928907166701</v>
      </c>
    </row>
    <row r="138" spans="1:4">
      <c r="A138" s="312">
        <v>1.7177195416373192E-2</v>
      </c>
      <c r="B138" s="314">
        <v>0.74136189211500758</v>
      </c>
      <c r="C138" s="313">
        <v>126</v>
      </c>
      <c r="D138" s="311">
        <v>686985.3148504002</v>
      </c>
    </row>
    <row r="139" spans="1:4">
      <c r="A139" s="312">
        <v>0.13744720326098459</v>
      </c>
      <c r="B139" s="314">
        <v>0.81700171374080188</v>
      </c>
      <c r="C139" s="313">
        <v>127</v>
      </c>
      <c r="D139" s="311">
        <v>758250.95120592252</v>
      </c>
    </row>
    <row r="140" spans="1:4">
      <c r="A140" s="312">
        <v>0.84874728558976431</v>
      </c>
      <c r="B140" s="314">
        <v>0.99074581249655425</v>
      </c>
      <c r="C140" s="313">
        <v>128</v>
      </c>
      <c r="D140" s="311">
        <v>580047.77944197506</v>
      </c>
    </row>
    <row r="141" spans="1:4">
      <c r="A141" s="312">
        <v>0.85573489645181333</v>
      </c>
      <c r="B141" s="314">
        <v>0.99194019288094859</v>
      </c>
      <c r="C141" s="313">
        <v>129</v>
      </c>
      <c r="D141" s="311">
        <v>230223.99148926279</v>
      </c>
    </row>
    <row r="142" spans="1:4">
      <c r="A142" s="312">
        <v>0.19578054220603769</v>
      </c>
      <c r="B142" s="314">
        <v>0.83963974039776001</v>
      </c>
      <c r="C142" s="313">
        <v>130</v>
      </c>
      <c r="D142" s="311">
        <v>432353.34366835258</v>
      </c>
    </row>
    <row r="143" spans="1:4">
      <c r="A143" s="312">
        <v>0.16412367707180187</v>
      </c>
      <c r="B143" s="314">
        <v>0.82785269546661966</v>
      </c>
      <c r="C143" s="313">
        <v>131</v>
      </c>
      <c r="D143" s="311">
        <v>311067.8670845856</v>
      </c>
    </row>
    <row r="144" spans="1:4">
      <c r="A144" s="312">
        <v>0.52414311449225892</v>
      </c>
      <c r="B144" s="314">
        <v>0.92848053749969361</v>
      </c>
      <c r="C144" s="313">
        <v>132</v>
      </c>
      <c r="D144" s="311">
        <v>290382.08611473604</v>
      </c>
    </row>
    <row r="145" spans="1:4">
      <c r="A145" s="312">
        <v>0.10138851468564414</v>
      </c>
      <c r="B145" s="314">
        <v>0.80048902898140661</v>
      </c>
      <c r="C145" s="313">
        <v>133</v>
      </c>
      <c r="D145" s="311">
        <v>621326.6029409701</v>
      </c>
    </row>
    <row r="146" spans="1:4">
      <c r="A146" s="312">
        <v>0.86956874282436203</v>
      </c>
      <c r="B146" s="314">
        <v>0.99429049093484956</v>
      </c>
      <c r="C146" s="313">
        <v>134</v>
      </c>
      <c r="D146" s="311">
        <v>102460.98836874566</v>
      </c>
    </row>
    <row r="147" spans="1:4">
      <c r="A147" s="312">
        <v>0.5906180081467336</v>
      </c>
      <c r="B147" s="314">
        <v>0.94253678232473348</v>
      </c>
      <c r="C147" s="313">
        <v>135</v>
      </c>
      <c r="D147" s="311">
        <v>595382.05089396075</v>
      </c>
    </row>
    <row r="148" spans="1:4">
      <c r="A148" s="312">
        <v>0.93145558436481901</v>
      </c>
      <c r="B148" s="314">
        <v>1.0050100856765629</v>
      </c>
      <c r="C148" s="313">
        <v>136</v>
      </c>
      <c r="D148" s="311">
        <v>785517.61243078625</v>
      </c>
    </row>
    <row r="149" spans="1:4">
      <c r="A149" s="312">
        <v>0.29655212506333339</v>
      </c>
      <c r="B149" s="314">
        <v>0.87185999290667049</v>
      </c>
      <c r="C149" s="313">
        <v>137</v>
      </c>
      <c r="D149" s="311">
        <v>262559.58696707012</v>
      </c>
    </row>
    <row r="150" spans="1:4">
      <c r="A150" s="312">
        <v>0.84402169556835271</v>
      </c>
      <c r="B150" s="314">
        <v>0.98993528661133445</v>
      </c>
      <c r="C150" s="313">
        <v>138</v>
      </c>
      <c r="D150" s="311">
        <v>459827.31777441455</v>
      </c>
    </row>
    <row r="151" spans="1:4">
      <c r="A151" s="312">
        <v>0.77994755420738637</v>
      </c>
      <c r="B151" s="314">
        <v>0.97871283544251786</v>
      </c>
      <c r="C151" s="313">
        <v>139</v>
      </c>
      <c r="D151" s="311">
        <v>76192.120309059275</v>
      </c>
    </row>
    <row r="152" spans="1:4">
      <c r="A152" s="312">
        <v>0.68626982747451881</v>
      </c>
      <c r="B152" s="314">
        <v>0.9614398115761098</v>
      </c>
      <c r="C152" s="313">
        <v>140</v>
      </c>
      <c r="D152" s="311">
        <v>917827.00265572919</v>
      </c>
    </row>
    <row r="153" spans="1:4">
      <c r="A153" s="312">
        <v>0.31555681901665833</v>
      </c>
      <c r="B153" s="314">
        <v>0.8772813515550425</v>
      </c>
      <c r="C153" s="313">
        <v>141</v>
      </c>
      <c r="D153" s="311">
        <v>305394.54150159773</v>
      </c>
    </row>
    <row r="154" spans="1:4">
      <c r="A154" s="312">
        <v>0.47737093470005609</v>
      </c>
      <c r="B154" s="314">
        <v>0.91804807440849734</v>
      </c>
      <c r="C154" s="313">
        <v>142</v>
      </c>
      <c r="D154" s="311">
        <v>43206.5906844493</v>
      </c>
    </row>
    <row r="155" spans="1:4">
      <c r="A155" s="312">
        <v>0.92793702668493017</v>
      </c>
      <c r="B155" s="314">
        <v>1.0043262335403196</v>
      </c>
      <c r="C155" s="313">
        <v>143</v>
      </c>
      <c r="D155" s="311">
        <v>425555.00288796448</v>
      </c>
    </row>
    <row r="156" spans="1:4">
      <c r="A156" s="312">
        <v>0.16948034922991595</v>
      </c>
      <c r="B156" s="314">
        <v>0.82992237304532623</v>
      </c>
      <c r="C156" s="313">
        <v>144</v>
      </c>
      <c r="D156" s="311">
        <v>736432.85893354309</v>
      </c>
    </row>
    <row r="157" spans="1:4">
      <c r="A157" s="312">
        <v>0.25818175959370326</v>
      </c>
      <c r="B157" s="314">
        <v>0.86035667680538452</v>
      </c>
      <c r="C157" s="313">
        <v>145</v>
      </c>
      <c r="D157" s="311">
        <v>490615.45480726007</v>
      </c>
    </row>
    <row r="158" spans="1:4">
      <c r="A158" s="312">
        <v>0.68342125971002765</v>
      </c>
      <c r="B158" s="314">
        <v>0.96089665536929503</v>
      </c>
      <c r="C158" s="313">
        <v>146</v>
      </c>
      <c r="D158" s="311">
        <v>587063.16199413454</v>
      </c>
    </row>
    <row r="159" spans="1:4">
      <c r="A159" s="312">
        <v>0.93790242097696541</v>
      </c>
      <c r="B159" s="314">
        <v>1.0063102707707858</v>
      </c>
      <c r="C159" s="313">
        <v>147</v>
      </c>
      <c r="D159" s="311">
        <v>92915.35589575232</v>
      </c>
    </row>
    <row r="160" spans="1:4">
      <c r="A160" s="312">
        <v>0.52029637677523599</v>
      </c>
      <c r="B160" s="314">
        <v>0.92764057298086644</v>
      </c>
      <c r="C160" s="313">
        <v>148</v>
      </c>
      <c r="D160" s="311">
        <v>846491.42880560621</v>
      </c>
    </row>
    <row r="161" spans="1:4">
      <c r="A161" s="312">
        <v>0.71927730699582193</v>
      </c>
      <c r="B161" s="314">
        <v>0.96765320525822662</v>
      </c>
      <c r="C161" s="313">
        <v>149</v>
      </c>
      <c r="D161" s="311">
        <v>735057.69140848797</v>
      </c>
    </row>
    <row r="162" spans="1:4">
      <c r="A162" s="312">
        <v>0.62500217485536591</v>
      </c>
      <c r="B162" s="314">
        <v>0.94949683088687153</v>
      </c>
      <c r="C162" s="313">
        <v>150</v>
      </c>
      <c r="D162" s="311">
        <v>1087097.2480387238</v>
      </c>
    </row>
    <row r="163" spans="1:4">
      <c r="A163" s="312">
        <v>0.14877719922023902</v>
      </c>
      <c r="B163" s="314">
        <v>0.82172855274715451</v>
      </c>
      <c r="C163" s="313">
        <v>151</v>
      </c>
      <c r="D163" s="311">
        <v>983289.05321737984</v>
      </c>
    </row>
    <row r="164" spans="1:4">
      <c r="A164" s="312">
        <v>0.40453885430112169</v>
      </c>
      <c r="B164" s="314">
        <v>0.90072635087245845</v>
      </c>
      <c r="C164" s="313">
        <v>152</v>
      </c>
      <c r="D164" s="311">
        <v>841837.25065022963</v>
      </c>
    </row>
    <row r="165" spans="1:4">
      <c r="A165" s="312">
        <v>0.493912999513344</v>
      </c>
      <c r="B165" s="314">
        <v>0.92179384896249661</v>
      </c>
      <c r="C165" s="313">
        <v>153</v>
      </c>
      <c r="D165" s="311">
        <v>493600.4984133197</v>
      </c>
    </row>
    <row r="166" spans="1:4">
      <c r="A166" s="312">
        <v>0.48833685181714059</v>
      </c>
      <c r="B166" s="314">
        <v>0.92053829812064158</v>
      </c>
      <c r="C166" s="313">
        <v>154</v>
      </c>
      <c r="D166" s="311">
        <v>363996.87534570252</v>
      </c>
    </row>
    <row r="167" spans="1:4">
      <c r="A167" s="312">
        <v>0.63252650182955628</v>
      </c>
      <c r="B167" s="314">
        <v>0.95099416916159152</v>
      </c>
      <c r="C167" s="313">
        <v>155</v>
      </c>
      <c r="D167" s="311">
        <v>122261.67570056161</v>
      </c>
    </row>
    <row r="168" spans="1:4">
      <c r="A168" s="312">
        <v>0.13722847179940512</v>
      </c>
      <c r="B168" s="314">
        <v>0.81690857926799454</v>
      </c>
      <c r="C168" s="313">
        <v>156</v>
      </c>
      <c r="D168" s="311">
        <v>167124.86960561597</v>
      </c>
    </row>
    <row r="169" spans="1:4">
      <c r="A169" s="312">
        <v>0.34587589782640538</v>
      </c>
      <c r="B169" s="314">
        <v>0.88560275527302867</v>
      </c>
      <c r="C169" s="313">
        <v>157</v>
      </c>
      <c r="D169" s="311">
        <v>-40812.627892115386</v>
      </c>
    </row>
    <row r="170" spans="1:4">
      <c r="A170" s="312">
        <v>0.59545815746487307</v>
      </c>
      <c r="B170" s="314">
        <v>0.9435285561582788</v>
      </c>
      <c r="C170" s="313">
        <v>158</v>
      </c>
      <c r="D170" s="311">
        <v>103090.84272263548</v>
      </c>
    </row>
    <row r="171" spans="1:4">
      <c r="A171" s="312">
        <v>0.42941828286444172</v>
      </c>
      <c r="B171" s="314">
        <v>0.90680666671701937</v>
      </c>
      <c r="C171" s="313">
        <v>159</v>
      </c>
      <c r="D171" s="311">
        <v>476048.9589672389</v>
      </c>
    </row>
    <row r="172" spans="1:4">
      <c r="A172" s="312">
        <v>0.48637266348274366</v>
      </c>
      <c r="B172" s="314">
        <v>0.92009432669813607</v>
      </c>
      <c r="C172" s="313">
        <v>160</v>
      </c>
      <c r="D172" s="311">
        <v>413990.69912305335</v>
      </c>
    </row>
    <row r="173" spans="1:4">
      <c r="A173" s="312">
        <v>0.12502078849295928</v>
      </c>
      <c r="B173" s="314">
        <v>0.81158745845697489</v>
      </c>
      <c r="C173" s="313">
        <v>161</v>
      </c>
      <c r="D173" s="311">
        <v>183729.67585207615</v>
      </c>
    </row>
    <row r="174" spans="1:4">
      <c r="A174" s="312">
        <v>0.38794716394395523</v>
      </c>
      <c r="B174" s="314">
        <v>0.89656697756482262</v>
      </c>
      <c r="C174" s="313">
        <v>162</v>
      </c>
      <c r="D174" s="311">
        <v>429029.19608078268</v>
      </c>
    </row>
    <row r="175" spans="1:4">
      <c r="A175" s="312">
        <v>0.94227987195562435</v>
      </c>
      <c r="B175" s="314">
        <v>1.0072319947526962</v>
      </c>
      <c r="C175" s="313">
        <v>163</v>
      </c>
      <c r="D175" s="311">
        <v>853778.21309635695</v>
      </c>
    </row>
    <row r="176" spans="1:4">
      <c r="A176" s="312">
        <v>0.93784665158129688</v>
      </c>
      <c r="B176" s="314">
        <v>1.006298741184277</v>
      </c>
      <c r="C176" s="313">
        <v>164</v>
      </c>
      <c r="D176" s="311">
        <v>578283.51459187828</v>
      </c>
    </row>
    <row r="177" spans="1:4">
      <c r="A177" s="312">
        <v>0.45023723790503423</v>
      </c>
      <c r="B177" s="314">
        <v>0.91176051038064676</v>
      </c>
      <c r="C177" s="313">
        <v>165</v>
      </c>
      <c r="D177" s="311">
        <v>140566.10989192058</v>
      </c>
    </row>
    <row r="178" spans="1:4">
      <c r="A178" s="312">
        <v>0.96481015844383899</v>
      </c>
      <c r="B178" s="314">
        <v>1.0126590999636917</v>
      </c>
      <c r="C178" s="313">
        <v>166</v>
      </c>
      <c r="D178" s="311">
        <v>102598.73118458525</v>
      </c>
    </row>
    <row r="179" spans="1:4">
      <c r="A179" s="312">
        <v>1.9799580675783357E-4</v>
      </c>
      <c r="B179" s="314">
        <v>0.7044407084976374</v>
      </c>
      <c r="C179" s="313">
        <v>167</v>
      </c>
      <c r="D179" s="311">
        <v>373091.25271151215</v>
      </c>
    </row>
    <row r="180" spans="1:4">
      <c r="A180" s="312">
        <v>0.69450608721547269</v>
      </c>
      <c r="B180" s="314">
        <v>0.96300396603044969</v>
      </c>
      <c r="C180" s="313">
        <v>168</v>
      </c>
      <c r="D180" s="311">
        <v>337891.02552990918</v>
      </c>
    </row>
    <row r="181" spans="1:4">
      <c r="A181" s="312">
        <v>0.37921695052237125</v>
      </c>
      <c r="B181" s="314">
        <v>0.89434265881426889</v>
      </c>
      <c r="C181" s="313">
        <v>169</v>
      </c>
      <c r="D181" s="311">
        <v>477930.77071058541</v>
      </c>
    </row>
    <row r="182" spans="1:4">
      <c r="A182" s="312">
        <v>0.43511408591054102</v>
      </c>
      <c r="B182" s="314">
        <v>0.90817369015978866</v>
      </c>
      <c r="C182" s="313">
        <v>170</v>
      </c>
      <c r="D182" s="311">
        <v>713409.95372420503</v>
      </c>
    </row>
    <row r="183" spans="1:4">
      <c r="A183" s="312">
        <v>0.74237637546667568</v>
      </c>
      <c r="B183" s="314">
        <v>0.97191698787200531</v>
      </c>
      <c r="C183" s="313">
        <v>171</v>
      </c>
      <c r="D183" s="311">
        <v>20511.047979644965</v>
      </c>
    </row>
    <row r="184" spans="1:4">
      <c r="A184" s="312">
        <v>0.11925947198948472</v>
      </c>
      <c r="B184" s="314">
        <v>0.80898599924144188</v>
      </c>
      <c r="C184" s="313">
        <v>172</v>
      </c>
      <c r="D184" s="311">
        <v>905499.13009104389</v>
      </c>
    </row>
    <row r="185" spans="1:4">
      <c r="A185" s="312">
        <v>0.87217937533555157</v>
      </c>
      <c r="B185" s="314">
        <v>0.9947319215606385</v>
      </c>
      <c r="C185" s="313">
        <v>173</v>
      </c>
      <c r="D185" s="311">
        <v>327822.3138244478</v>
      </c>
    </row>
    <row r="186" spans="1:4">
      <c r="A186" s="312">
        <v>0.1699589360423982</v>
      </c>
      <c r="B186" s="314">
        <v>0.83010568426820486</v>
      </c>
      <c r="C186" s="313">
        <v>174</v>
      </c>
      <c r="D186" s="311">
        <v>-15469.180150781292</v>
      </c>
    </row>
    <row r="187" spans="1:4">
      <c r="A187" s="312">
        <v>0.18934879370093294</v>
      </c>
      <c r="B187" s="314">
        <v>0.83732687601949085</v>
      </c>
      <c r="C187" s="313">
        <v>175</v>
      </c>
      <c r="D187" s="311">
        <v>536285.43219734333</v>
      </c>
    </row>
    <row r="188" spans="1:4">
      <c r="A188" s="312">
        <v>0.72781988771864314</v>
      </c>
      <c r="B188" s="314">
        <v>0.96923792111606555</v>
      </c>
      <c r="C188" s="313">
        <v>176</v>
      </c>
      <c r="D188" s="311">
        <v>114177.05491826008</v>
      </c>
    </row>
    <row r="189" spans="1:4">
      <c r="A189" s="312">
        <v>0.364273954456379</v>
      </c>
      <c r="B189" s="314">
        <v>0.89047515228329133</v>
      </c>
      <c r="C189" s="313">
        <v>177</v>
      </c>
      <c r="D189" s="311">
        <v>11277.397659475682</v>
      </c>
    </row>
    <row r="190" spans="1:4">
      <c r="A190" s="312">
        <v>2.4558602078488811E-2</v>
      </c>
      <c r="B190" s="314">
        <v>0.74945680884123522</v>
      </c>
      <c r="C190" s="313">
        <v>178</v>
      </c>
      <c r="D190" s="311">
        <v>852978.25530285877</v>
      </c>
    </row>
    <row r="191" spans="1:4">
      <c r="A191" s="312">
        <v>0.45133564730289211</v>
      </c>
      <c r="B191" s="314">
        <v>0.91201866099987527</v>
      </c>
      <c r="C191" s="313">
        <v>179</v>
      </c>
      <c r="D191" s="311">
        <v>339566.51405166788</v>
      </c>
    </row>
    <row r="192" spans="1:4">
      <c r="A192" s="312">
        <v>0.54220821789834239</v>
      </c>
      <c r="B192" s="314">
        <v>0.93238458548730085</v>
      </c>
      <c r="C192" s="313">
        <v>180</v>
      </c>
      <c r="D192" s="311">
        <v>271203.4518409241</v>
      </c>
    </row>
    <row r="193" spans="1:4">
      <c r="A193" s="312">
        <v>0.48091410178471894</v>
      </c>
      <c r="B193" s="314">
        <v>0.91885578223853259</v>
      </c>
      <c r="C193" s="313">
        <v>181</v>
      </c>
      <c r="D193" s="311">
        <v>510925.59760584915</v>
      </c>
    </row>
    <row r="194" spans="1:4">
      <c r="A194" s="312">
        <v>0.82828909429997688</v>
      </c>
      <c r="B194" s="314">
        <v>0.9872203723663443</v>
      </c>
      <c r="C194" s="313">
        <v>182</v>
      </c>
      <c r="D194" s="311">
        <v>268221.42518809345</v>
      </c>
    </row>
    <row r="195" spans="1:4">
      <c r="A195" s="312">
        <v>0.89514216261407209</v>
      </c>
      <c r="B195" s="314">
        <v>0.99858657425609487</v>
      </c>
      <c r="C195" s="313">
        <v>183</v>
      </c>
      <c r="D195" s="311">
        <v>878147.5710637942</v>
      </c>
    </row>
    <row r="196" spans="1:4">
      <c r="A196" s="312">
        <v>0.83530706742621352</v>
      </c>
      <c r="B196" s="314">
        <v>0.98843459404804035</v>
      </c>
      <c r="C196" s="313">
        <v>184</v>
      </c>
      <c r="D196" s="311">
        <v>697608.72653630283</v>
      </c>
    </row>
    <row r="197" spans="1:4">
      <c r="A197" s="312">
        <v>0.55400070622095121</v>
      </c>
      <c r="B197" s="314">
        <v>0.93489805916957913</v>
      </c>
      <c r="C197" s="313">
        <v>185</v>
      </c>
      <c r="D197" s="311">
        <v>328116.82530533988</v>
      </c>
    </row>
    <row r="198" spans="1:4">
      <c r="A198" s="312">
        <v>0.35348255782960469</v>
      </c>
      <c r="B198" s="314">
        <v>0.88763258581929105</v>
      </c>
      <c r="C198" s="313">
        <v>186</v>
      </c>
      <c r="D198" s="311">
        <v>415693.98998159752</v>
      </c>
    </row>
    <row r="199" spans="1:4">
      <c r="A199" s="312">
        <v>0.59964912476804866</v>
      </c>
      <c r="B199" s="314">
        <v>0.94438405763843813</v>
      </c>
      <c r="C199" s="313">
        <v>187</v>
      </c>
      <c r="D199" s="311">
        <v>115811.2491454035</v>
      </c>
    </row>
    <row r="200" spans="1:4">
      <c r="A200" s="312">
        <v>0.2387894496477545</v>
      </c>
      <c r="B200" s="314">
        <v>0.85421685302177275</v>
      </c>
      <c r="C200" s="313">
        <v>188</v>
      </c>
      <c r="D200" s="311">
        <v>202857.476265884</v>
      </c>
    </row>
    <row r="201" spans="1:4">
      <c r="A201" s="312">
        <v>0.44380274009328613</v>
      </c>
      <c r="B201" s="314">
        <v>0.91024189333113081</v>
      </c>
      <c r="C201" s="313">
        <v>189</v>
      </c>
      <c r="D201" s="311">
        <v>431953.22695921944</v>
      </c>
    </row>
    <row r="202" spans="1:4">
      <c r="A202" s="312">
        <v>3.7588182636524081E-2</v>
      </c>
      <c r="B202" s="314">
        <v>0.76118570006898545</v>
      </c>
      <c r="C202" s="313">
        <v>190</v>
      </c>
      <c r="D202" s="311">
        <v>355317.48185424763</v>
      </c>
    </row>
    <row r="203" spans="1:4">
      <c r="A203" s="312">
        <v>0.29435200690398433</v>
      </c>
      <c r="B203" s="314">
        <v>0.87122129202414844</v>
      </c>
      <c r="C203" s="313">
        <v>191</v>
      </c>
      <c r="D203" s="311">
        <v>411452.63870614301</v>
      </c>
    </row>
    <row r="204" spans="1:4">
      <c r="A204" s="312">
        <v>0.54951829395100216</v>
      </c>
      <c r="B204" s="314">
        <v>0.93394585066099811</v>
      </c>
      <c r="C204" s="313">
        <v>192</v>
      </c>
      <c r="D204" s="311">
        <v>267023.93778919708</v>
      </c>
    </row>
    <row r="205" spans="1:4">
      <c r="A205" s="312">
        <v>0.97874278748677346</v>
      </c>
      <c r="B205" s="314">
        <v>1.016966007948789</v>
      </c>
      <c r="C205" s="313">
        <v>193</v>
      </c>
      <c r="D205" s="311">
        <v>742431.17218435742</v>
      </c>
    </row>
    <row r="206" spans="1:4">
      <c r="A206" s="312">
        <v>0.93456941357194945</v>
      </c>
      <c r="B206" s="314">
        <v>1.0056300687533344</v>
      </c>
      <c r="C206" s="313">
        <v>194</v>
      </c>
      <c r="D206" s="311">
        <v>412050.75207261904</v>
      </c>
    </row>
    <row r="207" spans="1:4">
      <c r="A207" s="312">
        <v>0.97662047878588631</v>
      </c>
      <c r="B207" s="314">
        <v>1.0162337690764989</v>
      </c>
      <c r="C207" s="313">
        <v>195</v>
      </c>
      <c r="D207" s="311">
        <v>240395.35257606744</v>
      </c>
    </row>
    <row r="208" spans="1:4">
      <c r="A208" s="312">
        <v>0.79566886583969898</v>
      </c>
      <c r="B208" s="314">
        <v>0.9815078122197558</v>
      </c>
      <c r="C208" s="313">
        <v>196</v>
      </c>
      <c r="D208" s="311">
        <v>95827.48085952783</v>
      </c>
    </row>
    <row r="209" spans="1:4">
      <c r="A209" s="312">
        <v>0.91307375044783234</v>
      </c>
      <c r="B209" s="314">
        <v>1.0016068258683204</v>
      </c>
      <c r="C209" s="313">
        <v>197</v>
      </c>
      <c r="D209" s="311">
        <v>321639.89483010792</v>
      </c>
    </row>
    <row r="210" spans="1:4">
      <c r="A210" s="312">
        <v>0.78219860788144058</v>
      </c>
      <c r="B210" s="314">
        <v>0.97911475061518827</v>
      </c>
      <c r="C210" s="313">
        <v>198</v>
      </c>
      <c r="D210" s="311">
        <v>399316.09534351015</v>
      </c>
    </row>
    <row r="211" spans="1:4">
      <c r="A211" s="312">
        <v>8.8427146031839321E-2</v>
      </c>
      <c r="B211" s="314">
        <v>0.79384628245257283</v>
      </c>
      <c r="C211" s="313">
        <v>199</v>
      </c>
      <c r="D211" s="311">
        <v>296175.19323552214</v>
      </c>
    </row>
    <row r="212" spans="1:4">
      <c r="A212" s="312">
        <v>0.20740964029937559</v>
      </c>
      <c r="B212" s="314">
        <v>0.84372712501727198</v>
      </c>
      <c r="C212" s="313">
        <v>200</v>
      </c>
      <c r="D212" s="311">
        <v>58428.518245007144</v>
      </c>
    </row>
    <row r="213" spans="1:4">
      <c r="A213" s="312">
        <v>0.82177039129955731</v>
      </c>
      <c r="B213" s="314">
        <v>0.98608791590840417</v>
      </c>
      <c r="C213" s="313">
        <v>201</v>
      </c>
      <c r="D213" s="311">
        <v>440032.53613369167</v>
      </c>
    </row>
    <row r="214" spans="1:4">
      <c r="A214" s="312">
        <v>0.5300559627294601</v>
      </c>
      <c r="B214" s="314">
        <v>0.92976566552848749</v>
      </c>
      <c r="C214" s="313">
        <v>202</v>
      </c>
      <c r="D214" s="311">
        <v>135798.25785866566</v>
      </c>
    </row>
    <row r="215" spans="1:4">
      <c r="A215" s="312">
        <v>0.36714039975757473</v>
      </c>
      <c r="B215" s="314">
        <v>0.89122310134967275</v>
      </c>
      <c r="C215" s="313">
        <v>203</v>
      </c>
      <c r="D215" s="311">
        <v>230321.79432680854</v>
      </c>
    </row>
    <row r="216" spans="1:4">
      <c r="A216" s="312">
        <v>0.84339335723206244</v>
      </c>
      <c r="B216" s="314">
        <v>0.98982734425922969</v>
      </c>
      <c r="C216" s="313">
        <v>204</v>
      </c>
      <c r="D216" s="311">
        <v>-161069.39247226063</v>
      </c>
    </row>
    <row r="217" spans="1:4">
      <c r="A217" s="312">
        <v>9.3119559165895427E-2</v>
      </c>
      <c r="B217" s="314">
        <v>0.7963040884710727</v>
      </c>
      <c r="C217" s="313">
        <v>205</v>
      </c>
      <c r="D217" s="311">
        <v>599741.52532738401</v>
      </c>
    </row>
    <row r="218" spans="1:4">
      <c r="A218" s="312">
        <v>0.6774105341303982</v>
      </c>
      <c r="B218" s="314">
        <v>0.95974682173685899</v>
      </c>
      <c r="C218" s="313">
        <v>206</v>
      </c>
      <c r="D218" s="311">
        <v>516201.17926768423</v>
      </c>
    </row>
    <row r="219" spans="1:4">
      <c r="A219" s="312">
        <v>0.60068947723977739</v>
      </c>
      <c r="B219" s="314">
        <v>0.94459596104042121</v>
      </c>
      <c r="C219" s="313">
        <v>207</v>
      </c>
      <c r="D219" s="311">
        <v>159708.58747858903</v>
      </c>
    </row>
    <row r="220" spans="1:4">
      <c r="A220" s="312">
        <v>0.23168857498048545</v>
      </c>
      <c r="B220" s="314">
        <v>0.85190657729797203</v>
      </c>
      <c r="C220" s="313">
        <v>208</v>
      </c>
      <c r="D220" s="311">
        <v>572044.1055443997</v>
      </c>
    </row>
    <row r="221" spans="1:4">
      <c r="A221" s="312">
        <v>0.54862823169439201</v>
      </c>
      <c r="B221" s="314">
        <v>0.93375631124148972</v>
      </c>
      <c r="C221" s="313">
        <v>209</v>
      </c>
      <c r="D221" s="311">
        <v>1014092.3763520052</v>
      </c>
    </row>
    <row r="222" spans="1:4">
      <c r="A222" s="312">
        <v>0.71952341194850777</v>
      </c>
      <c r="B222" s="314">
        <v>0.96769899089974554</v>
      </c>
      <c r="C222" s="313">
        <v>210</v>
      </c>
      <c r="D222" s="311">
        <v>392355.24895718833</v>
      </c>
    </row>
    <row r="223" spans="1:4">
      <c r="A223" s="312">
        <v>0.12453354670672123</v>
      </c>
      <c r="B223" s="314">
        <v>0.8113698020549942</v>
      </c>
      <c r="C223" s="313">
        <v>211</v>
      </c>
      <c r="D223" s="311">
        <v>249169.53752629785</v>
      </c>
    </row>
    <row r="224" spans="1:4">
      <c r="A224" s="312">
        <v>0.13618267930466721</v>
      </c>
      <c r="B224" s="314">
        <v>0.81646225811044193</v>
      </c>
      <c r="C224" s="313">
        <v>212</v>
      </c>
      <c r="D224" s="311">
        <v>708478.88911309768</v>
      </c>
    </row>
    <row r="225" spans="1:4">
      <c r="A225" s="312">
        <v>0.38676947908857273</v>
      </c>
      <c r="B225" s="314">
        <v>0.89626839321255947</v>
      </c>
      <c r="C225" s="313">
        <v>213</v>
      </c>
      <c r="D225" s="311">
        <v>45955.649201238994</v>
      </c>
    </row>
    <row r="226" spans="1:4">
      <c r="A226" s="312">
        <v>0.17402693470066133</v>
      </c>
      <c r="B226" s="314">
        <v>0.83165352889202149</v>
      </c>
      <c r="C226" s="313">
        <v>214</v>
      </c>
      <c r="D226" s="311">
        <v>145586.73040193319</v>
      </c>
    </row>
    <row r="227" spans="1:4">
      <c r="A227" s="312">
        <v>0.23947109470494177</v>
      </c>
      <c r="B227" s="314">
        <v>0.85443680880978456</v>
      </c>
      <c r="C227" s="313">
        <v>215</v>
      </c>
      <c r="D227" s="311">
        <v>178119.28268517368</v>
      </c>
    </row>
    <row r="228" spans="1:4">
      <c r="A228" s="312">
        <v>0.56476161131084068</v>
      </c>
      <c r="B228" s="314">
        <v>0.9371684163125259</v>
      </c>
      <c r="C228" s="313">
        <v>216</v>
      </c>
      <c r="D228" s="311">
        <v>420779.45246202755</v>
      </c>
    </row>
    <row r="229" spans="1:4">
      <c r="A229" s="312">
        <v>0.79662182717489716</v>
      </c>
      <c r="B229" s="314">
        <v>0.9816763407342961</v>
      </c>
      <c r="C229" s="313">
        <v>217</v>
      </c>
      <c r="D229" s="311">
        <v>696251.9252620067</v>
      </c>
    </row>
    <row r="230" spans="1:4">
      <c r="A230" s="312">
        <v>0.49399004340857122</v>
      </c>
      <c r="B230" s="314">
        <v>0.9218111467414174</v>
      </c>
      <c r="C230" s="313">
        <v>218</v>
      </c>
      <c r="D230" s="311">
        <v>529504.40080406819</v>
      </c>
    </row>
    <row r="231" spans="1:4">
      <c r="A231" s="312">
        <v>0.32966628842289214</v>
      </c>
      <c r="B231" s="314">
        <v>0.88120139573410916</v>
      </c>
      <c r="C231" s="313">
        <v>219</v>
      </c>
      <c r="D231" s="311">
        <v>720836.86016766517</v>
      </c>
    </row>
    <row r="232" spans="1:4">
      <c r="A232" s="312">
        <v>0.69966939000932327</v>
      </c>
      <c r="B232" s="314">
        <v>0.96397980664749217</v>
      </c>
      <c r="C232" s="313">
        <v>220</v>
      </c>
      <c r="D232" s="311">
        <v>208732.840051234</v>
      </c>
    </row>
    <row r="233" spans="1:4">
      <c r="A233" s="312">
        <v>0.645354304760688</v>
      </c>
      <c r="B233" s="314">
        <v>0.95352650818683671</v>
      </c>
      <c r="C233" s="313">
        <v>221</v>
      </c>
      <c r="D233" s="311">
        <v>670908.88643212244</v>
      </c>
    </row>
    <row r="234" spans="1:4">
      <c r="A234" s="312">
        <v>0.3343418053287085</v>
      </c>
      <c r="B234" s="314">
        <v>0.88248182298404654</v>
      </c>
      <c r="C234" s="313">
        <v>222</v>
      </c>
      <c r="D234" s="311">
        <v>441271.50564956293</v>
      </c>
    </row>
    <row r="235" spans="1:4">
      <c r="A235" s="312">
        <v>0.62615990103814356</v>
      </c>
      <c r="B235" s="314">
        <v>0.94972780238284149</v>
      </c>
      <c r="C235" s="313">
        <v>223</v>
      </c>
      <c r="D235" s="311">
        <v>57594.816324832849</v>
      </c>
    </row>
    <row r="236" spans="1:4">
      <c r="A236" s="312">
        <v>0.38150996514090485</v>
      </c>
      <c r="B236" s="314">
        <v>0.89492934004841873</v>
      </c>
      <c r="C236" s="313">
        <v>224</v>
      </c>
      <c r="D236" s="311">
        <v>105840.53858233895</v>
      </c>
    </row>
    <row r="237" spans="1:4">
      <c r="A237" s="312">
        <v>0.43156004579593354</v>
      </c>
      <c r="B237" s="314">
        <v>0.90732175882406774</v>
      </c>
      <c r="C237" s="313">
        <v>225</v>
      </c>
      <c r="D237" s="311">
        <v>245500.40741054364</v>
      </c>
    </row>
    <row r="238" spans="1:4">
      <c r="A238" s="312">
        <v>0.66560844771587357</v>
      </c>
      <c r="B238" s="314">
        <v>0.95747417895137898</v>
      </c>
      <c r="C238" s="313">
        <v>226</v>
      </c>
      <c r="D238" s="311">
        <v>175413.8559647752</v>
      </c>
    </row>
    <row r="239" spans="1:4">
      <c r="A239" s="312">
        <v>4.9413896998096174E-4</v>
      </c>
      <c r="B239" s="314">
        <v>0.70701534158373591</v>
      </c>
      <c r="C239" s="313">
        <v>227</v>
      </c>
      <c r="D239" s="311">
        <v>780559.41676621907</v>
      </c>
    </row>
    <row r="240" spans="1:4">
      <c r="A240" s="312">
        <v>7.9693997524953319E-2</v>
      </c>
      <c r="B240" s="314">
        <v>0.78909166498035277</v>
      </c>
      <c r="C240" s="313">
        <v>228</v>
      </c>
      <c r="D240" s="311">
        <v>89549.755214024801</v>
      </c>
    </row>
    <row r="241" spans="1:4">
      <c r="A241" s="312">
        <v>0.57252290248716298</v>
      </c>
      <c r="B241" s="314">
        <v>0.93879251050722068</v>
      </c>
      <c r="C241" s="313">
        <v>229</v>
      </c>
      <c r="D241" s="311">
        <v>929967.04523858754</v>
      </c>
    </row>
    <row r="242" spans="1:4">
      <c r="A242" s="312">
        <v>0.87805383109255075</v>
      </c>
      <c r="B242" s="314">
        <v>0.99572282094976683</v>
      </c>
      <c r="C242" s="313">
        <v>230</v>
      </c>
      <c r="D242" s="311">
        <v>498407.91123689152</v>
      </c>
    </row>
    <row r="243" spans="1:4">
      <c r="A243" s="312">
        <v>0.83085866399509112</v>
      </c>
      <c r="B243" s="314">
        <v>0.98766554378242022</v>
      </c>
      <c r="C243" s="313">
        <v>231</v>
      </c>
      <c r="D243" s="311">
        <v>320964.69682030263</v>
      </c>
    </row>
    <row r="244" spans="1:4">
      <c r="A244" s="312">
        <v>0.93418731181676806</v>
      </c>
      <c r="B244" s="314">
        <v>1.005553207304549</v>
      </c>
      <c r="C244" s="313">
        <v>232</v>
      </c>
      <c r="D244" s="311">
        <v>617987.78234117199</v>
      </c>
    </row>
    <row r="245" spans="1:4">
      <c r="A245" s="312">
        <v>0.19564866150908167</v>
      </c>
      <c r="B245" s="314">
        <v>0.83959270076754189</v>
      </c>
      <c r="C245" s="313">
        <v>233</v>
      </c>
      <c r="D245" s="311">
        <v>1004576.9160133945</v>
      </c>
    </row>
    <row r="246" spans="1:4">
      <c r="A246" s="312">
        <v>0.39654046381076391</v>
      </c>
      <c r="B246" s="314">
        <v>0.89873210121162805</v>
      </c>
      <c r="C246" s="313">
        <v>234</v>
      </c>
      <c r="D246" s="311">
        <v>-119469.31825499341</v>
      </c>
    </row>
    <row r="247" spans="1:4">
      <c r="A247" s="312">
        <v>0.15043736117882611</v>
      </c>
      <c r="B247" s="314">
        <v>0.82240583553546709</v>
      </c>
      <c r="C247" s="313">
        <v>235</v>
      </c>
      <c r="D247" s="311">
        <v>-198500.41467243154</v>
      </c>
    </row>
    <row r="248" spans="1:4">
      <c r="A248" s="312">
        <v>0.29117781245623064</v>
      </c>
      <c r="B248" s="314">
        <v>0.87029559282965707</v>
      </c>
      <c r="C248" s="313">
        <v>236</v>
      </c>
      <c r="D248" s="311">
        <v>480487.37105845916</v>
      </c>
    </row>
    <row r="249" spans="1:4">
      <c r="A249" s="312">
        <v>0.17108612210775065</v>
      </c>
      <c r="B249" s="314">
        <v>0.83053640878779678</v>
      </c>
      <c r="C249" s="313">
        <v>237</v>
      </c>
      <c r="D249" s="311">
        <v>617662.78414606303</v>
      </c>
    </row>
    <row r="250" spans="1:4">
      <c r="A250" s="312">
        <v>0.68155708813082072</v>
      </c>
      <c r="B250" s="314">
        <v>0.96054058783755547</v>
      </c>
      <c r="C250" s="313">
        <v>238</v>
      </c>
      <c r="D250" s="311">
        <v>342045.15532386419</v>
      </c>
    </row>
    <row r="251" spans="1:4">
      <c r="A251" s="312">
        <v>0.78693348860311907</v>
      </c>
      <c r="B251" s="314">
        <v>0.97995825832362793</v>
      </c>
      <c r="C251" s="313">
        <v>239</v>
      </c>
      <c r="D251" s="311">
        <v>93521.231268353295</v>
      </c>
    </row>
    <row r="252" spans="1:4">
      <c r="A252" s="312">
        <v>0.13445718773359661</v>
      </c>
      <c r="B252" s="314">
        <v>0.8157220932984186</v>
      </c>
      <c r="C252" s="313">
        <v>240</v>
      </c>
      <c r="D252" s="311">
        <v>822696.78262288566</v>
      </c>
    </row>
    <row r="253" spans="1:4">
      <c r="A253" s="312">
        <v>0.89202912146974211</v>
      </c>
      <c r="B253" s="314">
        <v>0.99806692392537255</v>
      </c>
      <c r="C253" s="313">
        <v>241</v>
      </c>
      <c r="D253" s="311">
        <v>42419.88658498018</v>
      </c>
    </row>
    <row r="254" spans="1:4">
      <c r="A254" s="312">
        <v>0.10507832654769012</v>
      </c>
      <c r="B254" s="314">
        <v>0.80230122711010299</v>
      </c>
      <c r="C254" s="313">
        <v>242</v>
      </c>
      <c r="D254" s="311">
        <v>408588.70195106789</v>
      </c>
    </row>
    <row r="255" spans="1:4">
      <c r="A255" s="312">
        <v>0.98164825140404355</v>
      </c>
      <c r="B255" s="314">
        <v>1.0180305898016537</v>
      </c>
      <c r="C255" s="313">
        <v>243</v>
      </c>
      <c r="D255" s="311">
        <v>-10538.374279003358</v>
      </c>
    </row>
    <row r="256" spans="1:4">
      <c r="A256" s="312">
        <v>7.1980335426449549E-2</v>
      </c>
      <c r="B256" s="314">
        <v>0.78467032023682137</v>
      </c>
      <c r="C256" s="313">
        <v>244</v>
      </c>
      <c r="D256" s="311">
        <v>424647.84789231769</v>
      </c>
    </row>
    <row r="257" spans="1:4">
      <c r="A257" s="312">
        <v>0.5145482529901485</v>
      </c>
      <c r="B257" s="314">
        <v>0.92637961828508664</v>
      </c>
      <c r="C257" s="313">
        <v>245</v>
      </c>
      <c r="D257" s="311">
        <v>3579.5898763041478</v>
      </c>
    </row>
    <row r="258" spans="1:4">
      <c r="A258" s="312">
        <v>0.64105537120123146</v>
      </c>
      <c r="B258" s="314">
        <v>0.95268068232138714</v>
      </c>
      <c r="C258" s="313">
        <v>246</v>
      </c>
      <c r="D258" s="311">
        <v>537366.19921621308</v>
      </c>
    </row>
    <row r="259" spans="1:4">
      <c r="A259" s="312">
        <v>8.8946868894133946E-2</v>
      </c>
      <c r="B259" s="314">
        <v>0.7941216650937144</v>
      </c>
      <c r="C259" s="313">
        <v>247</v>
      </c>
      <c r="D259" s="311">
        <v>610898.22855600249</v>
      </c>
    </row>
    <row r="260" spans="1:4">
      <c r="A260" s="312">
        <v>0.54536673527168333</v>
      </c>
      <c r="B260" s="314">
        <v>0.9330604558468385</v>
      </c>
      <c r="C260" s="313">
        <v>248</v>
      </c>
      <c r="D260" s="311">
        <v>123731.20836546505</v>
      </c>
    </row>
    <row r="261" spans="1:4">
      <c r="A261" s="312">
        <v>0.16465444991422518</v>
      </c>
      <c r="B261" s="314">
        <v>0.8280592651805323</v>
      </c>
      <c r="C261" s="313">
        <v>249</v>
      </c>
      <c r="D261" s="311">
        <v>229641.19028580096</v>
      </c>
    </row>
    <row r="262" spans="1:4">
      <c r="A262" s="312">
        <v>0.50900474874331691</v>
      </c>
      <c r="B262" s="314">
        <v>0.925156861503172</v>
      </c>
      <c r="C262" s="313">
        <v>250</v>
      </c>
      <c r="D262" s="311">
        <v>543643.12495761761</v>
      </c>
    </row>
    <row r="263" spans="1:4">
      <c r="A263" s="312">
        <v>0.3318051238490205</v>
      </c>
      <c r="B263" s="314">
        <v>0.88178825189490762</v>
      </c>
      <c r="C263" s="313">
        <v>251</v>
      </c>
      <c r="D263" s="311">
        <v>347362.2395725688</v>
      </c>
    </row>
    <row r="264" spans="1:4">
      <c r="A264" s="312">
        <v>0.83833765589385756</v>
      </c>
      <c r="B264" s="314">
        <v>0.98895735697319376</v>
      </c>
      <c r="C264" s="313">
        <v>252</v>
      </c>
      <c r="D264" s="311">
        <v>225022.30021354905</v>
      </c>
    </row>
    <row r="265" spans="1:4">
      <c r="A265" s="312">
        <v>0.94611505914655314</v>
      </c>
      <c r="B265" s="314">
        <v>1.0080687074186412</v>
      </c>
      <c r="C265" s="313">
        <v>253</v>
      </c>
      <c r="D265" s="311">
        <v>217277.81919464725</v>
      </c>
    </row>
    <row r="266" spans="1:4">
      <c r="A266" s="312">
        <v>0.42497665716616828</v>
      </c>
      <c r="B266" s="314">
        <v>0.90573434929536389</v>
      </c>
      <c r="C266" s="313">
        <v>254</v>
      </c>
      <c r="D266" s="311">
        <v>145227.91744055669</v>
      </c>
    </row>
    <row r="267" spans="1:4">
      <c r="A267" s="312">
        <v>0.14886507304636099</v>
      </c>
      <c r="B267" s="314">
        <v>0.82176449634172677</v>
      </c>
      <c r="C267" s="313">
        <v>255</v>
      </c>
      <c r="D267" s="311">
        <v>641976.39762085397</v>
      </c>
    </row>
    <row r="268" spans="1:4">
      <c r="A268" s="312">
        <v>0.79732442955679117</v>
      </c>
      <c r="B268" s="314">
        <v>0.98180052942907725</v>
      </c>
      <c r="C268" s="313">
        <v>256</v>
      </c>
      <c r="D268" s="311">
        <v>111886.67601588648</v>
      </c>
    </row>
    <row r="269" spans="1:4">
      <c r="A269" s="312">
        <v>0.18731304403630944</v>
      </c>
      <c r="B269" s="314">
        <v>0.83658665839964219</v>
      </c>
      <c r="C269" s="313">
        <v>257</v>
      </c>
      <c r="D269" s="311">
        <v>249123.63947913377</v>
      </c>
    </row>
    <row r="270" spans="1:4">
      <c r="A270" s="312">
        <v>0.26579720425910458</v>
      </c>
      <c r="B270" s="314">
        <v>0.86270446589739957</v>
      </c>
      <c r="C270" s="313">
        <v>258</v>
      </c>
      <c r="D270" s="311">
        <v>278441.21911118669</v>
      </c>
    </row>
    <row r="271" spans="1:4">
      <c r="A271" s="312">
        <v>0.92037620761343797</v>
      </c>
      <c r="B271" s="314">
        <v>1.0029110994117536</v>
      </c>
      <c r="C271" s="313">
        <v>259</v>
      </c>
      <c r="D271" s="311">
        <v>-5109.6444968781434</v>
      </c>
    </row>
    <row r="272" spans="1:4">
      <c r="A272" s="312">
        <v>0.54553387435869638</v>
      </c>
      <c r="B272" s="314">
        <v>0.93309616624611369</v>
      </c>
      <c r="C272" s="313">
        <v>260</v>
      </c>
      <c r="D272" s="311">
        <v>207890.61697526346</v>
      </c>
    </row>
    <row r="273" spans="1:4">
      <c r="A273" s="312">
        <v>0.38227489283986449</v>
      </c>
      <c r="B273" s="314">
        <v>0.89512465891314374</v>
      </c>
      <c r="C273" s="313">
        <v>261</v>
      </c>
      <c r="D273" s="311">
        <v>186777.47196310433</v>
      </c>
    </row>
    <row r="274" spans="1:4">
      <c r="A274" s="312">
        <v>0.30343434405586978</v>
      </c>
      <c r="B274" s="314">
        <v>0.87384277128426657</v>
      </c>
      <c r="C274" s="313">
        <v>262</v>
      </c>
      <c r="D274" s="311">
        <v>131427.54946686351</v>
      </c>
    </row>
    <row r="275" spans="1:4">
      <c r="A275" s="312">
        <v>0.7446022630431457</v>
      </c>
      <c r="B275" s="314">
        <v>0.97232433086848213</v>
      </c>
      <c r="C275" s="313">
        <v>263</v>
      </c>
      <c r="D275" s="311">
        <v>323334.87868782762</v>
      </c>
    </row>
    <row r="276" spans="1:4">
      <c r="A276" s="312">
        <v>0.56294901392182428</v>
      </c>
      <c r="B276" s="314">
        <v>0.93678751547674732</v>
      </c>
      <c r="C276" s="313">
        <v>264</v>
      </c>
      <c r="D276" s="311">
        <v>691738.48406686285</v>
      </c>
    </row>
    <row r="277" spans="1:4">
      <c r="A277" s="312">
        <v>0.28582139700829923</v>
      </c>
      <c r="B277" s="314">
        <v>0.86872197019135955</v>
      </c>
      <c r="C277" s="313">
        <v>265</v>
      </c>
      <c r="D277" s="311">
        <v>10513.250209570164</v>
      </c>
    </row>
    <row r="278" spans="1:4">
      <c r="A278" s="312">
        <v>0.39577898763337049</v>
      </c>
      <c r="B278" s="314">
        <v>0.89854119701142499</v>
      </c>
      <c r="C278" s="313">
        <v>266</v>
      </c>
      <c r="D278" s="311">
        <v>620544.93819309399</v>
      </c>
    </row>
    <row r="279" spans="1:4">
      <c r="A279" s="312">
        <v>0.43230619627215705</v>
      </c>
      <c r="B279" s="314">
        <v>0.90750090703726105</v>
      </c>
      <c r="C279" s="313">
        <v>267</v>
      </c>
      <c r="D279" s="311">
        <v>-105670.25095312344</v>
      </c>
    </row>
    <row r="280" spans="1:4">
      <c r="A280" s="312">
        <v>0.38316790085476971</v>
      </c>
      <c r="B280" s="314">
        <v>0.89535243510760409</v>
      </c>
      <c r="C280" s="313">
        <v>268</v>
      </c>
      <c r="D280" s="311">
        <v>204030.37457181513</v>
      </c>
    </row>
    <row r="281" spans="1:4">
      <c r="A281" s="312">
        <v>0.47076117029015885</v>
      </c>
      <c r="B281" s="314">
        <v>0.91653324592071628</v>
      </c>
      <c r="C281" s="313">
        <v>269</v>
      </c>
      <c r="D281" s="311">
        <v>-71126.287150498014</v>
      </c>
    </row>
    <row r="282" spans="1:4">
      <c r="A282" s="312">
        <v>0.7254477471837768</v>
      </c>
      <c r="B282" s="314">
        <v>0.96879880737253776</v>
      </c>
      <c r="C282" s="313">
        <v>270</v>
      </c>
      <c r="D282" s="311">
        <v>708045.26848160522</v>
      </c>
    </row>
    <row r="283" spans="1:4">
      <c r="A283" s="312">
        <v>0.5167558450293539</v>
      </c>
      <c r="B283" s="314">
        <v>0.92686472241026407</v>
      </c>
      <c r="C283" s="313">
        <v>271</v>
      </c>
      <c r="D283" s="311">
        <v>512062.79547427665</v>
      </c>
    </row>
    <row r="284" spans="1:4">
      <c r="A284" s="312">
        <v>0.97818599062357747</v>
      </c>
      <c r="B284" s="314">
        <v>1.0167704930493147</v>
      </c>
      <c r="C284" s="313">
        <v>272</v>
      </c>
      <c r="D284" s="311">
        <v>268169.8483036845</v>
      </c>
    </row>
    <row r="285" spans="1:4">
      <c r="A285" s="312">
        <v>0.67987371120217688</v>
      </c>
      <c r="B285" s="314">
        <v>0.96021863449415112</v>
      </c>
      <c r="C285" s="313">
        <v>273</v>
      </c>
      <c r="D285" s="311">
        <v>371919.4203642325</v>
      </c>
    </row>
    <row r="286" spans="1:4">
      <c r="A286" s="312">
        <v>0.19275196416333296</v>
      </c>
      <c r="B286" s="314">
        <v>0.83855546985385487</v>
      </c>
      <c r="C286" s="313">
        <v>274</v>
      </c>
      <c r="D286" s="311">
        <v>-92314.797212524805</v>
      </c>
    </row>
    <row r="287" spans="1:4">
      <c r="A287" s="312">
        <v>0.64584271858661146</v>
      </c>
      <c r="B287" s="314">
        <v>0.95362242637585992</v>
      </c>
      <c r="C287" s="313">
        <v>275</v>
      </c>
      <c r="D287" s="311">
        <v>78559.027429585345</v>
      </c>
    </row>
    <row r="288" spans="1:4">
      <c r="A288" s="312">
        <v>0.39923527838893436</v>
      </c>
      <c r="B288" s="314">
        <v>0.89940623086932658</v>
      </c>
      <c r="C288" s="313">
        <v>276</v>
      </c>
      <c r="D288" s="311">
        <v>311227.37644736003</v>
      </c>
    </row>
    <row r="289" spans="1:4">
      <c r="A289" s="312">
        <v>0.96222496045604267</v>
      </c>
      <c r="B289" s="314">
        <v>1.0119615542852833</v>
      </c>
      <c r="C289" s="313">
        <v>277</v>
      </c>
      <c r="D289" s="311">
        <v>166593.11561856931</v>
      </c>
    </row>
    <row r="290" spans="1:4">
      <c r="A290" s="312">
        <v>0.53332487140414986</v>
      </c>
      <c r="B290" s="314">
        <v>0.93047307058174855</v>
      </c>
      <c r="C290" s="313">
        <v>278</v>
      </c>
      <c r="D290" s="311">
        <v>621346.26966485986</v>
      </c>
    </row>
    <row r="291" spans="1:4">
      <c r="A291" s="312">
        <v>0.89073564189632104</v>
      </c>
      <c r="B291" s="314">
        <v>0.99785074076873748</v>
      </c>
      <c r="C291" s="313">
        <v>279</v>
      </c>
      <c r="D291" s="311">
        <v>432961.99955240614</v>
      </c>
    </row>
    <row r="292" spans="1:4">
      <c r="A292" s="312">
        <v>0.16085053940573668</v>
      </c>
      <c r="B292" s="314">
        <v>0.82657138433857247</v>
      </c>
      <c r="C292" s="313">
        <v>280</v>
      </c>
      <c r="D292" s="311">
        <v>365088.77723929589</v>
      </c>
    </row>
    <row r="293" spans="1:4">
      <c r="A293" s="312">
        <v>9.2318047009352089E-2</v>
      </c>
      <c r="B293" s="314">
        <v>0.79588873151013062</v>
      </c>
      <c r="C293" s="313">
        <v>281</v>
      </c>
      <c r="D293" s="311">
        <v>-138412.9169138259</v>
      </c>
    </row>
    <row r="294" spans="1:4">
      <c r="A294" s="312">
        <v>0.89714680206809927</v>
      </c>
      <c r="B294" s="314">
        <v>0.99892072435774715</v>
      </c>
      <c r="C294" s="313">
        <v>282</v>
      </c>
      <c r="D294" s="311">
        <v>50302.24527303502</v>
      </c>
    </row>
    <row r="295" spans="1:4">
      <c r="A295" s="312">
        <v>0.57103908572642836</v>
      </c>
      <c r="B295" s="314">
        <v>0.93848286856724084</v>
      </c>
      <c r="C295" s="313">
        <v>283</v>
      </c>
      <c r="D295" s="311">
        <v>864995.06004840974</v>
      </c>
    </row>
    <row r="296" spans="1:4">
      <c r="A296" s="312">
        <v>0.71601453160533546</v>
      </c>
      <c r="B296" s="314">
        <v>0.96704545294254185</v>
      </c>
      <c r="C296" s="313">
        <v>284</v>
      </c>
      <c r="D296" s="311">
        <v>789078.91069860267</v>
      </c>
    </row>
    <row r="297" spans="1:4">
      <c r="A297" s="312">
        <v>0.98061782239706052</v>
      </c>
      <c r="B297" s="314">
        <v>1.0176439912932043</v>
      </c>
      <c r="C297" s="313">
        <v>285</v>
      </c>
      <c r="D297" s="311">
        <v>8435.3499779410195</v>
      </c>
    </row>
    <row r="298" spans="1:4">
      <c r="A298" s="312">
        <v>1.0745804560561623E-2</v>
      </c>
      <c r="B298" s="314">
        <v>0.7327147599599344</v>
      </c>
      <c r="C298" s="313">
        <v>286</v>
      </c>
      <c r="D298" s="311">
        <v>224933.97839976219</v>
      </c>
    </row>
    <row r="299" spans="1:4">
      <c r="A299" s="312">
        <v>4.45673039822575E-2</v>
      </c>
      <c r="B299" s="314">
        <v>0.76662426805014405</v>
      </c>
      <c r="C299" s="313">
        <v>287</v>
      </c>
      <c r="D299" s="311">
        <v>870692.09863996576</v>
      </c>
    </row>
    <row r="300" spans="1:4">
      <c r="A300" s="312">
        <v>0.56734764967321694</v>
      </c>
      <c r="B300" s="314">
        <v>0.93771079216568121</v>
      </c>
      <c r="C300" s="313">
        <v>288</v>
      </c>
      <c r="D300" s="311">
        <v>621055.55121330498</v>
      </c>
    </row>
    <row r="301" spans="1:4">
      <c r="A301" s="312">
        <v>0.94189167451137179</v>
      </c>
      <c r="B301" s="314">
        <v>1.0071488732750382</v>
      </c>
      <c r="C301" s="313">
        <v>289</v>
      </c>
      <c r="D301" s="311">
        <v>340364.57727703801</v>
      </c>
    </row>
    <row r="302" spans="1:4">
      <c r="A302" s="312">
        <v>0.43589719767125923</v>
      </c>
      <c r="B302" s="314">
        <v>0.90836093987721289</v>
      </c>
      <c r="C302" s="313">
        <v>290</v>
      </c>
      <c r="D302" s="311">
        <v>61083.222391838208</v>
      </c>
    </row>
    <row r="303" spans="1:4">
      <c r="A303" s="312">
        <v>0.86331146494520006</v>
      </c>
      <c r="B303" s="314">
        <v>0.99322974555084287</v>
      </c>
      <c r="C303" s="313">
        <v>291</v>
      </c>
      <c r="D303" s="311">
        <v>505135.34781791153</v>
      </c>
    </row>
    <row r="304" spans="1:4">
      <c r="A304" s="312">
        <v>0.77848100770146267</v>
      </c>
      <c r="B304" s="314">
        <v>0.97845067829102406</v>
      </c>
      <c r="C304" s="313">
        <v>292</v>
      </c>
      <c r="D304" s="311">
        <v>752649.03057869826</v>
      </c>
    </row>
    <row r="305" spans="1:4">
      <c r="A305" s="312">
        <v>0.86911497506046409</v>
      </c>
      <c r="B305" s="314">
        <v>0.99421369599200093</v>
      </c>
      <c r="C305" s="313">
        <v>293</v>
      </c>
      <c r="D305" s="311">
        <v>-109648.86792699469</v>
      </c>
    </row>
    <row r="306" spans="1:4">
      <c r="A306" s="312">
        <v>0.80106744797713947</v>
      </c>
      <c r="B306" s="314">
        <v>0.98246120751448518</v>
      </c>
      <c r="C306" s="313">
        <v>294</v>
      </c>
      <c r="D306" s="311">
        <v>165007.04093640437</v>
      </c>
    </row>
    <row r="307" spans="1:4">
      <c r="A307" s="312">
        <v>4.4671481107282363E-3</v>
      </c>
      <c r="B307" s="314">
        <v>0.72109305306693672</v>
      </c>
      <c r="C307" s="313">
        <v>295</v>
      </c>
      <c r="D307" s="311">
        <v>711337.07992762746</v>
      </c>
    </row>
    <row r="308" spans="1:4">
      <c r="A308" s="312">
        <v>0.30702772617055141</v>
      </c>
      <c r="B308" s="314">
        <v>0.8748690970022962</v>
      </c>
      <c r="C308" s="313">
        <v>296</v>
      </c>
      <c r="D308" s="311">
        <v>83607.580791826127</v>
      </c>
    </row>
    <row r="309" spans="1:4">
      <c r="A309" s="312">
        <v>0.61970247652732713</v>
      </c>
      <c r="B309" s="314">
        <v>0.9484367762536523</v>
      </c>
      <c r="C309" s="313">
        <v>297</v>
      </c>
      <c r="D309" s="311">
        <v>779818.17027558526</v>
      </c>
    </row>
    <row r="310" spans="1:4">
      <c r="A310" s="312">
        <v>0.49825424072346791</v>
      </c>
      <c r="B310" s="314">
        <v>0.92276644341064229</v>
      </c>
      <c r="C310" s="313">
        <v>298</v>
      </c>
      <c r="D310" s="311">
        <v>867024.56021896657</v>
      </c>
    </row>
    <row r="311" spans="1:4">
      <c r="A311" s="312">
        <v>0.5619720564785271</v>
      </c>
      <c r="B311" s="314">
        <v>0.93658196242318914</v>
      </c>
      <c r="C311" s="313">
        <v>299</v>
      </c>
      <c r="D311" s="311">
        <v>474443.08003746904</v>
      </c>
    </row>
    <row r="312" spans="1:4">
      <c r="A312" s="312">
        <v>0.98756980841993702</v>
      </c>
      <c r="B312" s="314">
        <v>1.0205017048372296</v>
      </c>
      <c r="C312" s="313">
        <v>300</v>
      </c>
      <c r="D312" s="311">
        <v>179199.85939193168</v>
      </c>
    </row>
    <row r="313" spans="1:4">
      <c r="A313" s="312">
        <v>0.39291680378646943</v>
      </c>
      <c r="B313" s="314">
        <v>0.89782199192349266</v>
      </c>
      <c r="C313" s="313">
        <v>301</v>
      </c>
      <c r="D313" s="311">
        <v>441854.16908652126</v>
      </c>
    </row>
    <row r="314" spans="1:4">
      <c r="A314" s="312">
        <v>0.63870017199805573</v>
      </c>
      <c r="B314" s="314">
        <v>0.95221608832720439</v>
      </c>
      <c r="C314" s="313">
        <v>302</v>
      </c>
      <c r="D314" s="311">
        <v>920094.60551179061</v>
      </c>
    </row>
    <row r="315" spans="1:4">
      <c r="A315" s="312">
        <v>0.11274768474543251</v>
      </c>
      <c r="B315" s="314">
        <v>0.80596881687276489</v>
      </c>
      <c r="C315" s="313">
        <v>303</v>
      </c>
      <c r="D315" s="311">
        <v>309719.20618559117</v>
      </c>
    </row>
    <row r="316" spans="1:4">
      <c r="A316" s="312">
        <v>0.68374052355539361</v>
      </c>
      <c r="B316" s="314">
        <v>0.96095758787806262</v>
      </c>
      <c r="C316" s="313">
        <v>304</v>
      </c>
      <c r="D316" s="311">
        <v>126658.91119583929</v>
      </c>
    </row>
    <row r="317" spans="1:4">
      <c r="A317" s="312">
        <v>4.3159499835654924E-2</v>
      </c>
      <c r="B317" s="314">
        <v>0.76556355151330069</v>
      </c>
      <c r="C317" s="313">
        <v>305</v>
      </c>
      <c r="D317" s="311">
        <v>339278.20223209728</v>
      </c>
    </row>
    <row r="318" spans="1:4">
      <c r="A318" s="312">
        <v>0.10587206405079064</v>
      </c>
      <c r="B318" s="314">
        <v>0.80268688016308776</v>
      </c>
      <c r="C318" s="313">
        <v>306</v>
      </c>
      <c r="D318" s="311">
        <v>1003954.9488047215</v>
      </c>
    </row>
    <row r="319" spans="1:4">
      <c r="A319" s="312">
        <v>0.38414950190522734</v>
      </c>
      <c r="B319" s="314">
        <v>0.89560250237634031</v>
      </c>
      <c r="C319" s="313">
        <v>307</v>
      </c>
      <c r="D319" s="311">
        <v>-107849.71746908128</v>
      </c>
    </row>
    <row r="320" spans="1:4">
      <c r="A320" s="312">
        <v>0.65110572841718262</v>
      </c>
      <c r="B320" s="314">
        <v>0.95465372156044548</v>
      </c>
      <c r="C320" s="313">
        <v>308</v>
      </c>
      <c r="D320" s="311">
        <v>326931.61800497095</v>
      </c>
    </row>
    <row r="321" spans="1:4">
      <c r="A321" s="312">
        <v>0.35951579410554924</v>
      </c>
      <c r="B321" s="314">
        <v>0.88922706638141824</v>
      </c>
      <c r="C321" s="313">
        <v>309</v>
      </c>
      <c r="D321" s="311">
        <v>288074.36616336228</v>
      </c>
    </row>
    <row r="322" spans="1:4">
      <c r="A322" s="312">
        <v>0.38852200435899009</v>
      </c>
      <c r="B322" s="314">
        <v>0.89671255514215042</v>
      </c>
      <c r="C322" s="313">
        <v>310</v>
      </c>
      <c r="D322" s="311">
        <v>446144.87689845869</v>
      </c>
    </row>
    <row r="323" spans="1:4">
      <c r="A323" s="312">
        <v>0.59276808617621013</v>
      </c>
      <c r="B323" s="314">
        <v>0.94297784513593086</v>
      </c>
      <c r="C323" s="313">
        <v>311</v>
      </c>
      <c r="D323" s="311">
        <v>692259.73206610885</v>
      </c>
    </row>
    <row r="324" spans="1:4">
      <c r="A324" s="312">
        <v>0.49491269313696007</v>
      </c>
      <c r="B324" s="314">
        <v>0.92201819395376039</v>
      </c>
      <c r="C324" s="313">
        <v>312</v>
      </c>
      <c r="D324" s="311">
        <v>631117.54283198086</v>
      </c>
    </row>
    <row r="325" spans="1:4">
      <c r="A325" s="312">
        <v>0.31914507692288374</v>
      </c>
      <c r="B325" s="314">
        <v>0.87828645268027672</v>
      </c>
      <c r="C325" s="313">
        <v>313</v>
      </c>
      <c r="D325" s="311">
        <v>691864.18357828702</v>
      </c>
    </row>
    <row r="326" spans="1:4">
      <c r="A326" s="312">
        <v>2.6888420052372242E-2</v>
      </c>
      <c r="B326" s="314">
        <v>0.75174958976175832</v>
      </c>
      <c r="C326" s="313">
        <v>314</v>
      </c>
      <c r="D326" s="311">
        <v>879187.3450459966</v>
      </c>
    </row>
    <row r="327" spans="1:4">
      <c r="A327" s="312">
        <v>0.23126808216475669</v>
      </c>
      <c r="B327" s="314">
        <v>0.85176866667203222</v>
      </c>
      <c r="C327" s="313">
        <v>315</v>
      </c>
      <c r="D327" s="311">
        <v>304276.53519807314</v>
      </c>
    </row>
    <row r="328" spans="1:4">
      <c r="A328" s="312">
        <v>0.32004233372462687</v>
      </c>
      <c r="B328" s="314">
        <v>0.87853689748750063</v>
      </c>
      <c r="C328" s="313">
        <v>316</v>
      </c>
      <c r="D328" s="311">
        <v>258491.45607365179</v>
      </c>
    </row>
    <row r="329" spans="1:4">
      <c r="A329" s="312">
        <v>0.65710476074972446</v>
      </c>
      <c r="B329" s="314">
        <v>0.95582417138851761</v>
      </c>
      <c r="C329" s="313">
        <v>317</v>
      </c>
      <c r="D329" s="311">
        <v>412900.03773558792</v>
      </c>
    </row>
    <row r="330" spans="1:4">
      <c r="A330" s="312">
        <v>0.9881781230382054</v>
      </c>
      <c r="B330" s="314">
        <v>1.0207863839639997</v>
      </c>
      <c r="C330" s="313">
        <v>318</v>
      </c>
      <c r="D330" s="311">
        <v>224198.83337061224</v>
      </c>
    </row>
    <row r="331" spans="1:4">
      <c r="A331" s="312">
        <v>2.8535103466121869E-3</v>
      </c>
      <c r="B331" s="314">
        <v>0.71685830842655007</v>
      </c>
      <c r="C331" s="313">
        <v>319</v>
      </c>
      <c r="D331" s="311">
        <v>53455.820088907145</v>
      </c>
    </row>
    <row r="332" spans="1:4">
      <c r="A332" s="312">
        <v>0.65189063658732704</v>
      </c>
      <c r="B332" s="314">
        <v>0.95480716790209463</v>
      </c>
      <c r="C332" s="313">
        <v>320</v>
      </c>
      <c r="D332" s="311">
        <v>665586.66367494408</v>
      </c>
    </row>
    <row r="333" spans="1:4">
      <c r="A333" s="312">
        <v>0.18884056713083175</v>
      </c>
      <c r="B333" s="314">
        <v>0.83714245429354117</v>
      </c>
      <c r="C333" s="313">
        <v>321</v>
      </c>
      <c r="D333" s="311">
        <v>538649.37614299194</v>
      </c>
    </row>
    <row r="334" spans="1:4">
      <c r="A334" s="312">
        <v>8.7028619347011227E-2</v>
      </c>
      <c r="B334" s="314">
        <v>0.79310120802762119</v>
      </c>
      <c r="C334" s="313">
        <v>322</v>
      </c>
      <c r="D334" s="311">
        <v>274426.82839096477</v>
      </c>
    </row>
    <row r="335" spans="1:4">
      <c r="A335" s="312">
        <v>0.41670983371335157</v>
      </c>
      <c r="B335" s="314">
        <v>0.90372350708543869</v>
      </c>
      <c r="C335" s="313">
        <v>323</v>
      </c>
      <c r="D335" s="311">
        <v>123788.90826875158</v>
      </c>
    </row>
    <row r="336" spans="1:4">
      <c r="A336" s="312">
        <v>0.71865811932118695</v>
      </c>
      <c r="B336" s="314">
        <v>0.9675379762317875</v>
      </c>
      <c r="C336" s="313">
        <v>324</v>
      </c>
      <c r="D336" s="311">
        <v>229455.83250929415</v>
      </c>
    </row>
    <row r="337" spans="1:4">
      <c r="A337" s="312">
        <v>0.12893603670173814</v>
      </c>
      <c r="B337" s="314">
        <v>0.81332126856540332</v>
      </c>
      <c r="C337" s="313">
        <v>325</v>
      </c>
      <c r="D337" s="311">
        <v>125960.29180746456</v>
      </c>
    </row>
    <row r="338" spans="1:4">
      <c r="A338" s="312">
        <v>0.77991967527686623</v>
      </c>
      <c r="B338" s="314">
        <v>0.97870785415552652</v>
      </c>
      <c r="C338" s="313">
        <v>326</v>
      </c>
      <c r="D338" s="311">
        <v>655547.28061268129</v>
      </c>
    </row>
    <row r="339" spans="1:4">
      <c r="A339" s="312">
        <v>0.34215976123728764</v>
      </c>
      <c r="B339" s="314">
        <v>0.88460299229621686</v>
      </c>
      <c r="C339" s="313">
        <v>327</v>
      </c>
      <c r="D339" s="311">
        <v>580793.86772518372</v>
      </c>
    </row>
    <row r="340" spans="1:4">
      <c r="A340" s="312">
        <v>0.12207859425374257</v>
      </c>
      <c r="B340" s="314">
        <v>0.81026661156410629</v>
      </c>
      <c r="C340" s="313">
        <v>328</v>
      </c>
      <c r="D340" s="311">
        <v>13638.831876237178</v>
      </c>
    </row>
    <row r="341" spans="1:4">
      <c r="A341" s="312">
        <v>0.6593683362004229</v>
      </c>
      <c r="B341" s="314">
        <v>0.95626442042377324</v>
      </c>
      <c r="C341" s="313">
        <v>329</v>
      </c>
      <c r="D341" s="311">
        <v>607296.98009374156</v>
      </c>
    </row>
    <row r="342" spans="1:4">
      <c r="A342" s="312">
        <v>0.67572303367867603</v>
      </c>
      <c r="B342" s="314">
        <v>0.95942309175741425</v>
      </c>
      <c r="C342" s="313">
        <v>330</v>
      </c>
      <c r="D342" s="311">
        <v>811606.68565195333</v>
      </c>
    </row>
    <row r="343" spans="1:4">
      <c r="A343" s="312">
        <v>0.26103608391675737</v>
      </c>
      <c r="B343" s="314">
        <v>0.86124065067193456</v>
      </c>
      <c r="C343" s="313">
        <v>331</v>
      </c>
      <c r="D343" s="311">
        <v>111761.02386431093</v>
      </c>
    </row>
    <row r="344" spans="1:4">
      <c r="A344" s="312">
        <v>0.5787170254811016</v>
      </c>
      <c r="B344" s="314">
        <v>0.9400807830357446</v>
      </c>
      <c r="C344" s="313">
        <v>332</v>
      </c>
      <c r="D344" s="311">
        <v>568268.03769354546</v>
      </c>
    </row>
    <row r="345" spans="1:4">
      <c r="A345" s="312">
        <v>0.43176422140845316</v>
      </c>
      <c r="B345" s="314">
        <v>0.9073707960808699</v>
      </c>
      <c r="C345" s="313">
        <v>333</v>
      </c>
      <c r="D345" s="311">
        <v>-75622.124190100934</v>
      </c>
    </row>
    <row r="346" spans="1:4">
      <c r="A346" s="312">
        <v>5.7734392909196131E-2</v>
      </c>
      <c r="B346" s="314">
        <v>0.7758300899271231</v>
      </c>
      <c r="C346" s="313">
        <v>334</v>
      </c>
      <c r="D346" s="311">
        <v>153469.25521748327</v>
      </c>
    </row>
    <row r="347" spans="1:4">
      <c r="A347" s="312">
        <v>0.16234426438215122</v>
      </c>
      <c r="B347" s="314">
        <v>0.82715772348310224</v>
      </c>
      <c r="C347" s="313">
        <v>335</v>
      </c>
      <c r="D347" s="311">
        <v>265928.09313259646</v>
      </c>
    </row>
    <row r="348" spans="1:4">
      <c r="A348" s="312">
        <v>0.49060214356456278</v>
      </c>
      <c r="B348" s="314">
        <v>0.92104922163482628</v>
      </c>
      <c r="C348" s="313">
        <v>336</v>
      </c>
      <c r="D348" s="311">
        <v>226625.86089091655</v>
      </c>
    </row>
    <row r="349" spans="1:4">
      <c r="A349" s="312">
        <v>0.46610696092249926</v>
      </c>
      <c r="B349" s="314">
        <v>0.91546020250476889</v>
      </c>
      <c r="C349" s="313">
        <v>337</v>
      </c>
      <c r="D349" s="311">
        <v>771347.39041606849</v>
      </c>
    </row>
    <row r="350" spans="1:4">
      <c r="A350" s="312">
        <v>0.58837005854665303</v>
      </c>
      <c r="B350" s="314">
        <v>0.94207478300711989</v>
      </c>
      <c r="C350" s="313">
        <v>338</v>
      </c>
      <c r="D350" s="311">
        <v>565627.1329633554</v>
      </c>
    </row>
    <row r="351" spans="1:4">
      <c r="A351" s="312">
        <v>0.12250661436651478</v>
      </c>
      <c r="B351" s="314">
        <v>0.81045974546842792</v>
      </c>
      <c r="C351" s="313">
        <v>339</v>
      </c>
      <c r="D351" s="311">
        <v>799585.58445254457</v>
      </c>
    </row>
    <row r="352" spans="1:4">
      <c r="A352" s="312">
        <v>0.16085817266772651</v>
      </c>
      <c r="B352" s="314">
        <v>0.8265743875646685</v>
      </c>
      <c r="C352" s="313">
        <v>340</v>
      </c>
      <c r="D352" s="311">
        <v>472328.77159645013</v>
      </c>
    </row>
    <row r="353" spans="1:4">
      <c r="A353" s="312">
        <v>0.79357435144516453</v>
      </c>
      <c r="B353" s="314">
        <v>0.98113704824286208</v>
      </c>
      <c r="C353" s="313">
        <v>341</v>
      </c>
      <c r="D353" s="311">
        <v>334874.7192726233</v>
      </c>
    </row>
    <row r="354" spans="1:4">
      <c r="A354" s="312">
        <v>0.12811635922502307</v>
      </c>
      <c r="B354" s="314">
        <v>0.81296048894526085</v>
      </c>
      <c r="C354" s="313">
        <v>342</v>
      </c>
      <c r="D354" s="311">
        <v>551804.14144303882</v>
      </c>
    </row>
    <row r="355" spans="1:4">
      <c r="A355" s="312">
        <v>0.21049592064956091</v>
      </c>
      <c r="B355" s="314">
        <v>0.84479251480850437</v>
      </c>
      <c r="C355" s="313">
        <v>343</v>
      </c>
      <c r="D355" s="311">
        <v>450905.60118731856</v>
      </c>
    </row>
    <row r="356" spans="1:4">
      <c r="A356" s="312">
        <v>0.68993794419208931</v>
      </c>
      <c r="B356" s="314">
        <v>0.96213757917723863</v>
      </c>
      <c r="C356" s="313">
        <v>344</v>
      </c>
      <c r="D356" s="311">
        <v>22465.363702888601</v>
      </c>
    </row>
    <row r="357" spans="1:4">
      <c r="A357" s="312">
        <v>0.88783194987322001</v>
      </c>
      <c r="B357" s="314">
        <v>0.99736486551506331</v>
      </c>
      <c r="C357" s="313">
        <v>345</v>
      </c>
      <c r="D357" s="311">
        <v>568733.11114076502</v>
      </c>
    </row>
    <row r="358" spans="1:4">
      <c r="A358" s="312">
        <v>0.7310743356535444</v>
      </c>
      <c r="B358" s="314">
        <v>0.96983919863627066</v>
      </c>
      <c r="C358" s="313">
        <v>346</v>
      </c>
      <c r="D358" s="311">
        <v>326520.52866231115</v>
      </c>
    </row>
    <row r="359" spans="1:4">
      <c r="A359" s="312">
        <v>8.4501136655763087E-2</v>
      </c>
      <c r="B359" s="314">
        <v>0.79173932591954832</v>
      </c>
      <c r="C359" s="313">
        <v>347</v>
      </c>
      <c r="D359" s="311">
        <v>470427.51042005327</v>
      </c>
    </row>
    <row r="360" spans="1:4">
      <c r="A360" s="312">
        <v>0.19801758919206824</v>
      </c>
      <c r="B360" s="314">
        <v>0.84043525710265499</v>
      </c>
      <c r="C360" s="313">
        <v>348</v>
      </c>
      <c r="D360" s="311">
        <v>639271.65700573754</v>
      </c>
    </row>
    <row r="361" spans="1:4">
      <c r="A361" s="312">
        <v>0.79647264059504763</v>
      </c>
      <c r="B361" s="314">
        <v>0.98164996416760397</v>
      </c>
      <c r="C361" s="313">
        <v>349</v>
      </c>
      <c r="D361" s="311">
        <v>35132.094281801721</v>
      </c>
    </row>
    <row r="362" spans="1:4">
      <c r="A362" s="312">
        <v>0.23502210814338298</v>
      </c>
      <c r="B362" s="314">
        <v>0.85299548971450256</v>
      </c>
      <c r="C362" s="313">
        <v>350</v>
      </c>
      <c r="D362" s="311">
        <v>532954.70581654832</v>
      </c>
    </row>
    <row r="363" spans="1:4">
      <c r="A363" s="312">
        <v>0.35702729929423282</v>
      </c>
      <c r="B363" s="314">
        <v>0.88857103364929935</v>
      </c>
      <c r="C363" s="313">
        <v>351</v>
      </c>
      <c r="D363" s="311">
        <v>596645.32663744292</v>
      </c>
    </row>
    <row r="364" spans="1:4">
      <c r="A364" s="312">
        <v>0.68020925300745494</v>
      </c>
      <c r="B364" s="314">
        <v>0.96028284013884391</v>
      </c>
      <c r="C364" s="313">
        <v>352</v>
      </c>
      <c r="D364" s="311">
        <v>567700.74864253704</v>
      </c>
    </row>
    <row r="365" spans="1:4">
      <c r="A365" s="312">
        <v>0.76753558054018423</v>
      </c>
      <c r="B365" s="314">
        <v>0.97648624342792378</v>
      </c>
      <c r="C365" s="313">
        <v>353</v>
      </c>
      <c r="D365" s="311">
        <v>438327.90634222375</v>
      </c>
    </row>
    <row r="366" spans="1:4">
      <c r="A366" s="312">
        <v>0.80330795308089253</v>
      </c>
      <c r="B366" s="314">
        <v>0.98285593949860095</v>
      </c>
      <c r="C366" s="313">
        <v>354</v>
      </c>
      <c r="D366" s="311">
        <v>591397.10550391255</v>
      </c>
    </row>
    <row r="367" spans="1:4">
      <c r="A367" s="312">
        <v>1.5362469653527722E-2</v>
      </c>
      <c r="B367" s="314">
        <v>0.73911603159870554</v>
      </c>
      <c r="C367" s="313">
        <v>355</v>
      </c>
      <c r="D367" s="311">
        <v>475007.64885944431</v>
      </c>
    </row>
    <row r="368" spans="1:4">
      <c r="A368" s="312">
        <v>0.59734903437916365</v>
      </c>
      <c r="B368" s="314">
        <v>0.94391491205318467</v>
      </c>
      <c r="C368" s="313">
        <v>356</v>
      </c>
      <c r="D368" s="311">
        <v>-20663.792970619863</v>
      </c>
    </row>
    <row r="369" spans="1:4">
      <c r="A369" s="312">
        <v>0.98422702237012805</v>
      </c>
      <c r="B369" s="314">
        <v>1.0190486101683394</v>
      </c>
      <c r="C369" s="313">
        <v>357</v>
      </c>
      <c r="D369" s="311">
        <v>222771.30570342997</v>
      </c>
    </row>
    <row r="370" spans="1:4">
      <c r="A370" s="312">
        <v>0.55664198338551552</v>
      </c>
      <c r="B370" s="314">
        <v>0.93545734829340699</v>
      </c>
      <c r="C370" s="313">
        <v>358</v>
      </c>
      <c r="D370" s="311">
        <v>195717.93927479885</v>
      </c>
    </row>
    <row r="371" spans="1:4">
      <c r="A371" s="312">
        <v>0.17044550119227242</v>
      </c>
      <c r="B371" s="314">
        <v>0.83029178701173123</v>
      </c>
      <c r="C371" s="313">
        <v>359</v>
      </c>
      <c r="D371" s="311">
        <v>153007.26398976636</v>
      </c>
    </row>
    <row r="372" spans="1:4">
      <c r="A372" s="312">
        <v>0.79436048138037307</v>
      </c>
      <c r="B372" s="314">
        <v>0.98127626364338871</v>
      </c>
      <c r="C372" s="313">
        <v>360</v>
      </c>
      <c r="D372" s="311">
        <v>208731.72169423662</v>
      </c>
    </row>
    <row r="373" spans="1:4">
      <c r="A373" s="312">
        <v>0.33635401855940306</v>
      </c>
      <c r="B373" s="314">
        <v>0.88303012640969303</v>
      </c>
      <c r="C373" s="313">
        <v>361</v>
      </c>
      <c r="D373" s="311">
        <v>107345.35051315953</v>
      </c>
    </row>
    <row r="374" spans="1:4">
      <c r="A374" s="312">
        <v>0.90139290623784951</v>
      </c>
      <c r="B374" s="314">
        <v>0.99962726996920814</v>
      </c>
      <c r="C374" s="313">
        <v>362</v>
      </c>
      <c r="D374" s="311">
        <v>39141.414168016752</v>
      </c>
    </row>
    <row r="375" spans="1:4">
      <c r="A375" s="312">
        <v>0.45518197714664732</v>
      </c>
      <c r="B375" s="314">
        <v>0.91292016705353318</v>
      </c>
      <c r="C375" s="313">
        <v>363</v>
      </c>
      <c r="D375" s="311">
        <v>598414.39123507333</v>
      </c>
    </row>
    <row r="376" spans="1:4">
      <c r="A376" s="312">
        <v>0.38738707859808541</v>
      </c>
      <c r="B376" s="314">
        <v>0.89642503291517883</v>
      </c>
      <c r="C376" s="313">
        <v>364</v>
      </c>
      <c r="D376" s="311">
        <v>948069.75773902843</v>
      </c>
    </row>
    <row r="377" spans="1:4">
      <c r="A377" s="312">
        <v>0.42447969548990072</v>
      </c>
      <c r="B377" s="314">
        <v>0.9056140226927516</v>
      </c>
      <c r="C377" s="313">
        <v>365</v>
      </c>
      <c r="D377" s="311">
        <v>59183.162836180069</v>
      </c>
    </row>
    <row r="378" spans="1:4">
      <c r="A378" s="312">
        <v>0.99687720722230633</v>
      </c>
      <c r="B378" s="314">
        <v>1.0262326498498338</v>
      </c>
      <c r="C378" s="313">
        <v>366</v>
      </c>
      <c r="D378" s="311">
        <v>497705.57423169166</v>
      </c>
    </row>
    <row r="379" spans="1:4">
      <c r="A379" s="312">
        <v>0.28485513701928233</v>
      </c>
      <c r="B379" s="314">
        <v>0.86843653440854673</v>
      </c>
      <c r="C379" s="313">
        <v>367</v>
      </c>
      <c r="D379" s="311">
        <v>328781.16570195858</v>
      </c>
    </row>
    <row r="380" spans="1:4">
      <c r="A380" s="312">
        <v>0.73250172376320977</v>
      </c>
      <c r="B380" s="314">
        <v>0.9701024943258777</v>
      </c>
      <c r="C380" s="313">
        <v>368</v>
      </c>
      <c r="D380" s="311">
        <v>471666.63125493773</v>
      </c>
    </row>
    <row r="381" spans="1:4">
      <c r="A381" s="312">
        <v>0.68354191307284629</v>
      </c>
      <c r="B381" s="314">
        <v>0.9609196841156098</v>
      </c>
      <c r="C381" s="313">
        <v>369</v>
      </c>
      <c r="D381" s="311">
        <v>22756.275471546454</v>
      </c>
    </row>
    <row r="382" spans="1:4">
      <c r="A382" s="312">
        <v>0.57674004745252028</v>
      </c>
      <c r="B382" s="314">
        <v>0.93967035750786865</v>
      </c>
      <c r="C382" s="313">
        <v>370</v>
      </c>
      <c r="D382" s="311">
        <v>121679.52120714122</v>
      </c>
    </row>
    <row r="383" spans="1:4">
      <c r="A383" s="312">
        <v>0.70818972118669776</v>
      </c>
      <c r="B383" s="314">
        <v>0.96558227011592179</v>
      </c>
      <c r="C383" s="313">
        <v>371</v>
      </c>
      <c r="D383" s="311">
        <v>911037.13205242995</v>
      </c>
    </row>
    <row r="384" spans="1:4">
      <c r="A384" s="312">
        <v>0.9692176305836705</v>
      </c>
      <c r="B384" s="314">
        <v>1.0139102787262815</v>
      </c>
      <c r="C384" s="313">
        <v>372</v>
      </c>
      <c r="D384" s="311">
        <v>359059.17408080748</v>
      </c>
    </row>
    <row r="385" spans="1:4">
      <c r="A385" s="312">
        <v>0.88419758304432405</v>
      </c>
      <c r="B385" s="314">
        <v>0.99675560535255503</v>
      </c>
      <c r="C385" s="313">
        <v>373</v>
      </c>
      <c r="D385" s="311">
        <v>353699.91589292302</v>
      </c>
    </row>
    <row r="386" spans="1:4">
      <c r="A386" s="312">
        <v>0.21844246742620133</v>
      </c>
      <c r="B386" s="314">
        <v>0.84750026685289337</v>
      </c>
      <c r="C386" s="313">
        <v>374</v>
      </c>
      <c r="D386" s="311">
        <v>288601.99790032161</v>
      </c>
    </row>
    <row r="387" spans="1:4">
      <c r="A387" s="312">
        <v>0.38191068069993184</v>
      </c>
      <c r="B387" s="314">
        <v>0.89503168432054014</v>
      </c>
      <c r="C387" s="313">
        <v>375</v>
      </c>
      <c r="D387" s="311">
        <v>201230.55264844</v>
      </c>
    </row>
    <row r="388" spans="1:4">
      <c r="A388" s="312">
        <v>0.54605306464866032</v>
      </c>
      <c r="B388" s="314">
        <v>0.9332070598965565</v>
      </c>
      <c r="C388" s="313">
        <v>376</v>
      </c>
      <c r="D388" s="311">
        <v>583154.60713638761</v>
      </c>
    </row>
    <row r="389" spans="1:4">
      <c r="A389" s="312">
        <v>0.27508310149745518</v>
      </c>
      <c r="B389" s="314">
        <v>0.86552219062340707</v>
      </c>
      <c r="C389" s="313">
        <v>377</v>
      </c>
      <c r="D389" s="311">
        <v>745671.52806504839</v>
      </c>
    </row>
    <row r="390" spans="1:4">
      <c r="A390" s="312">
        <v>0.71201414603483026</v>
      </c>
      <c r="B390" s="314">
        <v>0.96629841426967</v>
      </c>
      <c r="C390" s="313">
        <v>378</v>
      </c>
      <c r="D390" s="311">
        <v>738892.12554636924</v>
      </c>
    </row>
    <row r="391" spans="1:4">
      <c r="A391" s="312">
        <v>0.59623396550620456</v>
      </c>
      <c r="B391" s="314">
        <v>0.94368714825354783</v>
      </c>
      <c r="C391" s="313">
        <v>379</v>
      </c>
      <c r="D391" s="311">
        <v>946455.53165636165</v>
      </c>
    </row>
    <row r="392" spans="1:4">
      <c r="A392" s="312">
        <v>0.62315518365350653</v>
      </c>
      <c r="B392" s="314">
        <v>0.94912790464634467</v>
      </c>
      <c r="C392" s="313">
        <v>380</v>
      </c>
      <c r="D392" s="311">
        <v>453191.7565589908</v>
      </c>
    </row>
    <row r="393" spans="1:4">
      <c r="A393" s="312">
        <v>0.36015815466087497</v>
      </c>
      <c r="B393" s="314">
        <v>0.88939604053845001</v>
      </c>
      <c r="C393" s="313">
        <v>381</v>
      </c>
      <c r="D393" s="311">
        <v>548275.15863729804</v>
      </c>
    </row>
    <row r="394" spans="1:4">
      <c r="A394" s="312">
        <v>3.0603992828468374E-2</v>
      </c>
      <c r="B394" s="314">
        <v>0.75520943656977879</v>
      </c>
      <c r="C394" s="313">
        <v>382</v>
      </c>
      <c r="D394" s="311">
        <v>137868.22193150222</v>
      </c>
    </row>
    <row r="395" spans="1:4">
      <c r="A395" s="312">
        <v>0.27097998944567336</v>
      </c>
      <c r="B395" s="314">
        <v>0.86428309648567214</v>
      </c>
      <c r="C395" s="313">
        <v>383</v>
      </c>
      <c r="D395" s="311">
        <v>582613.72218582779</v>
      </c>
    </row>
    <row r="396" spans="1:4">
      <c r="A396" s="312">
        <v>0.23718836092934514</v>
      </c>
      <c r="B396" s="314">
        <v>0.85369896969443326</v>
      </c>
      <c r="C396" s="313">
        <v>384</v>
      </c>
      <c r="D396" s="311">
        <v>1085290.4033760768</v>
      </c>
    </row>
    <row r="397" spans="1:4">
      <c r="A397" s="312">
        <v>4.9332180045518204E-2</v>
      </c>
      <c r="B397" s="314">
        <v>0.77009538463813143</v>
      </c>
      <c r="C397" s="313">
        <v>385</v>
      </c>
      <c r="D397" s="311">
        <v>903622.53064882755</v>
      </c>
    </row>
    <row r="398" spans="1:4">
      <c r="A398" s="312">
        <v>0.92827738211864619</v>
      </c>
      <c r="B398" s="314">
        <v>1.0043916433539</v>
      </c>
      <c r="C398" s="313">
        <v>386</v>
      </c>
      <c r="D398" s="311">
        <v>780841.30161395227</v>
      </c>
    </row>
    <row r="399" spans="1:4">
      <c r="A399" s="312">
        <v>0.9771433869777848</v>
      </c>
      <c r="B399" s="314">
        <v>1.0164109876489915</v>
      </c>
      <c r="C399" s="313">
        <v>387</v>
      </c>
      <c r="D399" s="311">
        <v>891655.67453162512</v>
      </c>
    </row>
    <row r="400" spans="1:4">
      <c r="A400" s="312">
        <v>0.69439832620103803</v>
      </c>
      <c r="B400" s="314">
        <v>0.96298356111667616</v>
      </c>
      <c r="C400" s="313">
        <v>388</v>
      </c>
      <c r="D400" s="311">
        <v>-26129.347712086048</v>
      </c>
    </row>
    <row r="401" spans="1:4">
      <c r="A401" s="312">
        <v>0.62399484981509057</v>
      </c>
      <c r="B401" s="314">
        <v>0.94929569098462863</v>
      </c>
      <c r="C401" s="313">
        <v>389</v>
      </c>
      <c r="D401" s="311">
        <v>452512.20576629695</v>
      </c>
    </row>
    <row r="402" spans="1:4">
      <c r="A402" s="312">
        <v>0.6929563836053021</v>
      </c>
      <c r="B402" s="314">
        <v>0.96271037190497089</v>
      </c>
      <c r="C402" s="313">
        <v>390</v>
      </c>
      <c r="D402" s="311">
        <v>343904.37334457366</v>
      </c>
    </row>
    <row r="403" spans="1:4">
      <c r="A403" s="312">
        <v>6.9337846810556547E-2</v>
      </c>
      <c r="B403" s="314">
        <v>0.78310161134253886</v>
      </c>
      <c r="C403" s="313">
        <v>391</v>
      </c>
      <c r="D403" s="311">
        <v>200966.60149896634</v>
      </c>
    </row>
    <row r="404" spans="1:4">
      <c r="A404" s="312">
        <v>0.26004254408504468</v>
      </c>
      <c r="B404" s="314">
        <v>0.86093350590430195</v>
      </c>
      <c r="C404" s="313">
        <v>392</v>
      </c>
      <c r="D404" s="311">
        <v>705018.46811813931</v>
      </c>
    </row>
    <row r="405" spans="1:4">
      <c r="A405" s="312">
        <v>7.1020554316072904E-2</v>
      </c>
      <c r="B405" s="314">
        <v>0.78410393158217517</v>
      </c>
      <c r="C405" s="313">
        <v>393</v>
      </c>
      <c r="D405" s="311">
        <v>193244.83204291016</v>
      </c>
    </row>
    <row r="406" spans="1:4">
      <c r="A406" s="312">
        <v>0.700139986054653</v>
      </c>
      <c r="B406" s="314">
        <v>0.96406856783456685</v>
      </c>
      <c r="C406" s="313">
        <v>394</v>
      </c>
      <c r="D406" s="311">
        <v>392629.28135357634</v>
      </c>
    </row>
    <row r="407" spans="1:4">
      <c r="A407" s="312">
        <v>0.72389664574435053</v>
      </c>
      <c r="B407" s="314">
        <v>0.96851129023426397</v>
      </c>
      <c r="C407" s="313">
        <v>395</v>
      </c>
      <c r="D407" s="311">
        <v>275113.78912426648</v>
      </c>
    </row>
    <row r="408" spans="1:4">
      <c r="A408" s="312">
        <v>0.43608699997237987</v>
      </c>
      <c r="B408" s="314">
        <v>0.90840629814285501</v>
      </c>
      <c r="C408" s="313">
        <v>396</v>
      </c>
      <c r="D408" s="311">
        <v>-54210.113227862399</v>
      </c>
    </row>
    <row r="409" spans="1:4">
      <c r="A409" s="312">
        <v>0.40392748101583198</v>
      </c>
      <c r="B409" s="314">
        <v>0.9005746162145043</v>
      </c>
      <c r="C409" s="313">
        <v>397</v>
      </c>
      <c r="D409" s="311">
        <v>164728.12401809986</v>
      </c>
    </row>
    <row r="410" spans="1:4">
      <c r="A410" s="312">
        <v>3.206354366398112E-2</v>
      </c>
      <c r="B410" s="314">
        <v>0.75651061435326028</v>
      </c>
      <c r="C410" s="313">
        <v>398</v>
      </c>
      <c r="D410" s="311">
        <v>789111.87727406202</v>
      </c>
    </row>
    <row r="411" spans="1:4">
      <c r="A411" s="312">
        <v>0.73939448829849053</v>
      </c>
      <c r="B411" s="314">
        <v>0.97137033684047358</v>
      </c>
      <c r="C411" s="313">
        <v>399</v>
      </c>
      <c r="D411" s="311">
        <v>71408.57407569536</v>
      </c>
    </row>
    <row r="412" spans="1:4">
      <c r="A412" s="312">
        <v>0.94594600228651804</v>
      </c>
      <c r="B412" s="314">
        <v>1.0080312091287225</v>
      </c>
      <c r="C412" s="313">
        <v>400</v>
      </c>
      <c r="D412" s="311">
        <v>331683.57667195704</v>
      </c>
    </row>
    <row r="413" spans="1:4">
      <c r="A413" s="312">
        <v>0.47560276377171462</v>
      </c>
      <c r="B413" s="314">
        <v>0.91764387725861152</v>
      </c>
      <c r="C413" s="313">
        <v>401</v>
      </c>
      <c r="D413" s="311">
        <v>122287.71120190877</v>
      </c>
    </row>
    <row r="414" spans="1:4">
      <c r="A414" s="312">
        <v>0.10900982463081532</v>
      </c>
      <c r="B414" s="314">
        <v>0.80419744977616092</v>
      </c>
      <c r="C414" s="313">
        <v>402</v>
      </c>
      <c r="D414" s="311">
        <v>181853.85385351581</v>
      </c>
    </row>
    <row r="415" spans="1:4">
      <c r="A415" s="312">
        <v>0.26701349125087592</v>
      </c>
      <c r="B415" s="314">
        <v>0.86307630850268524</v>
      </c>
      <c r="C415" s="313">
        <v>403</v>
      </c>
      <c r="D415" s="311">
        <v>493117.75354057504</v>
      </c>
    </row>
    <row r="416" spans="1:4">
      <c r="A416" s="312">
        <v>0.87773748242227567</v>
      </c>
      <c r="B416" s="314">
        <v>0.99566954406305452</v>
      </c>
      <c r="C416" s="313">
        <v>404</v>
      </c>
      <c r="D416" s="311">
        <v>71040.755291703856</v>
      </c>
    </row>
    <row r="417" spans="1:4">
      <c r="A417" s="312">
        <v>0.99100019708391851</v>
      </c>
      <c r="B417" s="314">
        <v>1.0222148907406425</v>
      </c>
      <c r="C417" s="313">
        <v>405</v>
      </c>
      <c r="D417" s="311">
        <v>467279.77370413649</v>
      </c>
    </row>
    <row r="418" spans="1:4">
      <c r="A418" s="312">
        <v>0.76958467974979938</v>
      </c>
      <c r="B418" s="314">
        <v>0.97685506679668066</v>
      </c>
      <c r="C418" s="313">
        <v>406</v>
      </c>
      <c r="D418" s="311">
        <v>614139.76826424128</v>
      </c>
    </row>
    <row r="419" spans="1:4">
      <c r="A419" s="312">
        <v>0.43515335079093276</v>
      </c>
      <c r="B419" s="314">
        <v>0.90818308278911675</v>
      </c>
      <c r="C419" s="313">
        <v>407</v>
      </c>
      <c r="D419" s="311">
        <v>521471.54929392855</v>
      </c>
    </row>
    <row r="420" spans="1:4">
      <c r="A420" s="312">
        <v>0.2338784494545636</v>
      </c>
      <c r="B420" s="314">
        <v>0.85262278434154326</v>
      </c>
      <c r="C420" s="313">
        <v>408</v>
      </c>
      <c r="D420" s="311">
        <v>458238.84247437213</v>
      </c>
    </row>
    <row r="421" spans="1:4">
      <c r="A421" s="312">
        <v>0.14857322327106703</v>
      </c>
      <c r="B421" s="314">
        <v>0.82164507821766919</v>
      </c>
      <c r="C421" s="313">
        <v>409</v>
      </c>
      <c r="D421" s="311">
        <v>683642.14797862736</v>
      </c>
    </row>
    <row r="422" spans="1:4">
      <c r="A422" s="312">
        <v>0.83820315964541015</v>
      </c>
      <c r="B422" s="314">
        <v>0.98893417702948549</v>
      </c>
      <c r="C422" s="313">
        <v>410</v>
      </c>
      <c r="D422" s="311">
        <v>647728.36958651594</v>
      </c>
    </row>
    <row r="423" spans="1:4">
      <c r="A423" s="312">
        <v>2.111133809380028E-2</v>
      </c>
      <c r="B423" s="314">
        <v>0.74585451979901907</v>
      </c>
      <c r="C423" s="313">
        <v>411</v>
      </c>
      <c r="D423" s="311">
        <v>379096.56634709891</v>
      </c>
    </row>
    <row r="424" spans="1:4">
      <c r="A424" s="312">
        <v>0.36216297583415913</v>
      </c>
      <c r="B424" s="314">
        <v>0.88992244573772727</v>
      </c>
      <c r="C424" s="313">
        <v>412</v>
      </c>
      <c r="D424" s="311">
        <v>500584.14977330971</v>
      </c>
    </row>
    <row r="425" spans="1:4">
      <c r="A425" s="312">
        <v>0.79238815084525926</v>
      </c>
      <c r="B425" s="314">
        <v>0.98092685391915979</v>
      </c>
      <c r="C425" s="313">
        <v>413</v>
      </c>
      <c r="D425" s="311">
        <v>-9712.3414571136236</v>
      </c>
    </row>
    <row r="426" spans="1:4">
      <c r="A426" s="312">
        <v>0.52209580189888016</v>
      </c>
      <c r="B426" s="314">
        <v>0.92803387632672396</v>
      </c>
      <c r="C426" s="313">
        <v>414</v>
      </c>
      <c r="D426" s="311">
        <v>272052.56173978979</v>
      </c>
    </row>
    <row r="427" spans="1:4">
      <c r="A427" s="312">
        <v>0.74926616444795913</v>
      </c>
      <c r="B427" s="314">
        <v>0.97317586681738066</v>
      </c>
      <c r="C427" s="313">
        <v>415</v>
      </c>
      <c r="D427" s="311">
        <v>463340.07956012571</v>
      </c>
    </row>
    <row r="428" spans="1:4">
      <c r="A428" s="312">
        <v>7.3556137448392289E-2</v>
      </c>
      <c r="B428" s="314">
        <v>0.7855921089089184</v>
      </c>
      <c r="C428" s="313">
        <v>416</v>
      </c>
      <c r="D428" s="311">
        <v>653292.93319013459</v>
      </c>
    </row>
    <row r="429" spans="1:4">
      <c r="A429" s="312">
        <v>0.67276452821414967</v>
      </c>
      <c r="B429" s="314">
        <v>0.95885455514685591</v>
      </c>
      <c r="C429" s="313">
        <v>417</v>
      </c>
      <c r="D429" s="311">
        <v>731452.40670409729</v>
      </c>
    </row>
    <row r="430" spans="1:4">
      <c r="A430" s="312">
        <v>0.73614515263160851</v>
      </c>
      <c r="B430" s="314">
        <v>0.97077339960265829</v>
      </c>
      <c r="C430" s="313">
        <v>418</v>
      </c>
      <c r="D430" s="311">
        <v>945169.013522255</v>
      </c>
    </row>
    <row r="431" spans="1:4">
      <c r="A431" s="312">
        <v>0.39497064212193966</v>
      </c>
      <c r="B431" s="314">
        <v>0.89833834147709601</v>
      </c>
      <c r="C431" s="313">
        <v>419</v>
      </c>
      <c r="D431" s="311">
        <v>755441.95953452424</v>
      </c>
    </row>
    <row r="432" spans="1:4">
      <c r="A432" s="312">
        <v>0.5919307714585953</v>
      </c>
      <c r="B432" s="314">
        <v>0.94280617528158228</v>
      </c>
      <c r="C432" s="313">
        <v>420</v>
      </c>
      <c r="D432" s="311">
        <v>524663.60381930252</v>
      </c>
    </row>
    <row r="433" spans="1:4">
      <c r="A433" s="312">
        <v>4.0636655790359244E-2</v>
      </c>
      <c r="B433" s="314">
        <v>0.76361847427167628</v>
      </c>
      <c r="C433" s="313">
        <v>421</v>
      </c>
      <c r="D433" s="311">
        <v>199276.92962011648</v>
      </c>
    </row>
    <row r="434" spans="1:4">
      <c r="A434" s="312">
        <v>0.50060535220732294</v>
      </c>
      <c r="B434" s="314">
        <v>0.92329140868029946</v>
      </c>
      <c r="C434" s="313">
        <v>422</v>
      </c>
      <c r="D434" s="311">
        <v>-135540.1743093126</v>
      </c>
    </row>
    <row r="435" spans="1:4">
      <c r="A435" s="312">
        <v>0.6667327109824297</v>
      </c>
      <c r="B435" s="314">
        <v>0.95769153393831696</v>
      </c>
      <c r="C435" s="313">
        <v>423</v>
      </c>
      <c r="D435" s="311">
        <v>410784.40617439337</v>
      </c>
    </row>
    <row r="436" spans="1:4">
      <c r="A436" s="312">
        <v>0.32093661954627839</v>
      </c>
      <c r="B436" s="314">
        <v>0.87878616394270948</v>
      </c>
      <c r="C436" s="313">
        <v>424</v>
      </c>
      <c r="D436" s="311">
        <v>252668.3038359317</v>
      </c>
    </row>
    <row r="437" spans="1:4">
      <c r="A437" s="312">
        <v>0.85647024832009799</v>
      </c>
      <c r="B437" s="314">
        <v>0.99206560126817689</v>
      </c>
      <c r="C437" s="313">
        <v>425</v>
      </c>
      <c r="D437" s="311">
        <v>900542.90391857293</v>
      </c>
    </row>
    <row r="438" spans="1:4">
      <c r="A438" s="312">
        <v>0.43649255631756234</v>
      </c>
      <c r="B438" s="314">
        <v>0.90850318346038461</v>
      </c>
      <c r="C438" s="313">
        <v>426</v>
      </c>
      <c r="D438" s="311">
        <v>445056.01832088735</v>
      </c>
    </row>
    <row r="439" spans="1:4">
      <c r="A439" s="312">
        <v>0.92871573684274222</v>
      </c>
      <c r="B439" s="314">
        <v>1.0044761158517386</v>
      </c>
      <c r="C439" s="313">
        <v>427</v>
      </c>
      <c r="D439" s="311">
        <v>-21053.296697832644</v>
      </c>
    </row>
    <row r="440" spans="1:4">
      <c r="A440" s="312">
        <v>0.77531296540461014</v>
      </c>
      <c r="B440" s="314">
        <v>0.97788352069618889</v>
      </c>
      <c r="C440" s="313">
        <v>428</v>
      </c>
      <c r="D440" s="311">
        <v>61546.496923477622</v>
      </c>
    </row>
    <row r="441" spans="1:4">
      <c r="A441" s="312">
        <v>0.5466161944850525</v>
      </c>
      <c r="B441" s="314">
        <v>0.93332727899358858</v>
      </c>
      <c r="C441" s="313">
        <v>429</v>
      </c>
      <c r="D441" s="311">
        <v>91854.859450229211</v>
      </c>
    </row>
    <row r="442" spans="1:4">
      <c r="A442" s="312">
        <v>0.44506618923512353</v>
      </c>
      <c r="B442" s="314">
        <v>0.91054094641351779</v>
      </c>
      <c r="C442" s="313">
        <v>430</v>
      </c>
      <c r="D442" s="311">
        <v>590368.07072037109</v>
      </c>
    </row>
    <row r="443" spans="1:4">
      <c r="A443" s="312">
        <v>0.38507775565030933</v>
      </c>
      <c r="B443" s="314">
        <v>0.89583868542710332</v>
      </c>
      <c r="C443" s="313">
        <v>431</v>
      </c>
      <c r="D443" s="311">
        <v>12682.384998199996</v>
      </c>
    </row>
    <row r="444" spans="1:4">
      <c r="A444" s="312">
        <v>0.18686387866447685</v>
      </c>
      <c r="B444" s="314">
        <v>0.83642279682747278</v>
      </c>
      <c r="C444" s="313">
        <v>432</v>
      </c>
      <c r="D444" s="311">
        <v>631063.12449038844</v>
      </c>
    </row>
    <row r="445" spans="1:4">
      <c r="A445" s="312">
        <v>0.89673323626794421</v>
      </c>
      <c r="B445" s="314">
        <v>0.99885181833339476</v>
      </c>
      <c r="C445" s="313">
        <v>433</v>
      </c>
      <c r="D445" s="311">
        <v>403155.95549958316</v>
      </c>
    </row>
    <row r="446" spans="1:4">
      <c r="A446" s="312">
        <v>0.5261920213031015</v>
      </c>
      <c r="B446" s="314">
        <v>0.9289266739805937</v>
      </c>
      <c r="C446" s="313">
        <v>434</v>
      </c>
      <c r="D446" s="311">
        <v>536642.08690580889</v>
      </c>
    </row>
    <row r="447" spans="1:4">
      <c r="A447" s="312">
        <v>0.1849896163534539</v>
      </c>
      <c r="B447" s="314">
        <v>0.83573690585167981</v>
      </c>
      <c r="C447" s="313">
        <v>435</v>
      </c>
      <c r="D447" s="311">
        <v>244986.54378068261</v>
      </c>
    </row>
    <row r="448" spans="1:4">
      <c r="A448" s="312">
        <v>0.60426774261465632</v>
      </c>
      <c r="B448" s="314">
        <v>0.94532339987463165</v>
      </c>
      <c r="C448" s="313">
        <v>436</v>
      </c>
      <c r="D448" s="311">
        <v>371945.43358363002</v>
      </c>
    </row>
    <row r="449" spans="1:4">
      <c r="A449" s="312">
        <v>0.11531867833769671</v>
      </c>
      <c r="B449" s="314">
        <v>0.80717021388154975</v>
      </c>
      <c r="C449" s="313">
        <v>437</v>
      </c>
      <c r="D449" s="311">
        <v>251078.22673900984</v>
      </c>
    </row>
    <row r="450" spans="1:4">
      <c r="A450" s="312">
        <v>0.31458021866762143</v>
      </c>
      <c r="B450" s="314">
        <v>0.87700680956743704</v>
      </c>
      <c r="C450" s="313">
        <v>438</v>
      </c>
      <c r="D450" s="311">
        <v>963741.33653479023</v>
      </c>
    </row>
    <row r="451" spans="1:4">
      <c r="A451" s="312">
        <v>0.34579171089488614</v>
      </c>
      <c r="B451" s="314">
        <v>0.88558016584504107</v>
      </c>
      <c r="C451" s="313">
        <v>439</v>
      </c>
      <c r="D451" s="311">
        <v>247369.05731735891</v>
      </c>
    </row>
    <row r="452" spans="1:4">
      <c r="A452" s="312">
        <v>0.51127568890632324</v>
      </c>
      <c r="B452" s="314">
        <v>0.9256585746156667</v>
      </c>
      <c r="C452" s="313">
        <v>440</v>
      </c>
      <c r="D452" s="311">
        <v>344979.35825913353</v>
      </c>
    </row>
    <row r="453" spans="1:4">
      <c r="A453" s="312">
        <v>0.34699458456315002</v>
      </c>
      <c r="B453" s="314">
        <v>0.88590266591197231</v>
      </c>
      <c r="C453" s="313">
        <v>441</v>
      </c>
      <c r="D453" s="311">
        <v>318969.03443461005</v>
      </c>
    </row>
    <row r="454" spans="1:4">
      <c r="A454" s="312">
        <v>0.28635236197170644</v>
      </c>
      <c r="B454" s="314">
        <v>0.86887861327156224</v>
      </c>
      <c r="C454" s="313">
        <v>442</v>
      </c>
      <c r="D454" s="311">
        <v>307902.96871827287</v>
      </c>
    </row>
    <row r="455" spans="1:4">
      <c r="A455" s="312">
        <v>0.79682336460664671</v>
      </c>
      <c r="B455" s="314">
        <v>0.98171196914313308</v>
      </c>
      <c r="C455" s="313">
        <v>443</v>
      </c>
      <c r="D455" s="311">
        <v>-307.6874615882989</v>
      </c>
    </row>
    <row r="456" spans="1:4">
      <c r="A456" s="312">
        <v>0.69989591209198299</v>
      </c>
      <c r="B456" s="314">
        <v>0.96402253569730534</v>
      </c>
      <c r="C456" s="313">
        <v>444</v>
      </c>
      <c r="D456" s="311">
        <v>725813.45348755457</v>
      </c>
    </row>
    <row r="457" spans="1:4">
      <c r="A457" s="312">
        <v>0.15003151137560944</v>
      </c>
      <c r="B457" s="314">
        <v>0.82224061083754529</v>
      </c>
      <c r="C457" s="313">
        <v>445</v>
      </c>
      <c r="D457" s="311">
        <v>214440.19173247693</v>
      </c>
    </row>
    <row r="458" spans="1:4">
      <c r="A458" s="312">
        <v>0.53851020523152593</v>
      </c>
      <c r="B458" s="314">
        <v>0.93159076551031617</v>
      </c>
      <c r="C458" s="313">
        <v>446</v>
      </c>
      <c r="D458" s="311">
        <v>228203.65339265252</v>
      </c>
    </row>
    <row r="459" spans="1:4">
      <c r="A459" s="312">
        <v>0.86995793081015205</v>
      </c>
      <c r="B459" s="314">
        <v>0.99435634053664668</v>
      </c>
      <c r="C459" s="313">
        <v>447</v>
      </c>
      <c r="D459" s="311">
        <v>607072.74900106643</v>
      </c>
    </row>
    <row r="460" spans="1:4">
      <c r="A460" s="312">
        <v>0.90219215521731932</v>
      </c>
      <c r="B460" s="314">
        <v>0.99976007760873009</v>
      </c>
      <c r="C460" s="313">
        <v>448</v>
      </c>
      <c r="D460" s="311">
        <v>720212.75861612335</v>
      </c>
    </row>
    <row r="461" spans="1:4">
      <c r="A461" s="312">
        <v>0.51537007380068611</v>
      </c>
      <c r="B461" s="314">
        <v>0.92656032947575262</v>
      </c>
      <c r="C461" s="313">
        <v>449</v>
      </c>
      <c r="D461" s="311">
        <v>1047453.6136097433</v>
      </c>
    </row>
    <row r="462" spans="1:4">
      <c r="A462" s="312">
        <v>0.94246005754775142</v>
      </c>
      <c r="B462" s="314">
        <v>1.0072706713586692</v>
      </c>
      <c r="C462" s="313">
        <v>450</v>
      </c>
      <c r="D462" s="311">
        <v>813017.5993860357</v>
      </c>
    </row>
    <row r="463" spans="1:4">
      <c r="A463" s="312">
        <v>0.11919755371576568</v>
      </c>
      <c r="B463" s="314">
        <v>0.80895770337131334</v>
      </c>
      <c r="C463" s="313">
        <v>451</v>
      </c>
      <c r="D463" s="311">
        <v>89590.070353863994</v>
      </c>
    </row>
    <row r="464" spans="1:4">
      <c r="A464" s="312">
        <v>0.52507377341550121</v>
      </c>
      <c r="B464" s="314">
        <v>0.92868329046930009</v>
      </c>
      <c r="C464" s="313">
        <v>452</v>
      </c>
      <c r="D464" s="311">
        <v>646658.5131181574</v>
      </c>
    </row>
    <row r="465" spans="1:4">
      <c r="A465" s="312">
        <v>0.9755757358786924</v>
      </c>
      <c r="B465" s="314">
        <v>1.0158855345532873</v>
      </c>
      <c r="C465" s="313">
        <v>453</v>
      </c>
      <c r="D465" s="311">
        <v>317271.2382112036</v>
      </c>
    </row>
    <row r="466" spans="1:4">
      <c r="A466" s="312">
        <v>0.8314885005396252</v>
      </c>
      <c r="B466" s="314">
        <v>0.98777455627540189</v>
      </c>
      <c r="C466" s="313">
        <v>454</v>
      </c>
      <c r="D466" s="311">
        <v>345701.37967319856</v>
      </c>
    </row>
    <row r="467" spans="1:4">
      <c r="A467" s="312">
        <v>0.72621113025557682</v>
      </c>
      <c r="B467" s="314">
        <v>0.96894019764274342</v>
      </c>
      <c r="C467" s="313">
        <v>455</v>
      </c>
      <c r="D467" s="311">
        <v>414798.49521436216</v>
      </c>
    </row>
    <row r="468" spans="1:4">
      <c r="A468" s="312">
        <v>0.24038943399579793</v>
      </c>
      <c r="B468" s="314">
        <v>0.85473264760287226</v>
      </c>
      <c r="C468" s="313">
        <v>456</v>
      </c>
      <c r="D468" s="311">
        <v>703860.62888294132</v>
      </c>
    </row>
    <row r="469" spans="1:4">
      <c r="A469" s="312">
        <v>0.11228806681748948</v>
      </c>
      <c r="B469" s="314">
        <v>0.80575260442260055</v>
      </c>
      <c r="C469" s="313">
        <v>457</v>
      </c>
      <c r="D469" s="311">
        <v>613019.11813312257</v>
      </c>
    </row>
    <row r="470" spans="1:4">
      <c r="A470" s="312">
        <v>0.19432521757812682</v>
      </c>
      <c r="B470" s="314">
        <v>0.83911976987449721</v>
      </c>
      <c r="C470" s="313">
        <v>458</v>
      </c>
      <c r="D470" s="311">
        <v>476073.16793989763</v>
      </c>
    </row>
    <row r="471" spans="1:4">
      <c r="A471" s="312">
        <v>0.61597544179652231</v>
      </c>
      <c r="B471" s="314">
        <v>0.9476885713293306</v>
      </c>
      <c r="C471" s="313">
        <v>459</v>
      </c>
      <c r="D471" s="311">
        <v>376387.28528876696</v>
      </c>
    </row>
    <row r="472" spans="1:4">
      <c r="A472" s="312">
        <v>0.25404502339693369</v>
      </c>
      <c r="B472" s="314">
        <v>0.85906682594637562</v>
      </c>
      <c r="C472" s="313">
        <v>460</v>
      </c>
      <c r="D472" s="311">
        <v>511847.41715875384</v>
      </c>
    </row>
    <row r="473" spans="1:4">
      <c r="A473" s="312">
        <v>0.32632465971075664</v>
      </c>
      <c r="B473" s="314">
        <v>0.88028069190221203</v>
      </c>
      <c r="C473" s="313">
        <v>461</v>
      </c>
      <c r="D473" s="311">
        <v>354849.59018005547</v>
      </c>
    </row>
    <row r="474" spans="1:4">
      <c r="A474" s="312">
        <v>0.81286655504497463</v>
      </c>
      <c r="B474" s="314">
        <v>0.98453382152338742</v>
      </c>
      <c r="C474" s="313">
        <v>462</v>
      </c>
      <c r="D474" s="311">
        <v>-51606.769586161943</v>
      </c>
    </row>
    <row r="475" spans="1:4">
      <c r="A475" s="312">
        <v>0.72550579405871329</v>
      </c>
      <c r="B475" s="314">
        <v>0.96880956115784467</v>
      </c>
      <c r="C475" s="313">
        <v>463</v>
      </c>
      <c r="D475" s="311">
        <v>294144.39794657193</v>
      </c>
    </row>
    <row r="476" spans="1:4">
      <c r="A476" s="312">
        <v>0.52064968548453106</v>
      </c>
      <c r="B476" s="314">
        <v>0.92771784984808492</v>
      </c>
      <c r="C476" s="313">
        <v>464</v>
      </c>
      <c r="D476" s="311">
        <v>8474.4809451515321</v>
      </c>
    </row>
    <row r="477" spans="1:4">
      <c r="A477" s="312">
        <v>0.26375881604490026</v>
      </c>
      <c r="B477" s="314">
        <v>0.86207937810055557</v>
      </c>
      <c r="C477" s="313">
        <v>465</v>
      </c>
      <c r="D477" s="311">
        <v>237227.84230508446</v>
      </c>
    </row>
    <row r="478" spans="1:4">
      <c r="A478" s="312">
        <v>0.28545463577845054</v>
      </c>
      <c r="B478" s="314">
        <v>0.86861368483948165</v>
      </c>
      <c r="C478" s="313">
        <v>466</v>
      </c>
      <c r="D478" s="311">
        <v>576197.29206450074</v>
      </c>
    </row>
    <row r="479" spans="1:4">
      <c r="A479" s="312">
        <v>0.65554494639982441</v>
      </c>
      <c r="B479" s="314">
        <v>0.95552035735081642</v>
      </c>
      <c r="C479" s="313">
        <v>467</v>
      </c>
      <c r="D479" s="311">
        <v>495478.27604253124</v>
      </c>
    </row>
    <row r="480" spans="1:4">
      <c r="A480" s="312">
        <v>0.27213936493921209</v>
      </c>
      <c r="B480" s="314">
        <v>0.86463416024190987</v>
      </c>
      <c r="C480" s="313">
        <v>468</v>
      </c>
      <c r="D480" s="311">
        <v>-4466.0162655715831</v>
      </c>
    </row>
    <row r="481" spans="1:4">
      <c r="A481" s="312">
        <v>5.1672329323074195E-2</v>
      </c>
      <c r="B481" s="314">
        <v>0.77173866474626363</v>
      </c>
      <c r="C481" s="313">
        <v>469</v>
      </c>
      <c r="D481" s="311">
        <v>575231.8859090833</v>
      </c>
    </row>
    <row r="482" spans="1:4">
      <c r="A482" s="312">
        <v>0.7677146417995967</v>
      </c>
      <c r="B482" s="314">
        <v>0.9765184928044186</v>
      </c>
      <c r="C482" s="313">
        <v>470</v>
      </c>
      <c r="D482" s="311">
        <v>340385.34782709251</v>
      </c>
    </row>
    <row r="483" spans="1:4">
      <c r="A483" s="312">
        <v>0.20154468715265572</v>
      </c>
      <c r="B483" s="314">
        <v>0.84168045616286313</v>
      </c>
      <c r="C483" s="313">
        <v>471</v>
      </c>
      <c r="D483" s="311">
        <v>140882.63463452668</v>
      </c>
    </row>
    <row r="484" spans="1:4">
      <c r="A484" s="312">
        <v>0.452583686775477</v>
      </c>
      <c r="B484" s="314">
        <v>0.91231159707498333</v>
      </c>
      <c r="C484" s="313">
        <v>472</v>
      </c>
      <c r="D484" s="311">
        <v>112352.43777517509</v>
      </c>
    </row>
    <row r="485" spans="1:4">
      <c r="A485" s="312">
        <v>8.5398347769299554E-2</v>
      </c>
      <c r="B485" s="314">
        <v>0.7922250721056191</v>
      </c>
      <c r="C485" s="313">
        <v>473</v>
      </c>
      <c r="D485" s="311">
        <v>528069.42839871719</v>
      </c>
    </row>
    <row r="486" spans="1:4">
      <c r="A486" s="312">
        <v>0.49395066669335641</v>
      </c>
      <c r="B486" s="314">
        <v>0.92180230610936997</v>
      </c>
      <c r="C486" s="313">
        <v>474</v>
      </c>
      <c r="D486" s="311">
        <v>811099.95307299099</v>
      </c>
    </row>
    <row r="487" spans="1:4">
      <c r="A487" s="312">
        <v>0.47958124128428248</v>
      </c>
      <c r="B487" s="314">
        <v>0.91855229080153566</v>
      </c>
      <c r="C487" s="313">
        <v>475</v>
      </c>
      <c r="D487" s="311">
        <v>762895.22400152823</v>
      </c>
    </row>
    <row r="488" spans="1:4">
      <c r="A488" s="312">
        <v>0.8582333667277513</v>
      </c>
      <c r="B488" s="314">
        <v>0.99236606791946147</v>
      </c>
      <c r="C488" s="313">
        <v>476</v>
      </c>
      <c r="D488" s="311">
        <v>372026.41934515024</v>
      </c>
    </row>
    <row r="489" spans="1:4">
      <c r="A489" s="312">
        <v>7.1465575044418195E-2</v>
      </c>
      <c r="B489" s="314">
        <v>0.7843670212221806</v>
      </c>
      <c r="C489" s="313">
        <v>477</v>
      </c>
      <c r="D489" s="311">
        <v>371169.90989036788</v>
      </c>
    </row>
    <row r="490" spans="1:4">
      <c r="A490" s="312">
        <v>0.38834319949083917</v>
      </c>
      <c r="B490" s="314">
        <v>0.89666728459137812</v>
      </c>
      <c r="C490" s="313">
        <v>478</v>
      </c>
      <c r="D490" s="311">
        <v>148858.40810450236</v>
      </c>
    </row>
    <row r="491" spans="1:4">
      <c r="A491" s="312">
        <v>0.28323202270885228</v>
      </c>
      <c r="B491" s="314">
        <v>0.86795597029680149</v>
      </c>
      <c r="C491" s="313">
        <v>479</v>
      </c>
      <c r="D491" s="311">
        <v>343931.45576862525</v>
      </c>
    </row>
    <row r="492" spans="1:4">
      <c r="A492" s="312">
        <v>0.44514830405774786</v>
      </c>
      <c r="B492" s="314">
        <v>0.91056036794623252</v>
      </c>
      <c r="C492" s="313">
        <v>480</v>
      </c>
      <c r="D492" s="311">
        <v>-76296.412280926015</v>
      </c>
    </row>
    <row r="493" spans="1:4">
      <c r="A493" s="312">
        <v>0.16597251853192507</v>
      </c>
      <c r="B493" s="314">
        <v>0.82857080449438969</v>
      </c>
      <c r="C493" s="313">
        <v>481</v>
      </c>
      <c r="D493" s="311">
        <v>457084.99020968564</v>
      </c>
    </row>
    <row r="494" spans="1:4">
      <c r="A494" s="312">
        <v>0.242935464498513</v>
      </c>
      <c r="B494" s="314">
        <v>0.85554989735228748</v>
      </c>
      <c r="C494" s="313">
        <v>482</v>
      </c>
      <c r="D494" s="311">
        <v>900511.93366857665</v>
      </c>
    </row>
    <row r="495" spans="1:4">
      <c r="A495" s="312">
        <v>0.97411595538630369</v>
      </c>
      <c r="B495" s="314">
        <v>1.0154112040855259</v>
      </c>
      <c r="C495" s="313">
        <v>483</v>
      </c>
      <c r="D495" s="311">
        <v>183933.03009495186</v>
      </c>
    </row>
    <row r="496" spans="1:4">
      <c r="A496" s="312">
        <v>0.3724212545000124</v>
      </c>
      <c r="B496" s="314">
        <v>0.89259344366467308</v>
      </c>
      <c r="C496" s="313">
        <v>484</v>
      </c>
      <c r="D496" s="311">
        <v>193730.85854530474</v>
      </c>
    </row>
    <row r="497" spans="1:4">
      <c r="A497" s="312">
        <v>0.17098839010299416</v>
      </c>
      <c r="B497" s="314">
        <v>0.83049911935948739</v>
      </c>
      <c r="C497" s="313">
        <v>485</v>
      </c>
      <c r="D497" s="311">
        <v>470225.8309020421</v>
      </c>
    </row>
    <row r="498" spans="1:4">
      <c r="A498" s="312">
        <v>0.52817470831777602</v>
      </c>
      <c r="B498" s="314">
        <v>0.92935756533369185</v>
      </c>
      <c r="C498" s="313">
        <v>486</v>
      </c>
      <c r="D498" s="311">
        <v>278705.21911904798</v>
      </c>
    </row>
    <row r="499" spans="1:4">
      <c r="A499" s="312">
        <v>6.6329282981610782E-2</v>
      </c>
      <c r="B499" s="314">
        <v>0.78127873216232313</v>
      </c>
      <c r="C499" s="313">
        <v>487</v>
      </c>
      <c r="D499" s="311">
        <v>1056498.067606579</v>
      </c>
    </row>
    <row r="500" spans="1:4">
      <c r="A500" s="312">
        <v>0.9114481594160877</v>
      </c>
      <c r="B500" s="314">
        <v>1.0013240306209021</v>
      </c>
      <c r="C500" s="313">
        <v>488</v>
      </c>
      <c r="D500" s="311">
        <v>169474.44496882404</v>
      </c>
    </row>
    <row r="501" spans="1:4">
      <c r="A501" s="312">
        <v>0.60368087364727596</v>
      </c>
      <c r="B501" s="314">
        <v>0.94520424105313261</v>
      </c>
      <c r="C501" s="313">
        <v>489</v>
      </c>
      <c r="D501" s="311">
        <v>103016.26501829107</v>
      </c>
    </row>
    <row r="502" spans="1:4">
      <c r="A502" s="312">
        <v>0.21054468216864386</v>
      </c>
      <c r="B502" s="314">
        <v>0.84480928447824077</v>
      </c>
      <c r="C502" s="313">
        <v>490</v>
      </c>
      <c r="D502" s="311">
        <v>175402.21095560794</v>
      </c>
    </row>
    <row r="503" spans="1:4">
      <c r="A503" s="312">
        <v>0.35745484497696889</v>
      </c>
      <c r="B503" s="314">
        <v>0.88868390822385734</v>
      </c>
      <c r="C503" s="313">
        <v>491</v>
      </c>
      <c r="D503" s="311">
        <v>928209.88745650114</v>
      </c>
    </row>
    <row r="504" spans="1:4">
      <c r="A504" s="312">
        <v>0.50632115138373468</v>
      </c>
      <c r="B504" s="314">
        <v>0.9245625361266322</v>
      </c>
      <c r="C504" s="313">
        <v>492</v>
      </c>
      <c r="D504" s="311">
        <v>873283.32484197314</v>
      </c>
    </row>
    <row r="505" spans="1:4">
      <c r="A505" s="312">
        <v>0.60734602234624102</v>
      </c>
      <c r="B505" s="314">
        <v>0.94594747317891281</v>
      </c>
      <c r="C505" s="313">
        <v>493</v>
      </c>
      <c r="D505" s="311">
        <v>516389.97291047429</v>
      </c>
    </row>
    <row r="506" spans="1:4">
      <c r="A506" s="312">
        <v>0.40111507155252413</v>
      </c>
      <c r="B506" s="314">
        <v>0.89987513015072751</v>
      </c>
      <c r="C506" s="313">
        <v>494</v>
      </c>
      <c r="D506" s="311">
        <v>441374.97417334793</v>
      </c>
    </row>
    <row r="507" spans="1:4">
      <c r="A507" s="312">
        <v>0.50521522913092465</v>
      </c>
      <c r="B507" s="314">
        <v>0.92431715385670221</v>
      </c>
      <c r="C507" s="313">
        <v>495</v>
      </c>
      <c r="D507" s="311">
        <v>144757.12578683416</v>
      </c>
    </row>
    <row r="508" spans="1:4">
      <c r="A508" s="312">
        <v>0.56303913124470595</v>
      </c>
      <c r="B508" s="314">
        <v>0.93680646728459305</v>
      </c>
      <c r="C508" s="313">
        <v>496</v>
      </c>
      <c r="D508" s="311">
        <v>-67513.942788894288</v>
      </c>
    </row>
    <row r="509" spans="1:4">
      <c r="A509" s="312">
        <v>8.2000057819029415E-2</v>
      </c>
      <c r="B509" s="314">
        <v>0.7903714704022069</v>
      </c>
      <c r="C509" s="313">
        <v>497</v>
      </c>
      <c r="D509" s="311">
        <v>-17018.838847338688</v>
      </c>
    </row>
    <row r="510" spans="1:4">
      <c r="A510" s="312">
        <v>0.62912658540934918</v>
      </c>
      <c r="B510" s="314">
        <v>0.95031869626240573</v>
      </c>
      <c r="C510" s="313">
        <v>498</v>
      </c>
      <c r="D510" s="311">
        <v>175029.54859452997</v>
      </c>
    </row>
    <row r="511" spans="1:4">
      <c r="A511" s="312">
        <v>0.51352758689774824</v>
      </c>
      <c r="B511" s="314">
        <v>0.92615498172727495</v>
      </c>
      <c r="C511" s="313">
        <v>499</v>
      </c>
      <c r="D511" s="311">
        <v>608201.28432658454</v>
      </c>
    </row>
    <row r="512" spans="1:4">
      <c r="A512" s="312">
        <v>0.90404154728002362</v>
      </c>
      <c r="B512" s="314">
        <v>1.0000672356479416</v>
      </c>
      <c r="C512" s="313">
        <v>500</v>
      </c>
      <c r="D512" s="311">
        <v>111667.48304074444</v>
      </c>
    </row>
    <row r="513" spans="1:4">
      <c r="A513" s="312">
        <v>0.53286200005567763</v>
      </c>
      <c r="B513" s="314">
        <v>0.930373035365475</v>
      </c>
      <c r="C513" s="313">
        <v>501</v>
      </c>
      <c r="D513" s="311">
        <v>-80278.836476185592</v>
      </c>
    </row>
    <row r="514" spans="1:4">
      <c r="A514" s="312">
        <v>0.4324987770255625</v>
      </c>
      <c r="B514" s="314">
        <v>0.90754711992062198</v>
      </c>
      <c r="C514" s="313">
        <v>502</v>
      </c>
      <c r="D514" s="311">
        <v>299574.2118257184</v>
      </c>
    </row>
    <row r="515" spans="1:4">
      <c r="A515" s="312">
        <v>0.87318290751927485</v>
      </c>
      <c r="B515" s="314">
        <v>0.99490143252754226</v>
      </c>
      <c r="C515" s="313">
        <v>503</v>
      </c>
      <c r="D515" s="311">
        <v>-121411.23341373226</v>
      </c>
    </row>
    <row r="516" spans="1:4">
      <c r="A516" s="312">
        <v>0.87640681870823434</v>
      </c>
      <c r="B516" s="314">
        <v>0.99544533923603795</v>
      </c>
      <c r="C516" s="313">
        <v>504</v>
      </c>
      <c r="D516" s="311">
        <v>66649.35266566067</v>
      </c>
    </row>
    <row r="517" spans="1:4">
      <c r="A517" s="312">
        <v>0.45977926583426121</v>
      </c>
      <c r="B517" s="314">
        <v>0.91399270105524</v>
      </c>
      <c r="C517" s="313">
        <v>505</v>
      </c>
      <c r="D517" s="311">
        <v>592503.8667681478</v>
      </c>
    </row>
    <row r="518" spans="1:4">
      <c r="A518" s="312">
        <v>9.9560855166642481E-2</v>
      </c>
      <c r="B518" s="314">
        <v>0.79957918750544366</v>
      </c>
      <c r="C518" s="313">
        <v>506</v>
      </c>
      <c r="D518" s="311">
        <v>636011.06394836446</v>
      </c>
    </row>
    <row r="519" spans="1:4">
      <c r="A519" s="312">
        <v>0.78039993753313897</v>
      </c>
      <c r="B519" s="314">
        <v>0.97879365290335962</v>
      </c>
      <c r="C519" s="313">
        <v>507</v>
      </c>
      <c r="D519" s="311">
        <v>648457.06563225645</v>
      </c>
    </row>
    <row r="520" spans="1:4">
      <c r="A520" s="312">
        <v>0.7511559319744805</v>
      </c>
      <c r="B520" s="314">
        <v>0.97352014619864857</v>
      </c>
      <c r="C520" s="313">
        <v>508</v>
      </c>
      <c r="D520" s="311">
        <v>209496.11057412159</v>
      </c>
    </row>
    <row r="521" spans="1:4">
      <c r="A521" s="312">
        <v>0.66955375191503064</v>
      </c>
      <c r="B521" s="314">
        <v>0.95823612325403174</v>
      </c>
      <c r="C521" s="313">
        <v>509</v>
      </c>
      <c r="D521" s="311">
        <v>840882.06586024538</v>
      </c>
    </row>
    <row r="522" spans="1:4">
      <c r="A522" s="312">
        <v>0.97781382094464087</v>
      </c>
      <c r="B522" s="314">
        <v>1.0166411970145786</v>
      </c>
      <c r="C522" s="313">
        <v>510</v>
      </c>
      <c r="D522" s="311">
        <v>174148.42601859616</v>
      </c>
    </row>
    <row r="523" spans="1:4">
      <c r="A523" s="312">
        <v>0.14200368929627871</v>
      </c>
      <c r="B523" s="314">
        <v>0.81892525275140482</v>
      </c>
      <c r="C523" s="313">
        <v>511</v>
      </c>
      <c r="D523" s="311">
        <v>88122.773130600806</v>
      </c>
    </row>
    <row r="524" spans="1:4">
      <c r="A524" s="312">
        <v>0.84909173463335841</v>
      </c>
      <c r="B524" s="314">
        <v>0.99080480352961664</v>
      </c>
      <c r="C524" s="313">
        <v>512</v>
      </c>
      <c r="D524" s="311">
        <v>297272.60786395241</v>
      </c>
    </row>
    <row r="525" spans="1:4">
      <c r="A525" s="312">
        <v>0.9893021270320137</v>
      </c>
      <c r="B525" s="314">
        <v>1.0213323794357552</v>
      </c>
      <c r="C525" s="313">
        <v>513</v>
      </c>
      <c r="D525" s="311">
        <v>72271.886290113442</v>
      </c>
    </row>
    <row r="526" spans="1:4">
      <c r="A526" s="312">
        <v>0.386468834941331</v>
      </c>
      <c r="B526" s="314">
        <v>0.89619209658343546</v>
      </c>
      <c r="C526" s="313">
        <v>514</v>
      </c>
      <c r="D526" s="311">
        <v>112872.25642996584</v>
      </c>
    </row>
    <row r="527" spans="1:4">
      <c r="A527" s="312">
        <v>0.67733774921228163</v>
      </c>
      <c r="B527" s="314">
        <v>0.95973286700921667</v>
      </c>
      <c r="C527" s="313">
        <v>515</v>
      </c>
      <c r="D527" s="311">
        <v>852854.32208972331</v>
      </c>
    </row>
    <row r="528" spans="1:4">
      <c r="A528" s="312">
        <v>0.87244169559535467</v>
      </c>
      <c r="B528" s="314">
        <v>0.99477624062158254</v>
      </c>
      <c r="C528" s="313">
        <v>516</v>
      </c>
      <c r="D528" s="311">
        <v>70822.273155004252</v>
      </c>
    </row>
    <row r="529" spans="1:4">
      <c r="A529" s="312">
        <v>0.27782318581173515</v>
      </c>
      <c r="B529" s="314">
        <v>0.86634452560841091</v>
      </c>
      <c r="C529" s="313">
        <v>517</v>
      </c>
      <c r="D529" s="311">
        <v>409392.03182570171</v>
      </c>
    </row>
    <row r="530" spans="1:4">
      <c r="A530" s="312">
        <v>0.79653925621219068</v>
      </c>
      <c r="B530" s="314">
        <v>0.98166174228334202</v>
      </c>
      <c r="C530" s="313">
        <v>518</v>
      </c>
      <c r="D530" s="311">
        <v>497623.12464866717</v>
      </c>
    </row>
    <row r="531" spans="1:4">
      <c r="A531" s="312">
        <v>0.6648313798795018</v>
      </c>
      <c r="B531" s="314">
        <v>0.95732384031568141</v>
      </c>
      <c r="C531" s="313">
        <v>519</v>
      </c>
      <c r="D531" s="311">
        <v>145775.89504930936</v>
      </c>
    </row>
    <row r="532" spans="1:4">
      <c r="A532" s="312">
        <v>0.67464798562989103</v>
      </c>
      <c r="B532" s="314">
        <v>0.9592166437827141</v>
      </c>
      <c r="C532" s="313">
        <v>520</v>
      </c>
      <c r="D532" s="311">
        <v>508941.12992712809</v>
      </c>
    </row>
    <row r="533" spans="1:4">
      <c r="A533" s="312">
        <v>0.16826850311536934</v>
      </c>
      <c r="B533" s="314">
        <v>0.82945704363300021</v>
      </c>
      <c r="C533" s="313">
        <v>521</v>
      </c>
      <c r="D533" s="311">
        <v>599366.75067611667</v>
      </c>
    </row>
    <row r="534" spans="1:4">
      <c r="A534" s="312">
        <v>0.37756717230748071</v>
      </c>
      <c r="B534" s="314">
        <v>0.89391945547297258</v>
      </c>
      <c r="C534" s="313">
        <v>522</v>
      </c>
      <c r="D534" s="311">
        <v>146275.64006493636</v>
      </c>
    </row>
    <row r="535" spans="1:4">
      <c r="A535" s="312">
        <v>0.71162648324993871</v>
      </c>
      <c r="B535" s="314">
        <v>0.9662259100638424</v>
      </c>
      <c r="C535" s="313">
        <v>523</v>
      </c>
      <c r="D535" s="311">
        <v>455623.58849244728</v>
      </c>
    </row>
    <row r="536" spans="1:4">
      <c r="A536" s="312">
        <v>0.45267448335180049</v>
      </c>
      <c r="B536" s="314">
        <v>0.91233289280431495</v>
      </c>
      <c r="C536" s="313">
        <v>524</v>
      </c>
      <c r="D536" s="311">
        <v>70425.698116528336</v>
      </c>
    </row>
    <row r="537" spans="1:4">
      <c r="A537" s="312">
        <v>2.7357919622414961E-2</v>
      </c>
      <c r="B537" s="314">
        <v>0.75219943519655463</v>
      </c>
      <c r="C537" s="313">
        <v>525</v>
      </c>
      <c r="D537" s="311">
        <v>61924.826527911238</v>
      </c>
    </row>
    <row r="538" spans="1:4">
      <c r="A538" s="312">
        <v>0.1847231833274684</v>
      </c>
      <c r="B538" s="314">
        <v>0.83563912245622818</v>
      </c>
      <c r="C538" s="313">
        <v>526</v>
      </c>
      <c r="D538" s="311">
        <v>377589.5502139458</v>
      </c>
    </row>
    <row r="539" spans="1:4">
      <c r="A539" s="312">
        <v>0.87691499345967949</v>
      </c>
      <c r="B539" s="314">
        <v>0.99553098217091274</v>
      </c>
      <c r="C539" s="313">
        <v>527</v>
      </c>
      <c r="D539" s="311">
        <v>255042.69601770723</v>
      </c>
    </row>
    <row r="540" spans="1:4">
      <c r="A540" s="312">
        <v>0.41592558268177626</v>
      </c>
      <c r="B540" s="314">
        <v>0.90353171221916084</v>
      </c>
      <c r="C540" s="313">
        <v>528</v>
      </c>
      <c r="D540" s="311">
        <v>427173.93096464546</v>
      </c>
    </row>
    <row r="541" spans="1:4">
      <c r="A541" s="312">
        <v>0.46863695703132313</v>
      </c>
      <c r="B541" s="314">
        <v>0.91604416263715771</v>
      </c>
      <c r="C541" s="313">
        <v>529</v>
      </c>
      <c r="D541" s="311">
        <v>793917.94643326499</v>
      </c>
    </row>
    <row r="542" spans="1:4">
      <c r="A542" s="312">
        <v>9.7553019937133167E-2</v>
      </c>
      <c r="B542" s="314">
        <v>0.79856997092599602</v>
      </c>
      <c r="C542" s="313">
        <v>530</v>
      </c>
      <c r="D542" s="311">
        <v>845752.65687061707</v>
      </c>
    </row>
    <row r="543" spans="1:4">
      <c r="A543" s="312">
        <v>0.97951285153837253</v>
      </c>
      <c r="B543" s="314">
        <v>1.0172406797148061</v>
      </c>
      <c r="C543" s="313">
        <v>531</v>
      </c>
      <c r="D543" s="311">
        <v>982159.50218201894</v>
      </c>
    </row>
    <row r="544" spans="1:4">
      <c r="A544" s="312">
        <v>0.5008101257604286</v>
      </c>
      <c r="B544" s="314">
        <v>0.92333707289463329</v>
      </c>
      <c r="C544" s="313">
        <v>532</v>
      </c>
      <c r="D544" s="311">
        <v>836507.12239356805</v>
      </c>
    </row>
    <row r="545" spans="1:4">
      <c r="A545" s="312">
        <v>0.20290534947439731</v>
      </c>
      <c r="B545" s="314">
        <v>0.8421579060611859</v>
      </c>
      <c r="C545" s="313">
        <v>533</v>
      </c>
      <c r="D545" s="311">
        <v>130478.26457707887</v>
      </c>
    </row>
    <row r="546" spans="1:4">
      <c r="A546" s="312">
        <v>0.62019033179751071</v>
      </c>
      <c r="B546" s="314">
        <v>0.94853454683787386</v>
      </c>
      <c r="C546" s="313">
        <v>534</v>
      </c>
      <c r="D546" s="311">
        <v>333372.80869993521</v>
      </c>
    </row>
    <row r="547" spans="1:4">
      <c r="A547" s="312">
        <v>0.70066800065782397</v>
      </c>
      <c r="B547" s="314">
        <v>0.96416812348369918</v>
      </c>
      <c r="C547" s="313">
        <v>535</v>
      </c>
      <c r="D547" s="311">
        <v>301084.21270543686</v>
      </c>
    </row>
    <row r="548" spans="1:4">
      <c r="A548" s="312">
        <v>6.2617033110328291E-2</v>
      </c>
      <c r="B548" s="314">
        <v>0.77897152277347725</v>
      </c>
      <c r="C548" s="313">
        <v>536</v>
      </c>
      <c r="D548" s="311">
        <v>402426.38712511677</v>
      </c>
    </row>
    <row r="549" spans="1:4">
      <c r="A549" s="312">
        <v>0.73325042563079368</v>
      </c>
      <c r="B549" s="314">
        <v>0.97024049713672111</v>
      </c>
      <c r="C549" s="313">
        <v>537</v>
      </c>
      <c r="D549" s="311">
        <v>32312.543968196958</v>
      </c>
    </row>
    <row r="550" spans="1:4">
      <c r="A550" s="312">
        <v>0.76310088069142079</v>
      </c>
      <c r="B550" s="314">
        <v>0.97568633931285942</v>
      </c>
      <c r="C550" s="313">
        <v>538</v>
      </c>
      <c r="D550" s="311">
        <v>-69219.090980420122</v>
      </c>
    </row>
    <row r="551" spans="1:4">
      <c r="A551" s="312">
        <v>0.85716425624884862</v>
      </c>
      <c r="B551" s="314">
        <v>0.99218390940457368</v>
      </c>
      <c r="C551" s="313">
        <v>539</v>
      </c>
      <c r="D551" s="311">
        <v>876101.98025553068</v>
      </c>
    </row>
    <row r="552" spans="1:4">
      <c r="A552" s="312">
        <v>0.75564668756855946</v>
      </c>
      <c r="B552" s="314">
        <v>0.97433654242751899</v>
      </c>
      <c r="C552" s="313">
        <v>540</v>
      </c>
      <c r="D552" s="311">
        <v>173227.87632623245</v>
      </c>
    </row>
    <row r="553" spans="1:4">
      <c r="A553" s="312">
        <v>0.24736883011322575</v>
      </c>
      <c r="B553" s="314">
        <v>0.85696280706288497</v>
      </c>
      <c r="C553" s="313">
        <v>541</v>
      </c>
      <c r="D553" s="311">
        <v>270408.69499892811</v>
      </c>
    </row>
    <row r="554" spans="1:4">
      <c r="A554" s="312">
        <v>0.61425447944957623</v>
      </c>
      <c r="B554" s="314">
        <v>0.9473423230663417</v>
      </c>
      <c r="C554" s="313">
        <v>542</v>
      </c>
      <c r="D554" s="311">
        <v>268822.93519036588</v>
      </c>
    </row>
    <row r="555" spans="1:4">
      <c r="A555" s="312">
        <v>0.29574965693827615</v>
      </c>
      <c r="B555" s="314">
        <v>0.87162730937750632</v>
      </c>
      <c r="C555" s="313">
        <v>543</v>
      </c>
      <c r="D555" s="311">
        <v>873930.56512138061</v>
      </c>
    </row>
    <row r="556" spans="1:4">
      <c r="A556" s="312">
        <v>0.13608501732722678</v>
      </c>
      <c r="B556" s="314">
        <v>0.8164204907785455</v>
      </c>
      <c r="C556" s="313">
        <v>544</v>
      </c>
      <c r="D556" s="311">
        <v>-13197.048281486845</v>
      </c>
    </row>
    <row r="557" spans="1:4">
      <c r="A557" s="312">
        <v>0.76281527712884833</v>
      </c>
      <c r="B557" s="314">
        <v>0.97563474431985187</v>
      </c>
      <c r="C557" s="313">
        <v>545</v>
      </c>
      <c r="D557" s="311">
        <v>490243.93772795354</v>
      </c>
    </row>
    <row r="558" spans="1:4">
      <c r="A558" s="312">
        <v>3.3090326065441489E-2</v>
      </c>
      <c r="B558" s="314">
        <v>0.75740831402030595</v>
      </c>
      <c r="C558" s="313">
        <v>546</v>
      </c>
      <c r="D558" s="311">
        <v>375867.55582895526</v>
      </c>
    </row>
    <row r="559" spans="1:4">
      <c r="A559" s="312">
        <v>0.3075028580485335</v>
      </c>
      <c r="B559" s="314">
        <v>0.87500435150203626</v>
      </c>
      <c r="C559" s="313">
        <v>547</v>
      </c>
      <c r="D559" s="311">
        <v>102885.36128513399</v>
      </c>
    </row>
    <row r="560" spans="1:4">
      <c r="A560" s="312">
        <v>0.75040928749467339</v>
      </c>
      <c r="B560" s="314">
        <v>0.97338417371094388</v>
      </c>
      <c r="C560" s="313">
        <v>548</v>
      </c>
      <c r="D560" s="311">
        <v>36288.880365122808</v>
      </c>
    </row>
    <row r="561" spans="1:4">
      <c r="A561" s="312">
        <v>0.90360042242877281</v>
      </c>
      <c r="B561" s="314">
        <v>0.99999394002926856</v>
      </c>
      <c r="C561" s="313">
        <v>549</v>
      </c>
      <c r="D561" s="311">
        <v>294176.31361293001</v>
      </c>
    </row>
    <row r="562" spans="1:4">
      <c r="A562" s="312">
        <v>0.50240401219572828</v>
      </c>
      <c r="B562" s="314">
        <v>0.92369218866646252</v>
      </c>
      <c r="C562" s="313">
        <v>550</v>
      </c>
      <c r="D562" s="311">
        <v>289956.03058062401</v>
      </c>
    </row>
    <row r="563" spans="1:4">
      <c r="A563" s="312">
        <v>0.51983148525155642</v>
      </c>
      <c r="B563" s="314">
        <v>0.92753885035908223</v>
      </c>
      <c r="C563" s="313">
        <v>551</v>
      </c>
      <c r="D563" s="311">
        <v>363723.26314687263</v>
      </c>
    </row>
    <row r="564" spans="1:4">
      <c r="A564" s="312">
        <v>0.2608244421325745</v>
      </c>
      <c r="B564" s="314">
        <v>0.86117527239497493</v>
      </c>
      <c r="C564" s="313">
        <v>552</v>
      </c>
      <c r="D564" s="311">
        <v>1062872.7593314399</v>
      </c>
    </row>
    <row r="565" spans="1:4">
      <c r="A565" s="312">
        <v>0.80523149927087101</v>
      </c>
      <c r="B565" s="314">
        <v>0.98319439073886516</v>
      </c>
      <c r="C565" s="313">
        <v>553</v>
      </c>
      <c r="D565" s="311">
        <v>92727.196082129842</v>
      </c>
    </row>
    <row r="566" spans="1:4">
      <c r="A566" s="312">
        <v>0.67719552470674649</v>
      </c>
      <c r="B566" s="314">
        <v>0.95970559677514644</v>
      </c>
      <c r="C566" s="313">
        <v>554</v>
      </c>
      <c r="D566" s="311">
        <v>587744.36157998396</v>
      </c>
    </row>
    <row r="567" spans="1:4">
      <c r="A567" s="312">
        <v>0.93705659788222317</v>
      </c>
      <c r="B567" s="314">
        <v>1.0061359603146751</v>
      </c>
      <c r="C567" s="313">
        <v>555</v>
      </c>
      <c r="D567" s="311">
        <v>256018.39784200792</v>
      </c>
    </row>
    <row r="568" spans="1:4">
      <c r="A568" s="312">
        <v>0.76178435829831215</v>
      </c>
      <c r="B568" s="314">
        <v>0.97544842586972247</v>
      </c>
      <c r="C568" s="313">
        <v>556</v>
      </c>
      <c r="D568" s="311">
        <v>562674.52412393317</v>
      </c>
    </row>
    <row r="569" spans="1:4">
      <c r="A569" s="312">
        <v>0.75540616327479282</v>
      </c>
      <c r="B569" s="314">
        <v>0.97429287793734742</v>
      </c>
      <c r="C569" s="313">
        <v>557</v>
      </c>
      <c r="D569" s="311">
        <v>215122.07138111</v>
      </c>
    </row>
    <row r="570" spans="1:4">
      <c r="A570" s="312">
        <v>0.52705418835465601</v>
      </c>
      <c r="B570" s="314">
        <v>0.92911414570635653</v>
      </c>
      <c r="C570" s="313">
        <v>558</v>
      </c>
      <c r="D570" s="311">
        <v>230970.43773514149</v>
      </c>
    </row>
    <row r="571" spans="1:4">
      <c r="A571" s="312">
        <v>0.13028964717618086</v>
      </c>
      <c r="B571" s="314">
        <v>0.81391455640053723</v>
      </c>
      <c r="C571" s="313">
        <v>559</v>
      </c>
      <c r="D571" s="311">
        <v>1105938.7719002517</v>
      </c>
    </row>
    <row r="572" spans="1:4">
      <c r="A572" s="312">
        <v>0.93904131346487918</v>
      </c>
      <c r="B572" s="314">
        <v>1.0065468644377193</v>
      </c>
      <c r="C572" s="313">
        <v>560</v>
      </c>
      <c r="D572" s="311">
        <v>321838.31295772106</v>
      </c>
    </row>
    <row r="573" spans="1:4">
      <c r="A573" s="312">
        <v>0.50375360561267479</v>
      </c>
      <c r="B573" s="314">
        <v>0.92399243610460124</v>
      </c>
      <c r="C573" s="313">
        <v>561</v>
      </c>
      <c r="D573" s="311">
        <v>532588.3261918046</v>
      </c>
    </row>
    <row r="574" spans="1:4">
      <c r="A574" s="312">
        <v>0.10966779588127284</v>
      </c>
      <c r="B574" s="314">
        <v>0.8045114388320771</v>
      </c>
      <c r="C574" s="313">
        <v>562</v>
      </c>
      <c r="D574" s="311">
        <v>173382.90943263727</v>
      </c>
    </row>
    <row r="575" spans="1:4">
      <c r="A575" s="312">
        <v>3.1685015192159716E-2</v>
      </c>
      <c r="B575" s="314">
        <v>0.75617605394045861</v>
      </c>
      <c r="C575" s="313">
        <v>563</v>
      </c>
      <c r="D575" s="311">
        <v>574707.07639284455</v>
      </c>
    </row>
    <row r="576" spans="1:4">
      <c r="A576" s="312">
        <v>0.43044374025432219</v>
      </c>
      <c r="B576" s="314">
        <v>0.90705344820795397</v>
      </c>
      <c r="C576" s="313">
        <v>564</v>
      </c>
      <c r="D576" s="311">
        <v>117502.52900236053</v>
      </c>
    </row>
    <row r="577" spans="1:4">
      <c r="A577" s="312">
        <v>0.39718909990310691</v>
      </c>
      <c r="B577" s="314">
        <v>0.89889457157061148</v>
      </c>
      <c r="C577" s="313">
        <v>565</v>
      </c>
      <c r="D577" s="311">
        <v>59947.802056523273</v>
      </c>
    </row>
    <row r="578" spans="1:4">
      <c r="A578" s="312">
        <v>0.27130112539822726</v>
      </c>
      <c r="B578" s="314">
        <v>0.86438041287334655</v>
      </c>
      <c r="C578" s="313">
        <v>566</v>
      </c>
      <c r="D578" s="311">
        <v>317272.25743894465</v>
      </c>
    </row>
    <row r="579" spans="1:4">
      <c r="A579" s="312">
        <v>0.627017707669969</v>
      </c>
      <c r="B579" s="314">
        <v>0.94989880091528034</v>
      </c>
      <c r="C579" s="313">
        <v>567</v>
      </c>
      <c r="D579" s="311">
        <v>567699.82257611072</v>
      </c>
    </row>
    <row r="580" spans="1:4">
      <c r="A580" s="312">
        <v>1.3677537859597577E-2</v>
      </c>
      <c r="B580" s="314">
        <v>0.73690865609259115</v>
      </c>
      <c r="C580" s="313">
        <v>568</v>
      </c>
      <c r="D580" s="311">
        <v>1113961.5272693436</v>
      </c>
    </row>
    <row r="581" spans="1:4">
      <c r="A581" s="312">
        <v>8.6450732273528841E-2</v>
      </c>
      <c r="B581" s="314">
        <v>0.79279158806154137</v>
      </c>
      <c r="C581" s="313">
        <v>569</v>
      </c>
      <c r="D581" s="311">
        <v>390677.4465742833</v>
      </c>
    </row>
    <row r="582" spans="1:4">
      <c r="A582" s="312">
        <v>0.63137929697472328</v>
      </c>
      <c r="B582" s="314">
        <v>0.95076645348002686</v>
      </c>
      <c r="C582" s="313">
        <v>570</v>
      </c>
      <c r="D582" s="311">
        <v>820067.34150470793</v>
      </c>
    </row>
    <row r="583" spans="1:4">
      <c r="A583" s="312">
        <v>2.6997043133574539E-2</v>
      </c>
      <c r="B583" s="314">
        <v>0.75185401267368357</v>
      </c>
      <c r="C583" s="313">
        <v>571</v>
      </c>
      <c r="D583" s="311">
        <v>430699.9463489519</v>
      </c>
    </row>
    <row r="584" spans="1:4">
      <c r="A584" s="312">
        <v>0.16452118072179389</v>
      </c>
      <c r="B584" s="314">
        <v>0.8280074299292437</v>
      </c>
      <c r="C584" s="313">
        <v>572</v>
      </c>
      <c r="D584" s="311">
        <v>-53978.183482343098</v>
      </c>
    </row>
    <row r="585" spans="1:4">
      <c r="A585" s="312">
        <v>0.33189279590258725</v>
      </c>
      <c r="B585" s="314">
        <v>0.88181226704047566</v>
      </c>
      <c r="C585" s="313">
        <v>573</v>
      </c>
      <c r="D585" s="311">
        <v>1085040.1920417717</v>
      </c>
    </row>
    <row r="586" spans="1:4">
      <c r="A586" s="312">
        <v>0.36576614621944203</v>
      </c>
      <c r="B586" s="314">
        <v>0.89086487953815163</v>
      </c>
      <c r="C586" s="313">
        <v>574</v>
      </c>
      <c r="D586" s="311">
        <v>444102.57712693978</v>
      </c>
    </row>
    <row r="587" spans="1:4">
      <c r="A587" s="312">
        <v>0.12356993086172985</v>
      </c>
      <c r="B587" s="314">
        <v>0.81093808659911193</v>
      </c>
      <c r="C587" s="313">
        <v>575</v>
      </c>
      <c r="D587" s="311">
        <v>-130121.93765994033</v>
      </c>
    </row>
    <row r="588" spans="1:4">
      <c r="A588" s="312">
        <v>0.56859718920003144</v>
      </c>
      <c r="B588" s="314">
        <v>0.93797241805316778</v>
      </c>
      <c r="C588" s="313">
        <v>576</v>
      </c>
      <c r="D588" s="311">
        <v>282686.46464120364</v>
      </c>
    </row>
    <row r="589" spans="1:4">
      <c r="A589" s="312">
        <v>0.37335025469110117</v>
      </c>
      <c r="B589" s="314">
        <v>0.89283350502628112</v>
      </c>
      <c r="C589" s="313">
        <v>577</v>
      </c>
      <c r="D589" s="311">
        <v>900994.07432568586</v>
      </c>
    </row>
    <row r="590" spans="1:4">
      <c r="A590" s="312">
        <v>0.44348146176308745</v>
      </c>
      <c r="B590" s="314">
        <v>0.91016578024385075</v>
      </c>
      <c r="C590" s="313">
        <v>578</v>
      </c>
      <c r="D590" s="311">
        <v>-80479.062224646099</v>
      </c>
    </row>
    <row r="591" spans="1:4">
      <c r="A591" s="312">
        <v>0.70452276409640902</v>
      </c>
      <c r="B591" s="314">
        <v>0.96489379448371437</v>
      </c>
      <c r="C591" s="313">
        <v>579</v>
      </c>
      <c r="D591" s="311">
        <v>229472.09070328786</v>
      </c>
    </row>
    <row r="592" spans="1:4">
      <c r="A592" s="312">
        <v>0.77893079385590014</v>
      </c>
      <c r="B592" s="314">
        <v>0.97853110746861283</v>
      </c>
      <c r="C592" s="313">
        <v>580</v>
      </c>
      <c r="D592" s="311">
        <v>283295.5129130045</v>
      </c>
    </row>
    <row r="593" spans="1:4">
      <c r="A593" s="312">
        <v>0.67076242637971073</v>
      </c>
      <c r="B593" s="314">
        <v>0.95846910131838325</v>
      </c>
      <c r="C593" s="313">
        <v>581</v>
      </c>
      <c r="D593" s="311">
        <v>420753.23278631456</v>
      </c>
    </row>
    <row r="594" spans="1:4">
      <c r="A594" s="312">
        <v>0.78315679170020869</v>
      </c>
      <c r="B594" s="314">
        <v>0.97928565438653914</v>
      </c>
      <c r="C594" s="313">
        <v>582</v>
      </c>
      <c r="D594" s="311">
        <v>771882.28939633491</v>
      </c>
    </row>
    <row r="595" spans="1:4">
      <c r="A595" s="312">
        <v>9.7565963358098085E-2</v>
      </c>
      <c r="B595" s="314">
        <v>0.79857650988456519</v>
      </c>
      <c r="C595" s="313">
        <v>583</v>
      </c>
      <c r="D595" s="311">
        <v>707806.73500863276</v>
      </c>
    </row>
    <row r="596" spans="1:4">
      <c r="A596" s="312">
        <v>0.37012167553735908</v>
      </c>
      <c r="B596" s="314">
        <v>0.89199792231555253</v>
      </c>
      <c r="C596" s="313">
        <v>584</v>
      </c>
      <c r="D596" s="311">
        <v>8228.8490983212832</v>
      </c>
    </row>
    <row r="597" spans="1:4">
      <c r="A597" s="312">
        <v>0.81599180815016736</v>
      </c>
      <c r="B597" s="314">
        <v>0.98508027476381999</v>
      </c>
      <c r="C597" s="313">
        <v>585</v>
      </c>
      <c r="D597" s="311">
        <v>-9891.5683191334829</v>
      </c>
    </row>
    <row r="598" spans="1:4">
      <c r="A598" s="312">
        <v>0.21914077162712731</v>
      </c>
      <c r="B598" s="314">
        <v>0.84773583888326143</v>
      </c>
      <c r="C598" s="313">
        <v>586</v>
      </c>
      <c r="D598" s="311">
        <v>1016445.018247077</v>
      </c>
    </row>
    <row r="599" spans="1:4">
      <c r="A599" s="312">
        <v>0.85212251309224274</v>
      </c>
      <c r="B599" s="314">
        <v>0.99132334575833725</v>
      </c>
      <c r="C599" s="313">
        <v>587</v>
      </c>
      <c r="D599" s="311">
        <v>449716.98209092719</v>
      </c>
    </row>
    <row r="600" spans="1:4">
      <c r="A600" s="312">
        <v>0.65633493378058405</v>
      </c>
      <c r="B600" s="314">
        <v>0.95567427286918694</v>
      </c>
      <c r="C600" s="313">
        <v>588</v>
      </c>
      <c r="D600" s="311">
        <v>328868.05024082609</v>
      </c>
    </row>
    <row r="601" spans="1:4">
      <c r="A601" s="312">
        <v>0.24291193261300748</v>
      </c>
      <c r="B601" s="314">
        <v>0.85554236351809154</v>
      </c>
      <c r="C601" s="313">
        <v>589</v>
      </c>
      <c r="D601" s="311">
        <v>341870.80538568599</v>
      </c>
    </row>
    <row r="602" spans="1:4">
      <c r="A602" s="312">
        <v>0.44606161937498612</v>
      </c>
      <c r="B602" s="314">
        <v>0.91077626169274484</v>
      </c>
      <c r="C602" s="313">
        <v>590</v>
      </c>
      <c r="D602" s="311">
        <v>130652.40135525074</v>
      </c>
    </row>
    <row r="603" spans="1:4">
      <c r="A603" s="312">
        <v>0.53877889607861351</v>
      </c>
      <c r="B603" s="314">
        <v>0.93164853466520348</v>
      </c>
      <c r="C603" s="313">
        <v>591</v>
      </c>
      <c r="D603" s="311">
        <v>350581.31806697091</v>
      </c>
    </row>
    <row r="604" spans="1:4">
      <c r="A604" s="312">
        <v>0.76147429365410102</v>
      </c>
      <c r="B604" s="314">
        <v>0.97539236308130728</v>
      </c>
      <c r="C604" s="313">
        <v>592</v>
      </c>
      <c r="D604" s="311">
        <v>106658.08646654384</v>
      </c>
    </row>
    <row r="605" spans="1:4">
      <c r="A605" s="312">
        <v>0.85555791921713886</v>
      </c>
      <c r="B605" s="314">
        <v>0.99191000278360719</v>
      </c>
      <c r="C605" s="313">
        <v>593</v>
      </c>
      <c r="D605" s="311">
        <v>605207.87892220868</v>
      </c>
    </row>
    <row r="606" spans="1:4">
      <c r="A606" s="312">
        <v>0.94586305437674123</v>
      </c>
      <c r="B606" s="314">
        <v>1.0080128320012738</v>
      </c>
      <c r="C606" s="313">
        <v>594</v>
      </c>
      <c r="D606" s="311">
        <v>605694.17974035721</v>
      </c>
    </row>
    <row r="607" spans="1:4">
      <c r="A607" s="312">
        <v>0.98806357661533462</v>
      </c>
      <c r="B607" s="314">
        <v>1.0207322284463316</v>
      </c>
      <c r="C607" s="313">
        <v>595</v>
      </c>
      <c r="D607" s="311">
        <v>703672.62171456614</v>
      </c>
    </row>
    <row r="608" spans="1:4">
      <c r="A608" s="312">
        <v>0.45943124260568668</v>
      </c>
      <c r="B608" s="314">
        <v>0.91391169639205883</v>
      </c>
      <c r="C608" s="313">
        <v>596</v>
      </c>
      <c r="D608" s="311">
        <v>397121.18900015717</v>
      </c>
    </row>
    <row r="609" spans="1:4">
      <c r="A609" s="312">
        <v>0.46456047576937176</v>
      </c>
      <c r="B609" s="314">
        <v>0.91510247040061699</v>
      </c>
      <c r="C609" s="313">
        <v>597</v>
      </c>
      <c r="D609" s="311">
        <v>164719.15917042363</v>
      </c>
    </row>
    <row r="610" spans="1:4">
      <c r="A610" s="312">
        <v>0.68478582997598925</v>
      </c>
      <c r="B610" s="314">
        <v>0.96115698842197173</v>
      </c>
      <c r="C610" s="313">
        <v>598</v>
      </c>
      <c r="D610" s="311">
        <v>608967.97425507894</v>
      </c>
    </row>
    <row r="611" spans="1:4">
      <c r="A611" s="312">
        <v>0.46205463846506811</v>
      </c>
      <c r="B611" s="314">
        <v>0.91452155505530874</v>
      </c>
      <c r="C611" s="313">
        <v>599</v>
      </c>
      <c r="D611" s="311">
        <v>428022.55180347897</v>
      </c>
    </row>
    <row r="612" spans="1:4">
      <c r="A612" s="312">
        <v>0.25160894845698245</v>
      </c>
      <c r="B612" s="314">
        <v>0.85830233127233957</v>
      </c>
      <c r="C612" s="313">
        <v>600</v>
      </c>
      <c r="D612" s="311">
        <v>877679.71379146143</v>
      </c>
    </row>
    <row r="613" spans="1:4">
      <c r="A613" s="312">
        <v>0.73515577080660954</v>
      </c>
      <c r="B613" s="314">
        <v>0.97059137819430297</v>
      </c>
      <c r="C613" s="313">
        <v>601</v>
      </c>
      <c r="D613" s="311">
        <v>121662.00379481725</v>
      </c>
    </row>
    <row r="614" spans="1:4">
      <c r="A614" s="312">
        <v>7.0447486546933225E-2</v>
      </c>
      <c r="B614" s="314">
        <v>0.78376392527297045</v>
      </c>
      <c r="C614" s="313">
        <v>602</v>
      </c>
      <c r="D614" s="311">
        <v>73653.438681205036</v>
      </c>
    </row>
    <row r="615" spans="1:4">
      <c r="A615" s="312">
        <v>0.78293437496829332</v>
      </c>
      <c r="B615" s="314">
        <v>0.97924599297124382</v>
      </c>
      <c r="C615" s="313">
        <v>603</v>
      </c>
      <c r="D615" s="311">
        <v>277546.17951506888</v>
      </c>
    </row>
    <row r="616" spans="1:4">
      <c r="A616" s="312">
        <v>0.38133759965195702</v>
      </c>
      <c r="B616" s="314">
        <v>0.89488530071794614</v>
      </c>
      <c r="C616" s="313">
        <v>604</v>
      </c>
      <c r="D616" s="311">
        <v>645523.038073248</v>
      </c>
    </row>
    <row r="617" spans="1:4">
      <c r="A617" s="312">
        <v>0.22651501152715248</v>
      </c>
      <c r="B617" s="314">
        <v>0.85020097909205594</v>
      </c>
      <c r="C617" s="313">
        <v>605</v>
      </c>
      <c r="D617" s="311">
        <v>689292.9526091211</v>
      </c>
    </row>
    <row r="618" spans="1:4">
      <c r="A618" s="312">
        <v>0.23991508208442047</v>
      </c>
      <c r="B618" s="314">
        <v>0.85457990800452333</v>
      </c>
      <c r="C618" s="313">
        <v>606</v>
      </c>
      <c r="D618" s="311">
        <v>395503.15662593371</v>
      </c>
    </row>
    <row r="619" spans="1:4">
      <c r="A619" s="312">
        <v>0.67085944709114309</v>
      </c>
      <c r="B619" s="314">
        <v>0.95848779344273183</v>
      </c>
      <c r="C619" s="313">
        <v>607</v>
      </c>
      <c r="D619" s="311">
        <v>449439.4215369774</v>
      </c>
    </row>
    <row r="620" spans="1:4">
      <c r="A620" s="312">
        <v>0.96473099022976661</v>
      </c>
      <c r="B620" s="314">
        <v>1.0126373654093481</v>
      </c>
      <c r="C620" s="313">
        <v>608</v>
      </c>
      <c r="D620" s="311">
        <v>651493.50626145839</v>
      </c>
    </row>
    <row r="621" spans="1:4">
      <c r="A621" s="312">
        <v>0.50896976697161866</v>
      </c>
      <c r="B621" s="314">
        <v>0.92514912432461205</v>
      </c>
      <c r="C621" s="313">
        <v>609</v>
      </c>
      <c r="D621" s="311">
        <v>79204.832848361228</v>
      </c>
    </row>
    <row r="622" spans="1:4">
      <c r="A622" s="312">
        <v>0.50957513196443172</v>
      </c>
      <c r="B622" s="314">
        <v>0.92528297991208253</v>
      </c>
      <c r="C622" s="313">
        <v>610</v>
      </c>
      <c r="D622" s="311">
        <v>302757.82115962543</v>
      </c>
    </row>
    <row r="623" spans="1:4">
      <c r="A623" s="312">
        <v>0.62718631335123509</v>
      </c>
      <c r="B623" s="314">
        <v>0.94993239767415072</v>
      </c>
      <c r="C623" s="313">
        <v>611</v>
      </c>
      <c r="D623" s="311">
        <v>435638.41982139484</v>
      </c>
    </row>
    <row r="624" spans="1:4">
      <c r="A624" s="312">
        <v>0.36104282510356289</v>
      </c>
      <c r="B624" s="314">
        <v>0.88962850829081508</v>
      </c>
      <c r="C624" s="313">
        <v>612</v>
      </c>
      <c r="D624" s="311">
        <v>974590.9742895572</v>
      </c>
    </row>
    <row r="625" spans="1:4">
      <c r="A625" s="312">
        <v>0.74472967615045971</v>
      </c>
      <c r="B625" s="314">
        <v>0.97234762935057972</v>
      </c>
      <c r="C625" s="313">
        <v>613</v>
      </c>
      <c r="D625" s="311">
        <v>155162.07862528134</v>
      </c>
    </row>
    <row r="626" spans="1:4">
      <c r="A626" s="312">
        <v>0.58510871424187505</v>
      </c>
      <c r="B626" s="314">
        <v>0.94140293857536461</v>
      </c>
      <c r="C626" s="313">
        <v>614</v>
      </c>
      <c r="D626" s="311">
        <v>-36453.814040920464</v>
      </c>
    </row>
    <row r="627" spans="1:4">
      <c r="A627" s="312">
        <v>0.38028872254470791</v>
      </c>
      <c r="B627" s="314">
        <v>0.89461709810260848</v>
      </c>
      <c r="C627" s="313">
        <v>615</v>
      </c>
      <c r="D627" s="311">
        <v>634710.97954037855</v>
      </c>
    </row>
    <row r="628" spans="1:4">
      <c r="A628" s="312">
        <v>0.72317732355609599</v>
      </c>
      <c r="B628" s="314">
        <v>0.96837784982170549</v>
      </c>
      <c r="C628" s="313">
        <v>616</v>
      </c>
      <c r="D628" s="311">
        <v>201581.86509968084</v>
      </c>
    </row>
    <row r="629" spans="1:4">
      <c r="A629" s="312">
        <v>0.45742917697325836</v>
      </c>
      <c r="B629" s="314">
        <v>0.91344510553070768</v>
      </c>
      <c r="C629" s="313">
        <v>617</v>
      </c>
      <c r="D629" s="311">
        <v>57640.90794883878</v>
      </c>
    </row>
    <row r="630" spans="1:4">
      <c r="A630" s="312">
        <v>0.61305919262308572</v>
      </c>
      <c r="B630" s="314">
        <v>0.94710155234720561</v>
      </c>
      <c r="C630" s="313">
        <v>618</v>
      </c>
      <c r="D630" s="311">
        <v>424419.74764397298</v>
      </c>
    </row>
    <row r="631" spans="1:4">
      <c r="A631" s="312">
        <v>0.38044604047716823</v>
      </c>
      <c r="B631" s="314">
        <v>0.89465734856488577</v>
      </c>
      <c r="C631" s="313">
        <v>619</v>
      </c>
      <c r="D631" s="311">
        <v>168237.27189799468</v>
      </c>
    </row>
    <row r="632" spans="1:4">
      <c r="A632" s="312">
        <v>0.65247788373432758</v>
      </c>
      <c r="B632" s="314">
        <v>0.95492191191744469</v>
      </c>
      <c r="C632" s="313">
        <v>620</v>
      </c>
      <c r="D632" s="311">
        <v>-55086.003201090731</v>
      </c>
    </row>
    <row r="633" spans="1:4">
      <c r="A633" s="312">
        <v>0.99608301118383291</v>
      </c>
      <c r="B633" s="314">
        <v>1.0255417581535073</v>
      </c>
      <c r="C633" s="313">
        <v>621</v>
      </c>
      <c r="D633" s="311">
        <v>198326.44918097928</v>
      </c>
    </row>
    <row r="634" spans="1:4">
      <c r="A634" s="312">
        <v>0.76373456495347858</v>
      </c>
      <c r="B634" s="314">
        <v>0.97580078148317373</v>
      </c>
      <c r="C634" s="313">
        <v>622</v>
      </c>
      <c r="D634" s="311">
        <v>286400.74003169034</v>
      </c>
    </row>
    <row r="635" spans="1:4">
      <c r="A635" s="312">
        <v>0.76509065173006996</v>
      </c>
      <c r="B635" s="314">
        <v>0.97604552876463879</v>
      </c>
      <c r="C635" s="313">
        <v>623</v>
      </c>
      <c r="D635" s="311">
        <v>769752.23890375951</v>
      </c>
    </row>
    <row r="636" spans="1:4">
      <c r="A636" s="312">
        <v>0.88873547422622934</v>
      </c>
      <c r="B636" s="314">
        <v>0.99751613742874545</v>
      </c>
      <c r="C636" s="313">
        <v>624</v>
      </c>
      <c r="D636" s="311">
        <v>345412.41620373796</v>
      </c>
    </row>
    <row r="637" spans="1:4">
      <c r="A637" s="312">
        <v>0.54539410567107893</v>
      </c>
      <c r="B637" s="314">
        <v>0.93306630409290303</v>
      </c>
      <c r="C637" s="313">
        <v>625</v>
      </c>
      <c r="D637" s="311">
        <v>52331.331307005137</v>
      </c>
    </row>
    <row r="638" spans="1:4">
      <c r="A638" s="312">
        <v>9.3093026591227535E-2</v>
      </c>
      <c r="B638" s="314">
        <v>0.79629036752200411</v>
      </c>
      <c r="C638" s="313">
        <v>626</v>
      </c>
      <c r="D638" s="311">
        <v>85980.884747206233</v>
      </c>
    </row>
    <row r="639" spans="1:4">
      <c r="A639" s="312">
        <v>0.22498601278913244</v>
      </c>
      <c r="B639" s="314">
        <v>0.84969318499149926</v>
      </c>
      <c r="C639" s="313">
        <v>627</v>
      </c>
      <c r="D639" s="311">
        <v>378777.03474941477</v>
      </c>
    </row>
    <row r="640" spans="1:4">
      <c r="A640" s="312">
        <v>0.37203945013643325</v>
      </c>
      <c r="B640" s="314">
        <v>0.89249469544288906</v>
      </c>
      <c r="C640" s="313">
        <v>628</v>
      </c>
      <c r="D640" s="311">
        <v>299747.40929698106</v>
      </c>
    </row>
    <row r="641" spans="1:4">
      <c r="A641" s="312">
        <v>0.40024862402522798</v>
      </c>
      <c r="B641" s="314">
        <v>0.89965913859638791</v>
      </c>
      <c r="C641" s="313">
        <v>629</v>
      </c>
      <c r="D641" s="311">
        <v>375271.23947431962</v>
      </c>
    </row>
    <row r="642" spans="1:4">
      <c r="A642" s="312">
        <v>0.34391394475198311</v>
      </c>
      <c r="B642" s="314">
        <v>0.88507559833228644</v>
      </c>
      <c r="C642" s="313">
        <v>630</v>
      </c>
      <c r="D642" s="311">
        <v>122027.9392511542</v>
      </c>
    </row>
    <row r="643" spans="1:4">
      <c r="A643" s="312">
        <v>0.13068356884368526</v>
      </c>
      <c r="B643" s="314">
        <v>0.81408663279436921</v>
      </c>
      <c r="C643" s="313">
        <v>631</v>
      </c>
      <c r="D643" s="311">
        <v>179033.68171004532</v>
      </c>
    </row>
    <row r="644" spans="1:4">
      <c r="A644" s="312">
        <v>9.9964407048199533E-2</v>
      </c>
      <c r="B644" s="314">
        <v>0.79978079650983991</v>
      </c>
      <c r="C644" s="313">
        <v>632</v>
      </c>
      <c r="D644" s="311">
        <v>132865.01523334649</v>
      </c>
    </row>
    <row r="645" spans="1:4">
      <c r="A645" s="312">
        <v>0.67793503658048826</v>
      </c>
      <c r="B645" s="314">
        <v>0.95984736009309635</v>
      </c>
      <c r="C645" s="313">
        <v>633</v>
      </c>
      <c r="D645" s="311">
        <v>49865.909203840652</v>
      </c>
    </row>
    <row r="646" spans="1:4">
      <c r="A646" s="312">
        <v>0.75963194541973578</v>
      </c>
      <c r="B646" s="314">
        <v>0.9750590124363413</v>
      </c>
      <c r="C646" s="313">
        <v>634</v>
      </c>
      <c r="D646" s="311">
        <v>340906.0143097979</v>
      </c>
    </row>
    <row r="647" spans="1:4">
      <c r="A647" s="312">
        <v>0.49493780931835618</v>
      </c>
      <c r="B647" s="314">
        <v>0.92202382745090516</v>
      </c>
      <c r="C647" s="313">
        <v>635</v>
      </c>
      <c r="D647" s="311">
        <v>-68368.105555814691</v>
      </c>
    </row>
    <row r="648" spans="1:4">
      <c r="A648" s="312">
        <v>0.38052294842990431</v>
      </c>
      <c r="B648" s="314">
        <v>0.89467702276313932</v>
      </c>
      <c r="C648" s="313">
        <v>636</v>
      </c>
      <c r="D648" s="311">
        <v>32517.539746710565</v>
      </c>
    </row>
    <row r="649" spans="1:4">
      <c r="A649" s="312">
        <v>0.54151385931749041</v>
      </c>
      <c r="B649" s="314">
        <v>0.93223574052506508</v>
      </c>
      <c r="C649" s="313">
        <v>637</v>
      </c>
      <c r="D649" s="311">
        <v>436538.89350356464</v>
      </c>
    </row>
    <row r="650" spans="1:4">
      <c r="A650" s="312">
        <v>0.86521662087866569</v>
      </c>
      <c r="B650" s="314">
        <v>0.99355311697907889</v>
      </c>
      <c r="C650" s="313">
        <v>638</v>
      </c>
      <c r="D650" s="311">
        <v>228628.24551461684</v>
      </c>
    </row>
    <row r="651" spans="1:4">
      <c r="A651" s="312">
        <v>0.70722344927205982</v>
      </c>
      <c r="B651" s="314">
        <v>0.96540102469747857</v>
      </c>
      <c r="C651" s="313">
        <v>639</v>
      </c>
      <c r="D651" s="311">
        <v>465716.18805022398</v>
      </c>
    </row>
    <row r="652" spans="1:4">
      <c r="A652" s="312">
        <v>0.90541561421863204</v>
      </c>
      <c r="B652" s="314">
        <v>1.0002966296195082</v>
      </c>
      <c r="C652" s="313">
        <v>640</v>
      </c>
      <c r="D652" s="311">
        <v>272895.59908980667</v>
      </c>
    </row>
    <row r="653" spans="1:4">
      <c r="A653" s="312">
        <v>0.75053854901566752</v>
      </c>
      <c r="B653" s="314">
        <v>0.97340771855043562</v>
      </c>
      <c r="C653" s="313">
        <v>641</v>
      </c>
      <c r="D653" s="311">
        <v>403265.53366377018</v>
      </c>
    </row>
    <row r="654" spans="1:4">
      <c r="A654" s="312">
        <v>0.83720564552917875</v>
      </c>
      <c r="B654" s="314">
        <v>0.98876220098959045</v>
      </c>
      <c r="C654" s="313">
        <v>642</v>
      </c>
      <c r="D654" s="311">
        <v>564639.72010758263</v>
      </c>
    </row>
    <row r="655" spans="1:4">
      <c r="A655" s="312">
        <v>0.54259650542413873</v>
      </c>
      <c r="B655" s="314">
        <v>0.93246777851558504</v>
      </c>
      <c r="C655" s="313">
        <v>643</v>
      </c>
      <c r="D655" s="311">
        <v>81538.179646737874</v>
      </c>
    </row>
    <row r="656" spans="1:4">
      <c r="A656" s="312">
        <v>0.9394140900906599</v>
      </c>
      <c r="B656" s="314">
        <v>1.0066247844402705</v>
      </c>
      <c r="C656" s="313">
        <v>644</v>
      </c>
      <c r="D656" s="311">
        <v>444229.21321256785</v>
      </c>
    </row>
    <row r="657" spans="1:4">
      <c r="A657" s="312">
        <v>4.9219435254677091E-3</v>
      </c>
      <c r="B657" s="314">
        <v>0.72214076296256269</v>
      </c>
      <c r="C657" s="313">
        <v>645</v>
      </c>
      <c r="D657" s="311">
        <v>1009899.1592079056</v>
      </c>
    </row>
    <row r="658" spans="1:4">
      <c r="A658" s="312">
        <v>0.49855025111518514</v>
      </c>
      <c r="B658" s="314">
        <v>0.92283260580913473</v>
      </c>
      <c r="C658" s="313">
        <v>646</v>
      </c>
      <c r="D658" s="311">
        <v>81301.513835865073</v>
      </c>
    </row>
    <row r="659" spans="1:4">
      <c r="A659" s="312">
        <v>0.22219720395567744</v>
      </c>
      <c r="B659" s="314">
        <v>0.84876253285136527</v>
      </c>
      <c r="C659" s="313">
        <v>647</v>
      </c>
      <c r="D659" s="311">
        <v>208274.60686741257</v>
      </c>
    </row>
    <row r="660" spans="1:4">
      <c r="A660" s="312">
        <v>0.67362805238714984</v>
      </c>
      <c r="B660" s="314">
        <v>0.95902062772904384</v>
      </c>
      <c r="C660" s="313">
        <v>648</v>
      </c>
      <c r="D660" s="311">
        <v>602759.43569992227</v>
      </c>
    </row>
    <row r="661" spans="1:4">
      <c r="A661" s="312">
        <v>0.71836176197508106</v>
      </c>
      <c r="B661" s="314">
        <v>0.9674828074260855</v>
      </c>
      <c r="C661" s="313">
        <v>649</v>
      </c>
      <c r="D661" s="311">
        <v>-128894.34617724549</v>
      </c>
    </row>
    <row r="662" spans="1:4">
      <c r="A662" s="312">
        <v>0.12823215997424597</v>
      </c>
      <c r="B662" s="314">
        <v>0.81301152830823054</v>
      </c>
      <c r="C662" s="313">
        <v>650</v>
      </c>
      <c r="D662" s="311">
        <v>235066.70817158371</v>
      </c>
    </row>
    <row r="663" spans="1:4">
      <c r="A663" s="312">
        <v>0.29260352924282762</v>
      </c>
      <c r="B663" s="314">
        <v>0.87071199957226886</v>
      </c>
      <c r="C663" s="313">
        <v>651</v>
      </c>
      <c r="D663" s="311">
        <v>778633.87674002955</v>
      </c>
    </row>
    <row r="664" spans="1:4">
      <c r="A664" s="312">
        <v>0.83848102501258459</v>
      </c>
      <c r="B664" s="314">
        <v>0.98898206407676104</v>
      </c>
      <c r="C664" s="313">
        <v>652</v>
      </c>
      <c r="D664" s="311">
        <v>-79434.803666911321</v>
      </c>
    </row>
    <row r="665" spans="1:4">
      <c r="A665" s="312">
        <v>0.21845300020239644</v>
      </c>
      <c r="B665" s="314">
        <v>0.84750382286604109</v>
      </c>
      <c r="C665" s="313">
        <v>653</v>
      </c>
      <c r="D665" s="311">
        <v>1042059.3013262919</v>
      </c>
    </row>
    <row r="666" spans="1:4">
      <c r="A666" s="312">
        <v>0.13265976424727077</v>
      </c>
      <c r="B666" s="314">
        <v>0.8149460044975585</v>
      </c>
      <c r="C666" s="313">
        <v>654</v>
      </c>
      <c r="D666" s="311">
        <v>644656.87005736888</v>
      </c>
    </row>
    <row r="667" spans="1:4">
      <c r="A667" s="312">
        <v>9.503735727186724E-2</v>
      </c>
      <c r="B667" s="314">
        <v>0.79729072616459717</v>
      </c>
      <c r="C667" s="313">
        <v>655</v>
      </c>
      <c r="D667" s="311">
        <v>925695.4322478387</v>
      </c>
    </row>
    <row r="668" spans="1:4">
      <c r="A668" s="312">
        <v>0.51089719886625373</v>
      </c>
      <c r="B668" s="314">
        <v>0.92557503325284063</v>
      </c>
      <c r="C668" s="313">
        <v>656</v>
      </c>
      <c r="D668" s="311">
        <v>744849.39016168774</v>
      </c>
    </row>
    <row r="669" spans="1:4">
      <c r="A669" s="312">
        <v>0.22119606806998215</v>
      </c>
      <c r="B669" s="314">
        <v>0.84842702087467703</v>
      </c>
      <c r="C669" s="313">
        <v>657</v>
      </c>
      <c r="D669" s="311">
        <v>-78633.261076872237</v>
      </c>
    </row>
    <row r="670" spans="1:4">
      <c r="A670" s="312">
        <v>0.15375911254056041</v>
      </c>
      <c r="B670" s="314">
        <v>0.82374985568281123</v>
      </c>
      <c r="C670" s="313">
        <v>658</v>
      </c>
      <c r="D670" s="311">
        <v>-6017.6423681161832</v>
      </c>
    </row>
    <row r="671" spans="1:4">
      <c r="A671" s="312">
        <v>0.13160426826040961</v>
      </c>
      <c r="B671" s="314">
        <v>0.81448781229411671</v>
      </c>
      <c r="C671" s="313">
        <v>659</v>
      </c>
      <c r="D671" s="311">
        <v>-59929.974811541615</v>
      </c>
    </row>
    <row r="672" spans="1:4">
      <c r="A672" s="312">
        <v>0.18853693632373569</v>
      </c>
      <c r="B672" s="314">
        <v>0.83703215642065931</v>
      </c>
      <c r="C672" s="313">
        <v>660</v>
      </c>
      <c r="D672" s="311">
        <v>-103309.85622541164</v>
      </c>
    </row>
    <row r="673" spans="1:4">
      <c r="A673" s="312">
        <v>0.80371666191801205</v>
      </c>
      <c r="B673" s="314">
        <v>0.9829278863907398</v>
      </c>
      <c r="C673" s="313">
        <v>661</v>
      </c>
      <c r="D673" s="311">
        <v>-89940.74928560853</v>
      </c>
    </row>
    <row r="674" spans="1:4">
      <c r="A674" s="312">
        <v>0.11325090252357528</v>
      </c>
      <c r="B674" s="314">
        <v>0.80620503469118965</v>
      </c>
      <c r="C674" s="313">
        <v>662</v>
      </c>
      <c r="D674" s="311">
        <v>958428.43833435467</v>
      </c>
    </row>
    <row r="675" spans="1:4">
      <c r="A675" s="312">
        <v>0.20375273471126065</v>
      </c>
      <c r="B675" s="314">
        <v>0.84245444088025323</v>
      </c>
      <c r="C675" s="313">
        <v>663</v>
      </c>
      <c r="D675" s="311">
        <v>567266.53795173904</v>
      </c>
    </row>
    <row r="676" spans="1:4">
      <c r="A676" s="312">
        <v>0.96151021852065754</v>
      </c>
      <c r="B676" s="314">
        <v>1.0117729465471585</v>
      </c>
      <c r="C676" s="313">
        <v>664</v>
      </c>
      <c r="D676" s="311">
        <v>196738.8133827392</v>
      </c>
    </row>
    <row r="677" spans="1:4">
      <c r="A677" s="312">
        <v>0.56365043147934957</v>
      </c>
      <c r="B677" s="314">
        <v>0.93693498462051417</v>
      </c>
      <c r="C677" s="313">
        <v>665</v>
      </c>
      <c r="D677" s="311">
        <v>658388.5124157432</v>
      </c>
    </row>
    <row r="678" spans="1:4">
      <c r="A678" s="312">
        <v>0.77237031022550917</v>
      </c>
      <c r="B678" s="314">
        <v>0.97735567401259504</v>
      </c>
      <c r="C678" s="313">
        <v>666</v>
      </c>
      <c r="D678" s="311">
        <v>508901.39668815164</v>
      </c>
    </row>
    <row r="679" spans="1:4">
      <c r="A679" s="312">
        <v>0.24643316479535216</v>
      </c>
      <c r="B679" s="314">
        <v>0.85666567222221202</v>
      </c>
      <c r="C679" s="313">
        <v>667</v>
      </c>
      <c r="D679" s="311">
        <v>39585.350676157279</v>
      </c>
    </row>
    <row r="680" spans="1:4">
      <c r="A680" s="312">
        <v>0.70354566992467193</v>
      </c>
      <c r="B680" s="314">
        <v>0.96471004173722386</v>
      </c>
      <c r="C680" s="313">
        <v>668</v>
      </c>
      <c r="D680" s="311">
        <v>394948.83208804787</v>
      </c>
    </row>
    <row r="681" spans="1:4">
      <c r="A681" s="312">
        <v>0.56088948078064238</v>
      </c>
      <c r="B681" s="314">
        <v>0.93635397835830902</v>
      </c>
      <c r="C681" s="313">
        <v>669</v>
      </c>
      <c r="D681" s="311">
        <v>304352.19704003958</v>
      </c>
    </row>
    <row r="682" spans="1:4">
      <c r="A682" s="312">
        <v>0.24299120973910904</v>
      </c>
      <c r="B682" s="314">
        <v>0.85556774297456983</v>
      </c>
      <c r="C682" s="313">
        <v>670</v>
      </c>
      <c r="D682" s="311">
        <v>373623.61351372232</v>
      </c>
    </row>
    <row r="683" spans="1:4">
      <c r="A683" s="312">
        <v>0.43931723296936009</v>
      </c>
      <c r="B683" s="314">
        <v>0.90917673941318311</v>
      </c>
      <c r="C683" s="313">
        <v>671</v>
      </c>
      <c r="D683" s="311">
        <v>212270.14863315457</v>
      </c>
    </row>
    <row r="684" spans="1:4">
      <c r="A684" s="312">
        <v>0.54660569766883782</v>
      </c>
      <c r="B684" s="314">
        <v>0.93332503865992444</v>
      </c>
      <c r="C684" s="313">
        <v>672</v>
      </c>
      <c r="D684" s="311">
        <v>160461.17511526332</v>
      </c>
    </row>
    <row r="685" spans="1:4">
      <c r="A685" s="312">
        <v>0.40064539188631421</v>
      </c>
      <c r="B685" s="314">
        <v>0.89975807548459474</v>
      </c>
      <c r="C685" s="313">
        <v>673</v>
      </c>
      <c r="D685" s="311">
        <v>424744.83697330742</v>
      </c>
    </row>
    <row r="686" spans="1:4">
      <c r="A686" s="312">
        <v>0.7159976153318508</v>
      </c>
      <c r="B686" s="314">
        <v>0.96704229836927746</v>
      </c>
      <c r="C686" s="313">
        <v>674</v>
      </c>
      <c r="D686" s="311">
        <v>411663.01041330048</v>
      </c>
    </row>
    <row r="687" spans="1:4">
      <c r="A687" s="312">
        <v>0.77455568030625899</v>
      </c>
      <c r="B687" s="314">
        <v>0.97774777650656763</v>
      </c>
      <c r="C687" s="313">
        <v>675</v>
      </c>
      <c r="D687" s="311">
        <v>490805.75312697259</v>
      </c>
    </row>
    <row r="688" spans="1:4">
      <c r="A688" s="312">
        <v>7.2927693473963107E-3</v>
      </c>
      <c r="B688" s="314">
        <v>0.72695072845794817</v>
      </c>
      <c r="C688" s="313">
        <v>676</v>
      </c>
      <c r="D688" s="311">
        <v>-37257.189317508368</v>
      </c>
    </row>
    <row r="689" spans="1:4">
      <c r="A689" s="312">
        <v>1.657156867626286E-2</v>
      </c>
      <c r="B689" s="314">
        <v>0.7406261885490486</v>
      </c>
      <c r="C689" s="313">
        <v>677</v>
      </c>
      <c r="D689" s="311">
        <v>-95159.5260174945</v>
      </c>
    </row>
    <row r="690" spans="1:4">
      <c r="A690" s="312">
        <v>0.98161707938932707</v>
      </c>
      <c r="B690" s="314">
        <v>1.0180187377251135</v>
      </c>
      <c r="C690" s="313">
        <v>678</v>
      </c>
      <c r="D690" s="311">
        <v>786478.89248081925</v>
      </c>
    </row>
    <row r="691" spans="1:4">
      <c r="A691" s="312">
        <v>6.0667851362631753E-2</v>
      </c>
      <c r="B691" s="314">
        <v>0.77773266838843236</v>
      </c>
      <c r="C691" s="313">
        <v>679</v>
      </c>
      <c r="D691" s="311">
        <v>577103.21127508534</v>
      </c>
    </row>
    <row r="692" spans="1:4">
      <c r="A692" s="312">
        <v>0.99600035639780249</v>
      </c>
      <c r="B692" s="314">
        <v>1.0254740608631345</v>
      </c>
      <c r="C692" s="313">
        <v>680</v>
      </c>
      <c r="D692" s="311">
        <v>368978.65343093872</v>
      </c>
    </row>
    <row r="693" spans="1:4">
      <c r="A693" s="312">
        <v>0.36818246315804248</v>
      </c>
      <c r="B693" s="314">
        <v>0.89149428561581623</v>
      </c>
      <c r="C693" s="313">
        <v>681</v>
      </c>
      <c r="D693" s="311">
        <v>640516.22203812841</v>
      </c>
    </row>
    <row r="694" spans="1:4">
      <c r="A694" s="312">
        <v>0.7710874178982563</v>
      </c>
      <c r="B694" s="314">
        <v>0.97712523704749221</v>
      </c>
      <c r="C694" s="313">
        <v>682</v>
      </c>
      <c r="D694" s="311">
        <v>805803.73090023431</v>
      </c>
    </row>
    <row r="695" spans="1:4">
      <c r="A695" s="312">
        <v>0.70160724889721593</v>
      </c>
      <c r="B695" s="314">
        <v>0.96434512339597078</v>
      </c>
      <c r="C695" s="313">
        <v>683</v>
      </c>
      <c r="D695" s="311">
        <v>518124.4244461765</v>
      </c>
    </row>
    <row r="696" spans="1:4">
      <c r="A696" s="312">
        <v>0.78042643459525696</v>
      </c>
      <c r="B696" s="314">
        <v>0.97879838582918399</v>
      </c>
      <c r="C696" s="313">
        <v>684</v>
      </c>
      <c r="D696" s="311">
        <v>361436.77464108937</v>
      </c>
    </row>
    <row r="697" spans="1:4">
      <c r="A697" s="312">
        <v>0.37683798057869622</v>
      </c>
      <c r="B697" s="314">
        <v>0.89373210761459987</v>
      </c>
      <c r="C697" s="313">
        <v>685</v>
      </c>
      <c r="D697" s="311">
        <v>290975.64185667341</v>
      </c>
    </row>
    <row r="698" spans="1:4">
      <c r="A698" s="312">
        <v>0.26861575120612202</v>
      </c>
      <c r="B698" s="314">
        <v>0.86356486027860568</v>
      </c>
      <c r="C698" s="313">
        <v>686</v>
      </c>
      <c r="D698" s="311">
        <v>115683.3202553147</v>
      </c>
    </row>
    <row r="699" spans="1:4">
      <c r="A699" s="312">
        <v>0.28509722297026663</v>
      </c>
      <c r="B699" s="314">
        <v>0.8685080926385611</v>
      </c>
      <c r="C699" s="313">
        <v>687</v>
      </c>
      <c r="D699" s="311">
        <v>89168.061446108622</v>
      </c>
    </row>
    <row r="700" spans="1:4">
      <c r="A700" s="312">
        <v>0.23126775662892529</v>
      </c>
      <c r="B700" s="314">
        <v>0.85176855985626243</v>
      </c>
      <c r="C700" s="313">
        <v>688</v>
      </c>
      <c r="D700" s="311">
        <v>769375.1464726238</v>
      </c>
    </row>
    <row r="701" spans="1:4">
      <c r="A701" s="312">
        <v>0.51007804228888598</v>
      </c>
      <c r="B701" s="314">
        <v>0.92539412073251848</v>
      </c>
      <c r="C701" s="313">
        <v>689</v>
      </c>
      <c r="D701" s="311">
        <v>406094.17678599991</v>
      </c>
    </row>
    <row r="702" spans="1:4">
      <c r="A702" s="312">
        <v>0.59427258180937004</v>
      </c>
      <c r="B702" s="314">
        <v>0.94328599891004439</v>
      </c>
      <c r="C702" s="313">
        <v>690</v>
      </c>
      <c r="D702" s="311">
        <v>980947.01991751324</v>
      </c>
    </row>
    <row r="703" spans="1:4">
      <c r="A703" s="312">
        <v>0.4436860458130486</v>
      </c>
      <c r="B703" s="314">
        <v>0.91021425082561125</v>
      </c>
      <c r="C703" s="313">
        <v>691</v>
      </c>
      <c r="D703" s="311">
        <v>531629.42213183409</v>
      </c>
    </row>
    <row r="704" spans="1:4">
      <c r="A704" s="312">
        <v>0.67138715793762893</v>
      </c>
      <c r="B704" s="314">
        <v>0.95858943917371908</v>
      </c>
      <c r="C704" s="313">
        <v>692</v>
      </c>
      <c r="D704" s="311">
        <v>412761.52669043397</v>
      </c>
    </row>
    <row r="705" spans="1:4">
      <c r="A705" s="312">
        <v>0.64210669841298307</v>
      </c>
      <c r="B705" s="314">
        <v>0.9528877948909078</v>
      </c>
      <c r="C705" s="313">
        <v>693</v>
      </c>
      <c r="D705" s="311">
        <v>673046.83155224449</v>
      </c>
    </row>
    <row r="706" spans="1:4">
      <c r="A706" s="312">
        <v>2.8811144748772333E-2</v>
      </c>
      <c r="B706" s="314">
        <v>0.75356788831105159</v>
      </c>
      <c r="C706" s="313">
        <v>694</v>
      </c>
      <c r="D706" s="311">
        <v>174318.52686393796</v>
      </c>
    </row>
    <row r="707" spans="1:4">
      <c r="A707" s="312">
        <v>0.3887383692672628</v>
      </c>
      <c r="B707" s="314">
        <v>0.89676732137102744</v>
      </c>
      <c r="C707" s="313">
        <v>695</v>
      </c>
      <c r="D707" s="311">
        <v>1098115.6997857797</v>
      </c>
    </row>
    <row r="708" spans="1:4">
      <c r="A708" s="312">
        <v>0.31952524355363499</v>
      </c>
      <c r="B708" s="314">
        <v>0.87839260877107606</v>
      </c>
      <c r="C708" s="313">
        <v>696</v>
      </c>
      <c r="D708" s="311">
        <v>384083.23566595861</v>
      </c>
    </row>
    <row r="709" spans="1:4">
      <c r="A709" s="312">
        <v>0.47972858765221593</v>
      </c>
      <c r="B709" s="314">
        <v>0.91858586218669458</v>
      </c>
      <c r="C709" s="313">
        <v>697</v>
      </c>
      <c r="D709" s="311">
        <v>194421.09192335093</v>
      </c>
    </row>
    <row r="710" spans="1:4">
      <c r="A710" s="312">
        <v>0.76131611966305224</v>
      </c>
      <c r="B710" s="314">
        <v>0.97536375924540297</v>
      </c>
      <c r="C710" s="313">
        <v>698</v>
      </c>
      <c r="D710" s="311">
        <v>728646.79047173867</v>
      </c>
    </row>
    <row r="711" spans="1:4">
      <c r="A711" s="312">
        <v>0.37556092391608309</v>
      </c>
      <c r="B711" s="314">
        <v>0.89340356211866223</v>
      </c>
      <c r="C711" s="313">
        <v>699</v>
      </c>
      <c r="D711" s="311">
        <v>128150.67071769992</v>
      </c>
    </row>
    <row r="712" spans="1:4">
      <c r="A712" s="312">
        <v>0.15493478712964281</v>
      </c>
      <c r="B712" s="314">
        <v>0.8242220634939772</v>
      </c>
      <c r="C712" s="313">
        <v>700</v>
      </c>
      <c r="D712" s="311">
        <v>262076.2115325653</v>
      </c>
    </row>
    <row r="713" spans="1:4">
      <c r="A713" s="312">
        <v>0.6171829957927627</v>
      </c>
      <c r="B713" s="314">
        <v>0.94793123593921091</v>
      </c>
      <c r="C713" s="313">
        <v>701</v>
      </c>
      <c r="D713" s="311">
        <v>685619.92683772929</v>
      </c>
    </row>
    <row r="714" spans="1:4">
      <c r="A714" s="312">
        <v>0.12874812283153181</v>
      </c>
      <c r="B714" s="314">
        <v>0.81323866015288715</v>
      </c>
      <c r="C714" s="313">
        <v>702</v>
      </c>
      <c r="D714" s="311">
        <v>-5162.6858851066791</v>
      </c>
    </row>
    <row r="715" spans="1:4">
      <c r="A715" s="312">
        <v>0.52368873213795131</v>
      </c>
      <c r="B715" s="314">
        <v>0.92838148055187197</v>
      </c>
      <c r="C715" s="313">
        <v>703</v>
      </c>
      <c r="D715" s="311">
        <v>246686.96592968446</v>
      </c>
    </row>
    <row r="716" spans="1:4">
      <c r="A716" s="312">
        <v>0.38883495251998612</v>
      </c>
      <c r="B716" s="314">
        <v>0.89679176357836976</v>
      </c>
      <c r="C716" s="313">
        <v>704</v>
      </c>
      <c r="D716" s="311">
        <v>-104496.25301519246</v>
      </c>
    </row>
    <row r="717" spans="1:4">
      <c r="A717" s="312">
        <v>0.48302247030785417</v>
      </c>
      <c r="B717" s="314">
        <v>0.9193349988081676</v>
      </c>
      <c r="C717" s="313">
        <v>705</v>
      </c>
      <c r="D717" s="311">
        <v>100596.40920757153</v>
      </c>
    </row>
    <row r="718" spans="1:4">
      <c r="A718" s="312">
        <v>0.92475419620475141</v>
      </c>
      <c r="B718" s="314">
        <v>1.0037218785026458</v>
      </c>
      <c r="C718" s="313">
        <v>706</v>
      </c>
      <c r="D718" s="311">
        <v>54648.622925435891</v>
      </c>
    </row>
    <row r="719" spans="1:4">
      <c r="A719" s="312">
        <v>0.90472597297925228</v>
      </c>
      <c r="B719" s="314">
        <v>1.0001812905032459</v>
      </c>
      <c r="C719" s="313">
        <v>707</v>
      </c>
      <c r="D719" s="311">
        <v>319278.2366988326</v>
      </c>
    </row>
    <row r="720" spans="1:4">
      <c r="A720" s="312">
        <v>4.86973395424245E-2</v>
      </c>
      <c r="B720" s="314">
        <v>0.76964290635678434</v>
      </c>
      <c r="C720" s="313">
        <v>708</v>
      </c>
      <c r="D720" s="311">
        <v>984384.47239756631</v>
      </c>
    </row>
    <row r="721" spans="1:4">
      <c r="A721" s="312">
        <v>0.2615563837078152</v>
      </c>
      <c r="B721" s="314">
        <v>0.86140126393442507</v>
      </c>
      <c r="C721" s="313">
        <v>709</v>
      </c>
      <c r="D721" s="311">
        <v>914983.16114718374</v>
      </c>
    </row>
    <row r="722" spans="1:4">
      <c r="A722" s="312">
        <v>7.1965072900083138E-3</v>
      </c>
      <c r="B722" s="314">
        <v>0.72677226740338163</v>
      </c>
      <c r="C722" s="313">
        <v>710</v>
      </c>
      <c r="D722" s="311">
        <v>-74419.797273606528</v>
      </c>
    </row>
    <row r="723" spans="1:4">
      <c r="A723" s="312">
        <v>2.5103833290049948E-2</v>
      </c>
      <c r="B723" s="314">
        <v>0.75000279611193865</v>
      </c>
      <c r="C723" s="313">
        <v>711</v>
      </c>
      <c r="D723" s="311">
        <v>204904.42927208892</v>
      </c>
    </row>
    <row r="724" spans="1:4">
      <c r="A724" s="312">
        <v>0.76959238985076983</v>
      </c>
      <c r="B724" s="314">
        <v>0.97685645363248264</v>
      </c>
      <c r="C724" s="313">
        <v>712</v>
      </c>
      <c r="D724" s="311">
        <v>24100.532889814349</v>
      </c>
    </row>
    <row r="725" spans="1:4">
      <c r="A725" s="312">
        <v>0.79122458336942858</v>
      </c>
      <c r="B725" s="314">
        <v>0.98072051726623966</v>
      </c>
      <c r="C725" s="313">
        <v>713</v>
      </c>
      <c r="D725" s="311">
        <v>271426.94125360949</v>
      </c>
    </row>
    <row r="726" spans="1:4">
      <c r="A726" s="312">
        <v>0.64471374250365088</v>
      </c>
      <c r="B726" s="314">
        <v>0.95340065496983462</v>
      </c>
      <c r="C726" s="313">
        <v>714</v>
      </c>
      <c r="D726" s="311">
        <v>351352.69652637956</v>
      </c>
    </row>
    <row r="727" spans="1:4">
      <c r="A727" s="312">
        <v>6.6450252497152196E-3</v>
      </c>
      <c r="B727" s="314">
        <v>0.72572601905862555</v>
      </c>
      <c r="C727" s="313">
        <v>715</v>
      </c>
      <c r="D727" s="311">
        <v>212924.46877502953</v>
      </c>
    </row>
    <row r="728" spans="1:4">
      <c r="A728" s="312">
        <v>0.29024444687507012</v>
      </c>
      <c r="B728" s="314">
        <v>0.87002243392288603</v>
      </c>
      <c r="C728" s="313">
        <v>716</v>
      </c>
      <c r="D728" s="311">
        <v>733709.53782658838</v>
      </c>
    </row>
    <row r="729" spans="1:4">
      <c r="A729" s="312">
        <v>0.17959295881318804</v>
      </c>
      <c r="B729" s="314">
        <v>0.83374234140881398</v>
      </c>
      <c r="C729" s="313">
        <v>717</v>
      </c>
      <c r="D729" s="311">
        <v>-77591.324310203781</v>
      </c>
    </row>
    <row r="730" spans="1:4">
      <c r="A730" s="312">
        <v>0.75412129786835658</v>
      </c>
      <c r="B730" s="314">
        <v>0.97405950717864298</v>
      </c>
      <c r="C730" s="313">
        <v>718</v>
      </c>
      <c r="D730" s="311">
        <v>-101214.04029765446</v>
      </c>
    </row>
    <row r="731" spans="1:4">
      <c r="A731" s="312">
        <v>0.6834970876875619</v>
      </c>
      <c r="B731" s="314">
        <v>0.96091112866575445</v>
      </c>
      <c r="C731" s="313">
        <v>719</v>
      </c>
      <c r="D731" s="311">
        <v>185951.90849383874</v>
      </c>
    </row>
    <row r="732" spans="1:4">
      <c r="A732" s="312">
        <v>0.56129850719286423</v>
      </c>
      <c r="B732" s="314">
        <v>0.93644014274946796</v>
      </c>
      <c r="C732" s="313">
        <v>720</v>
      </c>
      <c r="D732" s="311">
        <v>87209.218895707047</v>
      </c>
    </row>
    <row r="733" spans="1:4">
      <c r="A733" s="312">
        <v>0.2151528226872178</v>
      </c>
      <c r="B733" s="314">
        <v>0.84638540997448786</v>
      </c>
      <c r="C733" s="313">
        <v>721</v>
      </c>
      <c r="D733" s="311">
        <v>107480.32117187581</v>
      </c>
    </row>
    <row r="734" spans="1:4">
      <c r="A734" s="312">
        <v>0.9010062442688006</v>
      </c>
      <c r="B734" s="314">
        <v>0.99956299894139156</v>
      </c>
      <c r="C734" s="313">
        <v>722</v>
      </c>
      <c r="D734" s="311">
        <v>93056.687377238879</v>
      </c>
    </row>
    <row r="735" spans="1:4">
      <c r="A735" s="312">
        <v>9.5818717434964285E-2</v>
      </c>
      <c r="B735" s="314">
        <v>0.79768985072473875</v>
      </c>
      <c r="C735" s="313">
        <v>723</v>
      </c>
      <c r="D735" s="311">
        <v>10917.549453604268</v>
      </c>
    </row>
    <row r="736" spans="1:4">
      <c r="A736" s="312">
        <v>0.36893061703062757</v>
      </c>
      <c r="B736" s="314">
        <v>0.89168874692117062</v>
      </c>
      <c r="C736" s="313">
        <v>724</v>
      </c>
      <c r="D736" s="311">
        <v>477172.00615278515</v>
      </c>
    </row>
    <row r="737" spans="1:4">
      <c r="A737" s="312">
        <v>0.89370084660803195</v>
      </c>
      <c r="B737" s="314">
        <v>0.99834609235183858</v>
      </c>
      <c r="C737" s="313">
        <v>725</v>
      </c>
      <c r="D737" s="311">
        <v>260103.48690198828</v>
      </c>
    </row>
    <row r="738" spans="1:4">
      <c r="A738" s="312">
        <v>0.70262621223292321</v>
      </c>
      <c r="B738" s="314">
        <v>0.96453701156495897</v>
      </c>
      <c r="C738" s="313">
        <v>726</v>
      </c>
      <c r="D738" s="311">
        <v>51343.574492731364</v>
      </c>
    </row>
    <row r="739" spans="1:4">
      <c r="A739" s="312">
        <v>0.34899344139561916</v>
      </c>
      <c r="B739" s="314">
        <v>0.88643734170751132</v>
      </c>
      <c r="C739" s="313">
        <v>727</v>
      </c>
      <c r="D739" s="311">
        <v>667200.99554621358</v>
      </c>
    </row>
    <row r="740" spans="1:4">
      <c r="A740" s="312">
        <v>0.89031736227051994</v>
      </c>
      <c r="B740" s="314">
        <v>0.99778079884663917</v>
      </c>
      <c r="C740" s="313">
        <v>728</v>
      </c>
      <c r="D740" s="311">
        <v>205216.44530836772</v>
      </c>
    </row>
    <row r="741" spans="1:4">
      <c r="A741" s="312">
        <v>0.38308447719219119</v>
      </c>
      <c r="B741" s="314">
        <v>0.89533116779536215</v>
      </c>
      <c r="C741" s="313">
        <v>729</v>
      </c>
      <c r="D741" s="311">
        <v>87898.306810716633</v>
      </c>
    </row>
    <row r="742" spans="1:4">
      <c r="A742" s="312">
        <v>0.18229543580056262</v>
      </c>
      <c r="B742" s="314">
        <v>0.83474484739689614</v>
      </c>
      <c r="C742" s="313">
        <v>730</v>
      </c>
      <c r="D742" s="311">
        <v>507995.51515916432</v>
      </c>
    </row>
    <row r="743" spans="1:4">
      <c r="A743" s="312">
        <v>0.29104955162248847</v>
      </c>
      <c r="B743" s="314">
        <v>0.87025808196921972</v>
      </c>
      <c r="C743" s="313">
        <v>731</v>
      </c>
      <c r="D743" s="311">
        <v>287082.95717939618</v>
      </c>
    </row>
    <row r="744" spans="1:4">
      <c r="A744" s="312">
        <v>0.23576501712565556</v>
      </c>
      <c r="B744" s="314">
        <v>0.85323710962946464</v>
      </c>
      <c r="C744" s="313">
        <v>732</v>
      </c>
      <c r="D744" s="311">
        <v>172585.77672456414</v>
      </c>
    </row>
    <row r="745" spans="1:4">
      <c r="A745" s="312">
        <v>0.57154997725749312</v>
      </c>
      <c r="B745" s="314">
        <v>0.93858952644906246</v>
      </c>
      <c r="C745" s="313">
        <v>733</v>
      </c>
      <c r="D745" s="311">
        <v>469295.2785649118</v>
      </c>
    </row>
    <row r="746" spans="1:4">
      <c r="A746" s="312">
        <v>6.1438714262227467E-2</v>
      </c>
      <c r="B746" s="314">
        <v>0.77822495618616716</v>
      </c>
      <c r="C746" s="313">
        <v>734</v>
      </c>
      <c r="D746" s="311">
        <v>171859.04610514757</v>
      </c>
    </row>
    <row r="747" spans="1:4">
      <c r="A747" s="312">
        <v>0.76874068842496657</v>
      </c>
      <c r="B747" s="314">
        <v>0.9767032138689794</v>
      </c>
      <c r="C747" s="313">
        <v>735</v>
      </c>
      <c r="D747" s="311">
        <v>287214.83189138607</v>
      </c>
    </row>
    <row r="748" spans="1:4">
      <c r="A748" s="312">
        <v>0.91659327420278758</v>
      </c>
      <c r="B748" s="314">
        <v>1.002228303236703</v>
      </c>
      <c r="C748" s="313">
        <v>736</v>
      </c>
      <c r="D748" s="311">
        <v>-20289.316417509224</v>
      </c>
    </row>
    <row r="749" spans="1:4">
      <c r="A749" s="312">
        <v>0.52141100926257911</v>
      </c>
      <c r="B749" s="314">
        <v>0.92788428006796975</v>
      </c>
      <c r="C749" s="313">
        <v>737</v>
      </c>
      <c r="D749" s="311">
        <v>348404.12335899496</v>
      </c>
    </row>
    <row r="750" spans="1:4">
      <c r="A750" s="312">
        <v>0.58726096536105754</v>
      </c>
      <c r="B750" s="314">
        <v>0.94184651668700736</v>
      </c>
      <c r="C750" s="313">
        <v>738</v>
      </c>
      <c r="D750" s="311">
        <v>296483.95340249036</v>
      </c>
    </row>
    <row r="751" spans="1:4">
      <c r="A751" s="312">
        <v>0.72122974606534718</v>
      </c>
      <c r="B751" s="314">
        <v>0.96801622409952104</v>
      </c>
      <c r="C751" s="313">
        <v>739</v>
      </c>
      <c r="D751" s="311">
        <v>683185.59979526396</v>
      </c>
    </row>
    <row r="752" spans="1:4">
      <c r="A752" s="312">
        <v>0.47347601146674867</v>
      </c>
      <c r="B752" s="314">
        <v>0.91715671310388935</v>
      </c>
      <c r="C752" s="313">
        <v>740</v>
      </c>
      <c r="D752" s="311">
        <v>127156.74015345657</v>
      </c>
    </row>
    <row r="753" spans="1:4">
      <c r="A753" s="312">
        <v>0.88906022806303986</v>
      </c>
      <c r="B753" s="314">
        <v>0.99757049031838263</v>
      </c>
      <c r="C753" s="313">
        <v>741</v>
      </c>
      <c r="D753" s="311">
        <v>454279.16833986086</v>
      </c>
    </row>
    <row r="754" spans="1:4">
      <c r="A754" s="312">
        <v>0.23699177356591339</v>
      </c>
      <c r="B754" s="314">
        <v>0.85363526180742555</v>
      </c>
      <c r="C754" s="313">
        <v>742</v>
      </c>
      <c r="D754" s="311">
        <v>90625.786126872059</v>
      </c>
    </row>
    <row r="755" spans="1:4">
      <c r="A755" s="312">
        <v>0.52918193584711526</v>
      </c>
      <c r="B755" s="314">
        <v>0.92957615325429532</v>
      </c>
      <c r="C755" s="313">
        <v>743</v>
      </c>
      <c r="D755" s="311">
        <v>470242.24567009113</v>
      </c>
    </row>
    <row r="756" spans="1:4">
      <c r="A756" s="312">
        <v>0.1879475813918221</v>
      </c>
      <c r="B756" s="314">
        <v>0.83681781171243774</v>
      </c>
      <c r="C756" s="313">
        <v>744</v>
      </c>
      <c r="D756" s="311">
        <v>1124602.9241392191</v>
      </c>
    </row>
    <row r="757" spans="1:4">
      <c r="A757" s="312">
        <v>0.428037148282848</v>
      </c>
      <c r="B757" s="314">
        <v>0.90647382355893047</v>
      </c>
      <c r="C757" s="313">
        <v>745</v>
      </c>
      <c r="D757" s="311">
        <v>374931.84953219933</v>
      </c>
    </row>
    <row r="758" spans="1:4">
      <c r="A758" s="312">
        <v>0.31817929943366274</v>
      </c>
      <c r="B758" s="314">
        <v>0.8780164884593803</v>
      </c>
      <c r="C758" s="313">
        <v>746</v>
      </c>
      <c r="D758" s="311">
        <v>536769.20691151638</v>
      </c>
    </row>
    <row r="759" spans="1:4">
      <c r="A759" s="312">
        <v>0.63301903711274854</v>
      </c>
      <c r="B759" s="314">
        <v>0.9510918721253675</v>
      </c>
      <c r="C759" s="313">
        <v>747</v>
      </c>
      <c r="D759" s="311">
        <v>-123825.03124871338</v>
      </c>
    </row>
    <row r="760" spans="1:4">
      <c r="A760" s="312">
        <v>9.0799446811451689E-2</v>
      </c>
      <c r="B760" s="314">
        <v>0.79509679285943302</v>
      </c>
      <c r="C760" s="313">
        <v>748</v>
      </c>
      <c r="D760" s="311">
        <v>195535.8023991941</v>
      </c>
    </row>
    <row r="761" spans="1:4">
      <c r="A761" s="312">
        <v>0.14496600689608974</v>
      </c>
      <c r="B761" s="314">
        <v>0.82015929110109276</v>
      </c>
      <c r="C761" s="313">
        <v>749</v>
      </c>
      <c r="D761" s="311">
        <v>461527.52488147747</v>
      </c>
    </row>
    <row r="762" spans="1:4">
      <c r="A762" s="312">
        <v>0.87444231936217809</v>
      </c>
      <c r="B762" s="314">
        <v>0.9951140274657635</v>
      </c>
      <c r="C762" s="313">
        <v>750</v>
      </c>
      <c r="D762" s="311">
        <v>768795.16726415441</v>
      </c>
    </row>
    <row r="763" spans="1:4">
      <c r="A763" s="312">
        <v>0.96515627342430066</v>
      </c>
      <c r="B763" s="314">
        <v>1.0127544094652456</v>
      </c>
      <c r="C763" s="313">
        <v>751</v>
      </c>
      <c r="D763" s="311">
        <v>208373.24581171223</v>
      </c>
    </row>
    <row r="764" spans="1:4">
      <c r="A764" s="312">
        <v>0.50583094448359056</v>
      </c>
      <c r="B764" s="314">
        <v>0.92445380201392302</v>
      </c>
      <c r="C764" s="313">
        <v>752</v>
      </c>
      <c r="D764" s="311">
        <v>116171.89285256481</v>
      </c>
    </row>
    <row r="765" spans="1:4">
      <c r="A765" s="312">
        <v>0.23858332995493459</v>
      </c>
      <c r="B765" s="314">
        <v>0.85415027974365587</v>
      </c>
      <c r="C765" s="313">
        <v>753</v>
      </c>
      <c r="D765" s="311">
        <v>166768.87820039899</v>
      </c>
    </row>
    <row r="766" spans="1:4">
      <c r="A766" s="312">
        <v>8.0332015169167992E-2</v>
      </c>
      <c r="B766" s="314">
        <v>0.7894475809963899</v>
      </c>
      <c r="C766" s="313">
        <v>754</v>
      </c>
      <c r="D766" s="311">
        <v>355354.53845425835</v>
      </c>
    </row>
    <row r="767" spans="1:4">
      <c r="A767" s="312">
        <v>0.86219894800584296</v>
      </c>
      <c r="B767" s="314">
        <v>0.99304074758318506</v>
      </c>
      <c r="C767" s="313">
        <v>755</v>
      </c>
      <c r="D767" s="311">
        <v>420485.44980031624</v>
      </c>
    </row>
    <row r="768" spans="1:4">
      <c r="A768" s="312">
        <v>0.73901818235847516</v>
      </c>
      <c r="B768" s="314">
        <v>0.97130127271598576</v>
      </c>
      <c r="C768" s="313">
        <v>756</v>
      </c>
      <c r="D768" s="311">
        <v>185753.19657308492</v>
      </c>
    </row>
    <row r="769" spans="1:4">
      <c r="A769" s="312">
        <v>0.72416195566563457</v>
      </c>
      <c r="B769" s="314">
        <v>0.96856049075453132</v>
      </c>
      <c r="C769" s="313">
        <v>757</v>
      </c>
      <c r="D769" s="311">
        <v>1026891.1400568052</v>
      </c>
    </row>
    <row r="770" spans="1:4">
      <c r="A770" s="312">
        <v>0.61260888575201755</v>
      </c>
      <c r="B770" s="314">
        <v>0.94701078462964228</v>
      </c>
      <c r="C770" s="313">
        <v>758</v>
      </c>
      <c r="D770" s="311">
        <v>-90374.968891704921</v>
      </c>
    </row>
    <row r="771" spans="1:4">
      <c r="A771" s="312">
        <v>2.3829005316437057E-2</v>
      </c>
      <c r="B771" s="314">
        <v>0.74871662868373523</v>
      </c>
      <c r="C771" s="313">
        <v>759</v>
      </c>
      <c r="D771" s="311">
        <v>320660.93104683585</v>
      </c>
    </row>
    <row r="772" spans="1:4">
      <c r="A772" s="312">
        <v>0.59487066197284744</v>
      </c>
      <c r="B772" s="314">
        <v>0.94340839050580683</v>
      </c>
      <c r="C772" s="313">
        <v>760</v>
      </c>
      <c r="D772" s="311">
        <v>774968.27860567276</v>
      </c>
    </row>
    <row r="773" spans="1:4">
      <c r="A773" s="312">
        <v>2.6979718494298588E-2</v>
      </c>
      <c r="B773" s="314">
        <v>0.75183737203215428</v>
      </c>
      <c r="C773" s="313">
        <v>761</v>
      </c>
      <c r="D773" s="311">
        <v>918790.08167171106</v>
      </c>
    </row>
    <row r="774" spans="1:4">
      <c r="A774" s="312">
        <v>0.2397888267706797</v>
      </c>
      <c r="B774" s="314">
        <v>0.85453922881309119</v>
      </c>
      <c r="C774" s="313">
        <v>762</v>
      </c>
      <c r="D774" s="311">
        <v>595896.53710024571</v>
      </c>
    </row>
    <row r="775" spans="1:4">
      <c r="A775" s="312">
        <v>0.47030789413048701</v>
      </c>
      <c r="B775" s="314">
        <v>0.91642897543102553</v>
      </c>
      <c r="C775" s="313">
        <v>763</v>
      </c>
      <c r="D775" s="311">
        <v>284105.4767023935</v>
      </c>
    </row>
    <row r="776" spans="1:4">
      <c r="A776" s="312">
        <v>1.6477071270789012E-2</v>
      </c>
      <c r="B776" s="314">
        <v>0.74051018993397777</v>
      </c>
      <c r="C776" s="313">
        <v>764</v>
      </c>
      <c r="D776" s="311">
        <v>958800.97169493139</v>
      </c>
    </row>
    <row r="777" spans="1:4">
      <c r="A777" s="312">
        <v>0.97543295999993429</v>
      </c>
      <c r="B777" s="314">
        <v>1.0158385274591228</v>
      </c>
      <c r="C777" s="313">
        <v>765</v>
      </c>
      <c r="D777" s="311">
        <v>469987.14209417207</v>
      </c>
    </row>
    <row r="778" spans="1:4">
      <c r="A778" s="312">
        <v>0.39552234998955316</v>
      </c>
      <c r="B778" s="314">
        <v>0.89847681586784967</v>
      </c>
      <c r="C778" s="313">
        <v>766</v>
      </c>
      <c r="D778" s="311">
        <v>380880.88825718686</v>
      </c>
    </row>
    <row r="779" spans="1:4">
      <c r="A779" s="312">
        <v>0.70617761873505047</v>
      </c>
      <c r="B779" s="314">
        <v>0.96520471673648234</v>
      </c>
      <c r="C779" s="313">
        <v>767</v>
      </c>
      <c r="D779" s="311">
        <v>284591.10005246219</v>
      </c>
    </row>
    <row r="780" spans="1:4">
      <c r="A780" s="312">
        <v>0.96137928755196722</v>
      </c>
      <c r="B780" s="314">
        <v>1.0117385865279842</v>
      </c>
      <c r="C780" s="313">
        <v>768</v>
      </c>
      <c r="D780" s="311">
        <v>659471.98994203284</v>
      </c>
    </row>
    <row r="781" spans="1:4">
      <c r="A781" s="312">
        <v>0.31514706303654361</v>
      </c>
      <c r="B781" s="314">
        <v>0.87716621271686834</v>
      </c>
      <c r="C781" s="313">
        <v>769</v>
      </c>
      <c r="D781" s="311">
        <v>894068.56429642625</v>
      </c>
    </row>
    <row r="782" spans="1:4">
      <c r="A782" s="312">
        <v>0.6765368666119842</v>
      </c>
      <c r="B782" s="314">
        <v>0.95957926781899971</v>
      </c>
      <c r="C782" s="313">
        <v>770</v>
      </c>
      <c r="D782" s="311">
        <v>-106992.95630024141</v>
      </c>
    </row>
    <row r="783" spans="1:4">
      <c r="A783" s="312">
        <v>0.18596418592219821</v>
      </c>
      <c r="B783" s="314">
        <v>0.83609398342851216</v>
      </c>
      <c r="C783" s="313">
        <v>771</v>
      </c>
      <c r="D783" s="311">
        <v>246274.86616686382</v>
      </c>
    </row>
    <row r="784" spans="1:4">
      <c r="A784" s="312">
        <v>9.3731329051553125E-2</v>
      </c>
      <c r="B784" s="314">
        <v>0.79661991627835427</v>
      </c>
      <c r="C784" s="313">
        <v>772</v>
      </c>
      <c r="D784" s="311">
        <v>505903.47637311323</v>
      </c>
    </row>
    <row r="785" spans="1:4">
      <c r="A785" s="312">
        <v>0.56024886553697417</v>
      </c>
      <c r="B785" s="314">
        <v>0.93621896493337231</v>
      </c>
      <c r="C785" s="313">
        <v>773</v>
      </c>
      <c r="D785" s="311">
        <v>184844.42315180646</v>
      </c>
    </row>
    <row r="786" spans="1:4">
      <c r="A786" s="312">
        <v>0.81715001291620049</v>
      </c>
      <c r="B786" s="314">
        <v>0.98528252204699363</v>
      </c>
      <c r="C786" s="313">
        <v>774</v>
      </c>
      <c r="D786" s="311">
        <v>516197.06201948761</v>
      </c>
    </row>
    <row r="787" spans="1:4">
      <c r="A787" s="312">
        <v>0.95709846039658886</v>
      </c>
      <c r="B787" s="314">
        <v>1.0106456195072013</v>
      </c>
      <c r="C787" s="313">
        <v>775</v>
      </c>
      <c r="D787" s="311">
        <v>561080.87633298128</v>
      </c>
    </row>
    <row r="788" spans="1:4">
      <c r="A788" s="312">
        <v>0.70143221364998409</v>
      </c>
      <c r="B788" s="314">
        <v>0.96431214725420866</v>
      </c>
      <c r="C788" s="313">
        <v>776</v>
      </c>
      <c r="D788" s="311">
        <v>170261.30219425191</v>
      </c>
    </row>
    <row r="789" spans="1:4">
      <c r="A789" s="312">
        <v>0.32851546000834519</v>
      </c>
      <c r="B789" s="314">
        <v>0.88088484225122166</v>
      </c>
      <c r="C789" s="313">
        <v>777</v>
      </c>
      <c r="D789" s="311">
        <v>797275.01457175333</v>
      </c>
    </row>
    <row r="790" spans="1:4">
      <c r="A790" s="312">
        <v>0.26113146031067891</v>
      </c>
      <c r="B790" s="314">
        <v>0.86127010473648558</v>
      </c>
      <c r="C790" s="313">
        <v>778</v>
      </c>
      <c r="D790" s="311">
        <v>272311.26724676089</v>
      </c>
    </row>
    <row r="791" spans="1:4">
      <c r="A791" s="312">
        <v>0.95799928817546143</v>
      </c>
      <c r="B791" s="314">
        <v>1.0108709167520145</v>
      </c>
      <c r="C791" s="313">
        <v>779</v>
      </c>
      <c r="D791" s="311">
        <v>291094.34017864149</v>
      </c>
    </row>
    <row r="792" spans="1:4">
      <c r="A792" s="312">
        <v>0.73431530238046827</v>
      </c>
      <c r="B792" s="314">
        <v>0.9704366568708912</v>
      </c>
      <c r="C792" s="313">
        <v>780</v>
      </c>
      <c r="D792" s="311">
        <v>469464.93040581862</v>
      </c>
    </row>
    <row r="793" spans="1:4">
      <c r="A793" s="312">
        <v>0.35443715785537966</v>
      </c>
      <c r="B793" s="314">
        <v>0.88788577130657442</v>
      </c>
      <c r="C793" s="313">
        <v>781</v>
      </c>
      <c r="D793" s="311">
        <v>736128.03843919514</v>
      </c>
    </row>
    <row r="794" spans="1:4">
      <c r="A794" s="312">
        <v>0.40338485979724059</v>
      </c>
      <c r="B794" s="314">
        <v>0.90043984868328319</v>
      </c>
      <c r="C794" s="313">
        <v>782</v>
      </c>
      <c r="D794" s="311">
        <v>425291.56765606208</v>
      </c>
    </row>
    <row r="795" spans="1:4">
      <c r="A795" s="312">
        <v>0.261939809799279</v>
      </c>
      <c r="B795" s="314">
        <v>0.86151952293353773</v>
      </c>
      <c r="C795" s="313">
        <v>783</v>
      </c>
      <c r="D795" s="311">
        <v>222605.57115476858</v>
      </c>
    </row>
    <row r="796" spans="1:4">
      <c r="A796" s="312">
        <v>0.10144772682735792</v>
      </c>
      <c r="B796" s="314">
        <v>0.80051836811391852</v>
      </c>
      <c r="C796" s="313">
        <v>784</v>
      </c>
      <c r="D796" s="311">
        <v>243638.7506960074</v>
      </c>
    </row>
    <row r="797" spans="1:4">
      <c r="A797" s="312">
        <v>0.83601006644608689</v>
      </c>
      <c r="B797" s="314">
        <v>0.98855594259148982</v>
      </c>
      <c r="C797" s="313">
        <v>785</v>
      </c>
      <c r="D797" s="311">
        <v>200774.35108584887</v>
      </c>
    </row>
    <row r="798" spans="1:4">
      <c r="A798" s="312">
        <v>0.68744468385459467</v>
      </c>
      <c r="B798" s="314">
        <v>0.96166350120440258</v>
      </c>
      <c r="C798" s="313">
        <v>786</v>
      </c>
      <c r="D798" s="311">
        <v>194129.69615848665</v>
      </c>
    </row>
    <row r="799" spans="1:4">
      <c r="A799" s="312">
        <v>0.31372976143379017</v>
      </c>
      <c r="B799" s="314">
        <v>0.87676738160404177</v>
      </c>
      <c r="C799" s="313">
        <v>787</v>
      </c>
      <c r="D799" s="311">
        <v>447368.89156094613</v>
      </c>
    </row>
    <row r="800" spans="1:4">
      <c r="A800" s="312">
        <v>0.21722399730829922</v>
      </c>
      <c r="B800" s="314">
        <v>0.84708831400153572</v>
      </c>
      <c r="C800" s="313">
        <v>788</v>
      </c>
      <c r="D800" s="311">
        <v>322668.8598905385</v>
      </c>
    </row>
    <row r="801" spans="1:4">
      <c r="A801" s="312">
        <v>9.0994778022019052E-2</v>
      </c>
      <c r="B801" s="314">
        <v>0.79519902581922752</v>
      </c>
      <c r="C801" s="313">
        <v>789</v>
      </c>
      <c r="D801" s="311">
        <v>181588.62092147651</v>
      </c>
    </row>
    <row r="802" spans="1:4">
      <c r="A802" s="312">
        <v>0.356561502677325</v>
      </c>
      <c r="B802" s="314">
        <v>0.88844798365118427</v>
      </c>
      <c r="C802" s="313">
        <v>790</v>
      </c>
      <c r="D802" s="311">
        <v>571589.08901650831</v>
      </c>
    </row>
    <row r="803" spans="1:4">
      <c r="A803" s="312">
        <v>0.12761808026264332</v>
      </c>
      <c r="B803" s="314">
        <v>0.81274060808877535</v>
      </c>
      <c r="C803" s="313">
        <v>791</v>
      </c>
      <c r="D803" s="311">
        <v>-36237.825726632494</v>
      </c>
    </row>
    <row r="804" spans="1:4">
      <c r="A804" s="312">
        <v>0.90190179372759738</v>
      </c>
      <c r="B804" s="314">
        <v>0.99971183634080441</v>
      </c>
      <c r="C804" s="313">
        <v>792</v>
      </c>
      <c r="D804" s="311">
        <v>197951.62194968597</v>
      </c>
    </row>
    <row r="805" spans="1:4">
      <c r="A805" s="312">
        <v>0.84671652418098975</v>
      </c>
      <c r="B805" s="314">
        <v>0.99039777664045081</v>
      </c>
      <c r="C805" s="313">
        <v>793</v>
      </c>
      <c r="D805" s="311">
        <v>363027.53427097248</v>
      </c>
    </row>
    <row r="806" spans="1:4">
      <c r="A806" s="312">
        <v>0.30811390188735777</v>
      </c>
      <c r="B806" s="314">
        <v>0.87517814217982193</v>
      </c>
      <c r="C806" s="313">
        <v>794</v>
      </c>
      <c r="D806" s="311">
        <v>624723.07270100177</v>
      </c>
    </row>
    <row r="807" spans="1:4">
      <c r="A807" s="312">
        <v>8.6811095979509867E-2</v>
      </c>
      <c r="B807" s="314">
        <v>0.79298478449486676</v>
      </c>
      <c r="C807" s="313">
        <v>795</v>
      </c>
      <c r="D807" s="311">
        <v>858114.36266851169</v>
      </c>
    </row>
    <row r="808" spans="1:4">
      <c r="A808" s="312">
        <v>0.21362385929575423</v>
      </c>
      <c r="B808" s="314">
        <v>0.84586434549441947</v>
      </c>
      <c r="C808" s="313">
        <v>796</v>
      </c>
      <c r="D808" s="311">
        <v>499398.28238947666</v>
      </c>
    </row>
    <row r="809" spans="1:4">
      <c r="A809" s="312">
        <v>8.1839072928057144E-2</v>
      </c>
      <c r="B809" s="314">
        <v>0.79028271687449547</v>
      </c>
      <c r="C809" s="313">
        <v>797</v>
      </c>
      <c r="D809" s="311">
        <v>-4714.2625709616113</v>
      </c>
    </row>
    <row r="810" spans="1:4">
      <c r="A810" s="312">
        <v>0.72793632889605342</v>
      </c>
      <c r="B810" s="314">
        <v>0.96925945743793585</v>
      </c>
      <c r="C810" s="313">
        <v>798</v>
      </c>
      <c r="D810" s="311">
        <v>277081.37298411527</v>
      </c>
    </row>
    <row r="811" spans="1:4">
      <c r="A811" s="312">
        <v>0.61313558434042825</v>
      </c>
      <c r="B811" s="314">
        <v>0.94711694720969797</v>
      </c>
      <c r="C811" s="313">
        <v>799</v>
      </c>
      <c r="D811" s="311">
        <v>843936.2526687514</v>
      </c>
    </row>
    <row r="812" spans="1:4">
      <c r="A812" s="312">
        <v>0.62427955881874897</v>
      </c>
      <c r="B812" s="314">
        <v>0.94935255734623258</v>
      </c>
      <c r="C812" s="313">
        <v>800</v>
      </c>
      <c r="D812" s="311">
        <v>255216.14268841827</v>
      </c>
    </row>
    <row r="813" spans="1:4">
      <c r="A813" s="312">
        <v>0.52567691480051604</v>
      </c>
      <c r="B813" s="314">
        <v>0.92881459465682059</v>
      </c>
      <c r="C813" s="313">
        <v>801</v>
      </c>
      <c r="D813" s="311">
        <v>856095.32983646984</v>
      </c>
    </row>
    <row r="814" spans="1:4">
      <c r="A814" s="312">
        <v>7.4030501669171134E-3</v>
      </c>
      <c r="B814" s="314">
        <v>0.7271537375124858</v>
      </c>
      <c r="C814" s="313">
        <v>802</v>
      </c>
      <c r="D814" s="311">
        <v>359808.98245895072</v>
      </c>
    </row>
    <row r="815" spans="1:4">
      <c r="A815" s="312">
        <v>0.89873598439629665</v>
      </c>
      <c r="B815" s="314">
        <v>0.9991853573863424</v>
      </c>
      <c r="C815" s="313">
        <v>803</v>
      </c>
      <c r="D815" s="311">
        <v>947499.68898990052</v>
      </c>
    </row>
    <row r="816" spans="1:4">
      <c r="A816" s="312">
        <v>0.99471493906686503</v>
      </c>
      <c r="B816" s="314">
        <v>1.024499574469707</v>
      </c>
      <c r="C816" s="313">
        <v>804</v>
      </c>
      <c r="D816" s="311">
        <v>159742.00859504426</v>
      </c>
    </row>
    <row r="817" spans="1:4">
      <c r="A817" s="312">
        <v>0.29050223392392271</v>
      </c>
      <c r="B817" s="314">
        <v>0.87009792176462952</v>
      </c>
      <c r="C817" s="313">
        <v>805</v>
      </c>
      <c r="D817" s="311">
        <v>195036.49219636736</v>
      </c>
    </row>
    <row r="818" spans="1:4">
      <c r="A818" s="312">
        <v>0.19202113443657753</v>
      </c>
      <c r="B818" s="314">
        <v>0.83829255003702197</v>
      </c>
      <c r="C818" s="313">
        <v>806</v>
      </c>
      <c r="D818" s="311">
        <v>585945.86710770079</v>
      </c>
    </row>
    <row r="819" spans="1:4">
      <c r="A819" s="312">
        <v>0.83065024660449915</v>
      </c>
      <c r="B819" s="314">
        <v>0.98762946167549781</v>
      </c>
      <c r="C819" s="313">
        <v>807</v>
      </c>
      <c r="D819" s="311">
        <v>230325.61596630164</v>
      </c>
    </row>
    <row r="820" spans="1:4">
      <c r="A820" s="312">
        <v>0.90360244545647173</v>
      </c>
      <c r="B820" s="314">
        <v>0.99999427585011114</v>
      </c>
      <c r="C820" s="313">
        <v>808</v>
      </c>
      <c r="D820" s="311">
        <v>880661.07638102211</v>
      </c>
    </row>
    <row r="821" spans="1:4">
      <c r="A821" s="312">
        <v>0.75168650047265761</v>
      </c>
      <c r="B821" s="314">
        <v>0.97361672771387164</v>
      </c>
      <c r="C821" s="313">
        <v>809</v>
      </c>
      <c r="D821" s="311">
        <v>96844.826412590221</v>
      </c>
    </row>
    <row r="822" spans="1:4">
      <c r="A822" s="312">
        <v>0.2944883808363693</v>
      </c>
      <c r="B822" s="314">
        <v>0.87126095103179824</v>
      </c>
      <c r="C822" s="313">
        <v>810</v>
      </c>
      <c r="D822" s="311">
        <v>561730.4007240911</v>
      </c>
    </row>
    <row r="823" spans="1:4">
      <c r="A823" s="312">
        <v>0.76564231074022115</v>
      </c>
      <c r="B823" s="314">
        <v>0.97614503041340794</v>
      </c>
      <c r="C823" s="313">
        <v>811</v>
      </c>
      <c r="D823" s="311">
        <v>121476.77554672631</v>
      </c>
    </row>
    <row r="824" spans="1:4">
      <c r="A824" s="312">
        <v>0.2160157605719365</v>
      </c>
      <c r="B824" s="314">
        <v>0.84667867850989609</v>
      </c>
      <c r="C824" s="313">
        <v>812</v>
      </c>
      <c r="D824" s="311">
        <v>596795.81469327095</v>
      </c>
    </row>
    <row r="825" spans="1:4">
      <c r="A825" s="312">
        <v>0.52401046439377175</v>
      </c>
      <c r="B825" s="314">
        <v>0.92845162375191104</v>
      </c>
      <c r="C825" s="313">
        <v>813</v>
      </c>
      <c r="D825" s="311">
        <v>501362.19368203799</v>
      </c>
    </row>
    <row r="826" spans="1:4">
      <c r="A826" s="312">
        <v>8.2088025278480581E-3</v>
      </c>
      <c r="B826" s="314">
        <v>0.72859329292638786</v>
      </c>
      <c r="C826" s="313">
        <v>814</v>
      </c>
      <c r="D826" s="311">
        <v>753232.58232987463</v>
      </c>
    </row>
    <row r="827" spans="1:4">
      <c r="A827" s="312">
        <v>0.40966037188945248</v>
      </c>
      <c r="B827" s="314">
        <v>0.90199296621788039</v>
      </c>
      <c r="C827" s="313">
        <v>815</v>
      </c>
      <c r="D827" s="311">
        <v>172602.59629075881</v>
      </c>
    </row>
    <row r="828" spans="1:4">
      <c r="A828" s="312">
        <v>0.21148272396526002</v>
      </c>
      <c r="B828" s="314">
        <v>0.84513151108811524</v>
      </c>
      <c r="C828" s="313">
        <v>816</v>
      </c>
      <c r="D828" s="311">
        <v>-35626.031958437059</v>
      </c>
    </row>
    <row r="829" spans="1:4">
      <c r="A829" s="312">
        <v>0.51078038314334584</v>
      </c>
      <c r="B829" s="314">
        <v>0.92554924311632125</v>
      </c>
      <c r="C829" s="313">
        <v>817</v>
      </c>
      <c r="D829" s="311">
        <v>717628.04423012817</v>
      </c>
    </row>
    <row r="830" spans="1:4">
      <c r="A830" s="312">
        <v>0.73734084469995942</v>
      </c>
      <c r="B830" s="314">
        <v>0.97099321375437098</v>
      </c>
      <c r="C830" s="313">
        <v>818</v>
      </c>
      <c r="D830" s="311">
        <v>245284.85186126875</v>
      </c>
    </row>
    <row r="831" spans="1:4">
      <c r="A831" s="312">
        <v>0.77693439208034465</v>
      </c>
      <c r="B831" s="314">
        <v>0.97817394046800099</v>
      </c>
      <c r="C831" s="313">
        <v>819</v>
      </c>
      <c r="D831" s="311">
        <v>517785.20533018233</v>
      </c>
    </row>
    <row r="832" spans="1:4">
      <c r="A832" s="312">
        <v>0.4650122960237385</v>
      </c>
      <c r="B832" s="314">
        <v>0.91520704670322428</v>
      </c>
      <c r="C832" s="313">
        <v>820</v>
      </c>
      <c r="D832" s="311">
        <v>330020.33351590461</v>
      </c>
    </row>
    <row r="833" spans="1:4">
      <c r="A833" s="312">
        <v>0.56199343308273575</v>
      </c>
      <c r="B833" s="314">
        <v>0.93658646199823292</v>
      </c>
      <c r="C833" s="313">
        <v>821</v>
      </c>
      <c r="D833" s="311">
        <v>434201.79439823981</v>
      </c>
    </row>
    <row r="834" spans="1:4">
      <c r="A834" s="312">
        <v>0.70152357618155803</v>
      </c>
      <c r="B834" s="314">
        <v>0.96432936020803739</v>
      </c>
      <c r="C834" s="313">
        <v>822</v>
      </c>
      <c r="D834" s="311">
        <v>180100.45792237646</v>
      </c>
    </row>
    <row r="835" spans="1:4">
      <c r="A835" s="312">
        <v>2.0963099452227851E-2</v>
      </c>
      <c r="B835" s="314">
        <v>0.74569324659566827</v>
      </c>
      <c r="C835" s="313">
        <v>823</v>
      </c>
      <c r="D835" s="311">
        <v>552995.99492276134</v>
      </c>
    </row>
    <row r="836" spans="1:4">
      <c r="A836" s="312">
        <v>0.86157349585282716</v>
      </c>
      <c r="B836" s="314">
        <v>0.99293444020595989</v>
      </c>
      <c r="C836" s="313">
        <v>824</v>
      </c>
      <c r="D836" s="311">
        <v>701300.09895746503</v>
      </c>
    </row>
    <row r="837" spans="1:4">
      <c r="A837" s="312">
        <v>0.72691539997888066</v>
      </c>
      <c r="B837" s="314">
        <v>0.96907057332275803</v>
      </c>
      <c r="C837" s="313">
        <v>825</v>
      </c>
      <c r="D837" s="311">
        <v>266760.16205170378</v>
      </c>
    </row>
    <row r="838" spans="1:4">
      <c r="A838" s="312">
        <v>0.61856906291130875</v>
      </c>
      <c r="B838" s="314">
        <v>0.94820948129829419</v>
      </c>
      <c r="C838" s="313">
        <v>826</v>
      </c>
      <c r="D838" s="311">
        <v>592124.77954304381</v>
      </c>
    </row>
    <row r="839" spans="1:4">
      <c r="A839" s="312">
        <v>0.60627931656613254</v>
      </c>
      <c r="B839" s="314">
        <v>0.94573139463525813</v>
      </c>
      <c r="C839" s="313">
        <v>827</v>
      </c>
      <c r="D839" s="311">
        <v>250161.77054023673</v>
      </c>
    </row>
    <row r="840" spans="1:4">
      <c r="A840" s="312">
        <v>0.22728406307193827</v>
      </c>
      <c r="B840" s="314">
        <v>0.85045574016733716</v>
      </c>
      <c r="C840" s="313">
        <v>828</v>
      </c>
      <c r="D840" s="311">
        <v>552223.28684376087</v>
      </c>
    </row>
    <row r="841" spans="1:4">
      <c r="A841" s="312">
        <v>0.13048712299460241</v>
      </c>
      <c r="B841" s="314">
        <v>0.81400085202463079</v>
      </c>
      <c r="C841" s="313">
        <v>829</v>
      </c>
      <c r="D841" s="311">
        <v>258339.67179086572</v>
      </c>
    </row>
    <row r="842" spans="1:4">
      <c r="A842" s="312">
        <v>0.54207080289559173</v>
      </c>
      <c r="B842" s="314">
        <v>0.93235513632837441</v>
      </c>
      <c r="C842" s="313">
        <v>830</v>
      </c>
      <c r="D842" s="311">
        <v>1049833.9196909254</v>
      </c>
    </row>
    <row r="843" spans="1:4">
      <c r="A843" s="312">
        <v>0.36259531852017468</v>
      </c>
      <c r="B843" s="314">
        <v>0.8900357746733738</v>
      </c>
      <c r="C843" s="313">
        <v>831</v>
      </c>
      <c r="D843" s="311">
        <v>398111.27325457847</v>
      </c>
    </row>
    <row r="844" spans="1:4">
      <c r="A844" s="312">
        <v>0.95331011421355361</v>
      </c>
      <c r="B844" s="314">
        <v>1.0097230880849988</v>
      </c>
      <c r="C844" s="313">
        <v>832</v>
      </c>
      <c r="D844" s="311">
        <v>186001.58590691024</v>
      </c>
    </row>
    <row r="845" spans="1:4">
      <c r="A845" s="312">
        <v>0.66449030384522023</v>
      </c>
      <c r="B845" s="314">
        <v>0.95725782488889677</v>
      </c>
      <c r="C845" s="313">
        <v>833</v>
      </c>
      <c r="D845" s="311">
        <v>246717.90048658708</v>
      </c>
    </row>
    <row r="846" spans="1:4">
      <c r="A846" s="312">
        <v>0.28848767051714896</v>
      </c>
      <c r="B846" s="314">
        <v>0.8695071015118897</v>
      </c>
      <c r="C846" s="313">
        <v>834</v>
      </c>
      <c r="D846" s="311">
        <v>374078.27187486016</v>
      </c>
    </row>
    <row r="847" spans="1:4">
      <c r="A847" s="312">
        <v>0.653528690120046</v>
      </c>
      <c r="B847" s="314">
        <v>0.95512710339955365</v>
      </c>
      <c r="C847" s="313">
        <v>835</v>
      </c>
      <c r="D847" s="311">
        <v>379214.7374427421</v>
      </c>
    </row>
    <row r="848" spans="1:4">
      <c r="A848" s="312">
        <v>0.1212267370171437</v>
      </c>
      <c r="B848" s="314">
        <v>0.809881221120478</v>
      </c>
      <c r="C848" s="313">
        <v>836</v>
      </c>
      <c r="D848" s="311">
        <v>954226.08317392087</v>
      </c>
    </row>
    <row r="849" spans="1:4">
      <c r="A849" s="312">
        <v>0.36408809593447622</v>
      </c>
      <c r="B849" s="314">
        <v>0.8904265543165979</v>
      </c>
      <c r="C849" s="313">
        <v>837</v>
      </c>
      <c r="D849" s="311">
        <v>990593.30406345148</v>
      </c>
    </row>
    <row r="850" spans="1:4">
      <c r="A850" s="312">
        <v>0.959299814867417</v>
      </c>
      <c r="B850" s="314">
        <v>1.0112004848676255</v>
      </c>
      <c r="C850" s="313">
        <v>838</v>
      </c>
      <c r="D850" s="311">
        <v>294463.56447800435</v>
      </c>
    </row>
    <row r="851" spans="1:4">
      <c r="A851" s="312">
        <v>0.81719284555221616</v>
      </c>
      <c r="B851" s="314">
        <v>0.98528999879062273</v>
      </c>
      <c r="C851" s="313">
        <v>839</v>
      </c>
      <c r="D851" s="311">
        <v>715758.60411297344</v>
      </c>
    </row>
    <row r="852" spans="1:4">
      <c r="A852" s="312">
        <v>0.2812653225948768</v>
      </c>
      <c r="B852" s="314">
        <v>0.8673718300613098</v>
      </c>
      <c r="C852" s="313">
        <v>840</v>
      </c>
      <c r="D852" s="311">
        <v>487483.43824830302</v>
      </c>
    </row>
    <row r="853" spans="1:4">
      <c r="A853" s="312">
        <v>0.38397227595601291</v>
      </c>
      <c r="B853" s="314">
        <v>0.895557376926298</v>
      </c>
      <c r="C853" s="313">
        <v>841</v>
      </c>
      <c r="D853" s="311">
        <v>1023980.2346709706</v>
      </c>
    </row>
    <row r="854" spans="1:4">
      <c r="A854" s="312">
        <v>9.7233007020323114E-3</v>
      </c>
      <c r="B854" s="314">
        <v>0.73111939375122692</v>
      </c>
      <c r="C854" s="313">
        <v>842</v>
      </c>
      <c r="D854" s="311">
        <v>945577.86734416429</v>
      </c>
    </row>
    <row r="855" spans="1:4">
      <c r="A855" s="312">
        <v>0.45714018265431489</v>
      </c>
      <c r="B855" s="314">
        <v>0.91337766977034773</v>
      </c>
      <c r="C855" s="313">
        <v>843</v>
      </c>
      <c r="D855" s="311">
        <v>-61799.168626494939</v>
      </c>
    </row>
    <row r="856" spans="1:4">
      <c r="A856" s="312">
        <v>0.68695994741830291</v>
      </c>
      <c r="B856" s="314">
        <v>0.96157123181664561</v>
      </c>
      <c r="C856" s="313">
        <v>844</v>
      </c>
      <c r="D856" s="311">
        <v>546995.0554375085</v>
      </c>
    </row>
    <row r="857" spans="1:4">
      <c r="A857" s="312">
        <v>0.55044997925089911</v>
      </c>
      <c r="B857" s="314">
        <v>0.93414408937615334</v>
      </c>
      <c r="C857" s="313">
        <v>845</v>
      </c>
      <c r="D857" s="311">
        <v>108452.36756234011</v>
      </c>
    </row>
    <row r="858" spans="1:4">
      <c r="A858" s="312">
        <v>0.40293162145726935</v>
      </c>
      <c r="B858" s="314">
        <v>0.900327211142391</v>
      </c>
      <c r="C858" s="313">
        <v>846</v>
      </c>
      <c r="D858" s="311">
        <v>266675.34783789609</v>
      </c>
    </row>
    <row r="859" spans="1:4">
      <c r="A859" s="312">
        <v>0.24033219216674095</v>
      </c>
      <c r="B859" s="314">
        <v>0.85471422394142049</v>
      </c>
      <c r="C859" s="313">
        <v>847</v>
      </c>
      <c r="D859" s="311">
        <v>235145.4652912321</v>
      </c>
    </row>
    <row r="860" spans="1:4">
      <c r="A860" s="312">
        <v>0.75988211419388074</v>
      </c>
      <c r="B860" s="314">
        <v>0.97510430115275759</v>
      </c>
      <c r="C860" s="313">
        <v>848</v>
      </c>
      <c r="D860" s="311">
        <v>136980.86770814285</v>
      </c>
    </row>
    <row r="861" spans="1:4">
      <c r="A861" s="312">
        <v>0.36857810425415127</v>
      </c>
      <c r="B861" s="314">
        <v>0.89159714584713479</v>
      </c>
      <c r="C861" s="313">
        <v>849</v>
      </c>
      <c r="D861" s="311">
        <v>404454.13828048576</v>
      </c>
    </row>
    <row r="862" spans="1:4">
      <c r="A862" s="312">
        <v>0.20403219672727635</v>
      </c>
      <c r="B862" s="314">
        <v>0.84255210083030962</v>
      </c>
      <c r="C862" s="313">
        <v>850</v>
      </c>
      <c r="D862" s="311">
        <v>541948.94596095197</v>
      </c>
    </row>
    <row r="863" spans="1:4">
      <c r="A863" s="312">
        <v>0.52021548156909414</v>
      </c>
      <c r="B863" s="314">
        <v>0.92762287561860979</v>
      </c>
      <c r="C863" s="313">
        <v>851</v>
      </c>
      <c r="D863" s="311">
        <v>-17306.685360707575</v>
      </c>
    </row>
    <row r="864" spans="1:4">
      <c r="A864" s="312">
        <v>0.79911877140587395</v>
      </c>
      <c r="B864" s="314">
        <v>0.98211744077686258</v>
      </c>
      <c r="C864" s="313">
        <v>852</v>
      </c>
      <c r="D864" s="311">
        <v>187303.27368479827</v>
      </c>
    </row>
    <row r="865" spans="1:4">
      <c r="A865" s="312">
        <v>0.97011461727621784</v>
      </c>
      <c r="B865" s="314">
        <v>1.0141756699266955</v>
      </c>
      <c r="C865" s="313">
        <v>853</v>
      </c>
      <c r="D865" s="311">
        <v>152058.10658205836</v>
      </c>
    </row>
    <row r="866" spans="1:4">
      <c r="A866" s="312">
        <v>0.22916916862527126</v>
      </c>
      <c r="B866" s="314">
        <v>0.85107839552173281</v>
      </c>
      <c r="C866" s="313">
        <v>854</v>
      </c>
      <c r="D866" s="311">
        <v>478872.70780871459</v>
      </c>
    </row>
    <row r="867" spans="1:4">
      <c r="A867" s="312">
        <v>0.83909513723246243</v>
      </c>
      <c r="B867" s="314">
        <v>0.98908787144075072</v>
      </c>
      <c r="C867" s="313">
        <v>855</v>
      </c>
      <c r="D867" s="311">
        <v>808575.68631111388</v>
      </c>
    </row>
    <row r="868" spans="1:4">
      <c r="A868" s="312">
        <v>0.97046350853263397</v>
      </c>
      <c r="B868" s="314">
        <v>1.0142799704258674</v>
      </c>
      <c r="C868" s="313">
        <v>856</v>
      </c>
      <c r="D868" s="311">
        <v>400891.07040031371</v>
      </c>
    </row>
    <row r="869" spans="1:4">
      <c r="A869" s="312">
        <v>0.72428979385796366</v>
      </c>
      <c r="B869" s="314">
        <v>0.96858419454920197</v>
      </c>
      <c r="C869" s="313">
        <v>857</v>
      </c>
      <c r="D869" s="311">
        <v>472781.56583656743</v>
      </c>
    </row>
    <row r="870" spans="1:4">
      <c r="A870" s="312">
        <v>0.74714319326761691</v>
      </c>
      <c r="B870" s="314">
        <v>0.97278858396200929</v>
      </c>
      <c r="C870" s="313">
        <v>858</v>
      </c>
      <c r="D870" s="311">
        <v>-93440.946810275316</v>
      </c>
    </row>
    <row r="871" spans="1:4">
      <c r="A871" s="312">
        <v>0.64778084753863541</v>
      </c>
      <c r="B871" s="314">
        <v>0.95400269290714357</v>
      </c>
      <c r="C871" s="313">
        <v>859</v>
      </c>
      <c r="D871" s="311">
        <v>622209.39984013722</v>
      </c>
    </row>
    <row r="872" spans="1:4">
      <c r="A872" s="312">
        <v>0.59290006143081453</v>
      </c>
      <c r="B872" s="314">
        <v>0.94300489220463302</v>
      </c>
      <c r="C872" s="313">
        <v>860</v>
      </c>
      <c r="D872" s="311">
        <v>449917.3776337239</v>
      </c>
    </row>
    <row r="873" spans="1:4">
      <c r="A873" s="312">
        <v>0.50669099308201415</v>
      </c>
      <c r="B873" s="314">
        <v>0.92464453687716741</v>
      </c>
      <c r="C873" s="313">
        <v>861</v>
      </c>
      <c r="D873" s="311">
        <v>398668.66759340162</v>
      </c>
    </row>
    <row r="874" spans="1:4">
      <c r="A874" s="312">
        <v>0.51585394610031121</v>
      </c>
      <c r="B874" s="314">
        <v>0.92666666136588971</v>
      </c>
      <c r="C874" s="313">
        <v>862</v>
      </c>
      <c r="D874" s="311">
        <v>831248.48255746299</v>
      </c>
    </row>
    <row r="875" spans="1:4">
      <c r="A875" s="312">
        <v>0.27276211953517882</v>
      </c>
      <c r="B875" s="314">
        <v>0.86482242424467282</v>
      </c>
      <c r="C875" s="313">
        <v>863</v>
      </c>
      <c r="D875" s="311">
        <v>974637.29786262661</v>
      </c>
    </row>
    <row r="876" spans="1:4">
      <c r="A876" s="312">
        <v>0.3620906528399811</v>
      </c>
      <c r="B876" s="314">
        <v>0.88990348128433028</v>
      </c>
      <c r="C876" s="313">
        <v>864</v>
      </c>
      <c r="D876" s="311">
        <v>103433.15364966798</v>
      </c>
    </row>
    <row r="877" spans="1:4">
      <c r="A877" s="312">
        <v>0.58113914489334795</v>
      </c>
      <c r="B877" s="314">
        <v>0.94058266661889556</v>
      </c>
      <c r="C877" s="313">
        <v>865</v>
      </c>
      <c r="D877" s="311">
        <v>839938.77179118269</v>
      </c>
    </row>
    <row r="878" spans="1:4">
      <c r="A878" s="312">
        <v>0.91161151947772556</v>
      </c>
      <c r="B878" s="314">
        <v>1.0013523315134105</v>
      </c>
      <c r="C878" s="313">
        <v>866</v>
      </c>
      <c r="D878" s="311">
        <v>543246.69513936201</v>
      </c>
    </row>
    <row r="879" spans="1:4">
      <c r="A879" s="312">
        <v>8.3922260892624667E-2</v>
      </c>
      <c r="B879" s="314">
        <v>0.7914245553881043</v>
      </c>
      <c r="C879" s="313">
        <v>867</v>
      </c>
      <c r="D879" s="311">
        <v>397349.15037170565</v>
      </c>
    </row>
    <row r="880" spans="1:4">
      <c r="A880" s="312">
        <v>3.3749638773578616E-2</v>
      </c>
      <c r="B880" s="314">
        <v>0.75797741311417632</v>
      </c>
      <c r="C880" s="313">
        <v>868</v>
      </c>
      <c r="D880" s="311">
        <v>613549.97489845008</v>
      </c>
    </row>
    <row r="881" spans="1:4">
      <c r="A881" s="312">
        <v>2.3053257865445986E-2</v>
      </c>
      <c r="B881" s="314">
        <v>0.74791708865891304</v>
      </c>
      <c r="C881" s="313">
        <v>869</v>
      </c>
      <c r="D881" s="311">
        <v>530936.89655366424</v>
      </c>
    </row>
    <row r="882" spans="1:4">
      <c r="A882" s="312">
        <v>0.82965220449105592</v>
      </c>
      <c r="B882" s="314">
        <v>0.9874566135978935</v>
      </c>
      <c r="C882" s="313">
        <v>870</v>
      </c>
      <c r="D882" s="311">
        <v>379367.09914416401</v>
      </c>
    </row>
    <row r="883" spans="1:4">
      <c r="A883" s="312">
        <v>0.48315254188396306</v>
      </c>
      <c r="B883" s="314">
        <v>0.91936452883043929</v>
      </c>
      <c r="C883" s="313">
        <v>871</v>
      </c>
      <c r="D883" s="311">
        <v>521699.70942757861</v>
      </c>
    </row>
    <row r="884" spans="1:4">
      <c r="A884" s="312">
        <v>0.68794329694708156</v>
      </c>
      <c r="B884" s="314">
        <v>0.96175837807337328</v>
      </c>
      <c r="C884" s="313">
        <v>872</v>
      </c>
      <c r="D884" s="311">
        <v>-23326.002910488751</v>
      </c>
    </row>
    <row r="885" spans="1:4">
      <c r="A885" s="312">
        <v>0.48294167366345031</v>
      </c>
      <c r="B885" s="314">
        <v>0.91931665362327553</v>
      </c>
      <c r="C885" s="313">
        <v>873</v>
      </c>
      <c r="D885" s="311">
        <v>429733.13116680109</v>
      </c>
    </row>
    <row r="886" spans="1:4">
      <c r="A886" s="312">
        <v>0.49661200966022945</v>
      </c>
      <c r="B886" s="314">
        <v>0.92239902464573376</v>
      </c>
      <c r="C886" s="313">
        <v>874</v>
      </c>
      <c r="D886" s="311">
        <v>727144.79837497533</v>
      </c>
    </row>
    <row r="887" spans="1:4">
      <c r="A887" s="312">
        <v>0.94520853197376797</v>
      </c>
      <c r="B887" s="314">
        <v>1.0078683134866411</v>
      </c>
      <c r="C887" s="313">
        <v>875</v>
      </c>
      <c r="D887" s="311">
        <v>389230.21801339812</v>
      </c>
    </row>
    <row r="888" spans="1:4">
      <c r="A888" s="312">
        <v>0.23705758158582002</v>
      </c>
      <c r="B888" s="314">
        <v>0.85365659109334324</v>
      </c>
      <c r="C888" s="313">
        <v>876</v>
      </c>
      <c r="D888" s="311">
        <v>573902.56868915679</v>
      </c>
    </row>
    <row r="889" spans="1:4">
      <c r="A889" s="312">
        <v>0.51761117836987247</v>
      </c>
      <c r="B889" s="314">
        <v>0.92705239782158033</v>
      </c>
      <c r="C889" s="313">
        <v>877</v>
      </c>
      <c r="D889" s="311">
        <v>897942.5972830106</v>
      </c>
    </row>
    <row r="890" spans="1:4">
      <c r="A890" s="312">
        <v>0.95523654001759073</v>
      </c>
      <c r="B890" s="314">
        <v>1.0101873298215283</v>
      </c>
      <c r="C890" s="313">
        <v>878</v>
      </c>
      <c r="D890" s="311">
        <v>453897.47146964073</v>
      </c>
    </row>
    <row r="891" spans="1:4">
      <c r="A891" s="312">
        <v>0.29190016425248233</v>
      </c>
      <c r="B891" s="314">
        <v>0.87050669601808728</v>
      </c>
      <c r="C891" s="313">
        <v>879</v>
      </c>
      <c r="D891" s="311">
        <v>449305.88674475485</v>
      </c>
    </row>
    <row r="892" spans="1:4">
      <c r="A892" s="312">
        <v>0.80003580945387065</v>
      </c>
      <c r="B892" s="314">
        <v>0.98227926794004083</v>
      </c>
      <c r="C892" s="313">
        <v>880</v>
      </c>
      <c r="D892" s="311">
        <v>350894.92353434116</v>
      </c>
    </row>
    <row r="893" spans="1:4">
      <c r="A893" s="312">
        <v>0.42910022897298483</v>
      </c>
      <c r="B893" s="314">
        <v>0.90673006558980429</v>
      </c>
      <c r="C893" s="313">
        <v>881</v>
      </c>
      <c r="D893" s="311">
        <v>276228.56719661877</v>
      </c>
    </row>
    <row r="894" spans="1:4">
      <c r="A894" s="312">
        <v>0.39500432375159855</v>
      </c>
      <c r="B894" s="314">
        <v>0.89834679807543438</v>
      </c>
      <c r="C894" s="313">
        <v>882</v>
      </c>
      <c r="D894" s="311">
        <v>32218.962710898835</v>
      </c>
    </row>
    <row r="895" spans="1:4">
      <c r="A895" s="312">
        <v>0.3693700139248044</v>
      </c>
      <c r="B895" s="314">
        <v>0.89180286373925466</v>
      </c>
      <c r="C895" s="313">
        <v>883</v>
      </c>
      <c r="D895" s="311">
        <v>694028.33760685613</v>
      </c>
    </row>
    <row r="896" spans="1:4">
      <c r="A896" s="312">
        <v>0.48825392298266634</v>
      </c>
      <c r="B896" s="314">
        <v>0.92051957153829189</v>
      </c>
      <c r="C896" s="313">
        <v>884</v>
      </c>
      <c r="D896" s="311">
        <v>50815.840794106014</v>
      </c>
    </row>
    <row r="897" spans="1:4">
      <c r="A897" s="312">
        <v>0.87648221484409405</v>
      </c>
      <c r="B897" s="314">
        <v>0.99545804735137877</v>
      </c>
      <c r="C897" s="313">
        <v>885</v>
      </c>
      <c r="D897" s="311">
        <v>190822.47948529432</v>
      </c>
    </row>
    <row r="898" spans="1:4">
      <c r="A898" s="312">
        <v>0.76262264078094166</v>
      </c>
      <c r="B898" s="314">
        <v>0.97559993863050198</v>
      </c>
      <c r="C898" s="313">
        <v>886</v>
      </c>
      <c r="D898" s="311">
        <v>79200.524276892655</v>
      </c>
    </row>
    <row r="899" spans="1:4">
      <c r="A899" s="312">
        <v>8.8948757865562444E-2</v>
      </c>
      <c r="B899" s="314">
        <v>0.79412266452289293</v>
      </c>
      <c r="C899" s="313">
        <v>887</v>
      </c>
      <c r="D899" s="311">
        <v>549000.96327458206</v>
      </c>
    </row>
    <row r="900" spans="1:4">
      <c r="A900" s="312">
        <v>0.26113605670955276</v>
      </c>
      <c r="B900" s="314">
        <v>0.86127152405697849</v>
      </c>
      <c r="C900" s="313">
        <v>888</v>
      </c>
      <c r="D900" s="311">
        <v>325062.64489761321</v>
      </c>
    </row>
    <row r="901" spans="1:4">
      <c r="A901" s="312">
        <v>0.6877289164348861</v>
      </c>
      <c r="B901" s="314">
        <v>0.96171758963348597</v>
      </c>
      <c r="C901" s="313">
        <v>889</v>
      </c>
      <c r="D901" s="311">
        <v>315115.90117090917</v>
      </c>
    </row>
    <row r="902" spans="1:4">
      <c r="A902" s="312">
        <v>3.8332267408089371E-2</v>
      </c>
      <c r="B902" s="314">
        <v>0.7617883394601711</v>
      </c>
      <c r="C902" s="313">
        <v>890</v>
      </c>
      <c r="D902" s="311">
        <v>1022817.7519227718</v>
      </c>
    </row>
    <row r="903" spans="1:4">
      <c r="A903" s="312">
        <v>2.4085944350974442E-3</v>
      </c>
      <c r="B903" s="314">
        <v>0.71548838404020032</v>
      </c>
      <c r="C903" s="313">
        <v>891</v>
      </c>
      <c r="D903" s="311">
        <v>257451.7781279732</v>
      </c>
    </row>
    <row r="904" spans="1:4">
      <c r="A904" s="312">
        <v>0.44724295905201317</v>
      </c>
      <c r="B904" s="314">
        <v>0.91105518472447355</v>
      </c>
      <c r="C904" s="313">
        <v>892</v>
      </c>
      <c r="D904" s="311">
        <v>730299.81319214776</v>
      </c>
    </row>
    <row r="905" spans="1:4">
      <c r="A905" s="312">
        <v>0.52061847906269021</v>
      </c>
      <c r="B905" s="314">
        <v>0.92771102533059535</v>
      </c>
      <c r="C905" s="313">
        <v>893</v>
      </c>
      <c r="D905" s="311">
        <v>392673.23511677817</v>
      </c>
    </row>
    <row r="906" spans="1:4">
      <c r="A906" s="312">
        <v>0.11370397857909409</v>
      </c>
      <c r="B906" s="314">
        <v>0.80641726667565117</v>
      </c>
      <c r="C906" s="313">
        <v>894</v>
      </c>
      <c r="D906" s="311">
        <v>193358.74563092459</v>
      </c>
    </row>
    <row r="907" spans="1:4">
      <c r="A907" s="312">
        <v>0.91289517231823303</v>
      </c>
      <c r="B907" s="314">
        <v>1.0015756310453514</v>
      </c>
      <c r="C907" s="313">
        <v>895</v>
      </c>
      <c r="D907" s="311">
        <v>313986.0900929214</v>
      </c>
    </row>
    <row r="908" spans="1:4">
      <c r="A908" s="312">
        <v>0.54674774477846066</v>
      </c>
      <c r="B908" s="314">
        <v>0.93335535392605462</v>
      </c>
      <c r="C908" s="313">
        <v>896</v>
      </c>
      <c r="D908" s="311">
        <v>463456.75278165005</v>
      </c>
    </row>
    <row r="909" spans="1:4">
      <c r="A909" s="312">
        <v>0.51682781146615064</v>
      </c>
      <c r="B909" s="314">
        <v>0.92688051911335645</v>
      </c>
      <c r="C909" s="313">
        <v>897</v>
      </c>
      <c r="D909" s="311">
        <v>269982.83046980225</v>
      </c>
    </row>
    <row r="910" spans="1:4">
      <c r="A910" s="312">
        <v>0.97024282853800203</v>
      </c>
      <c r="B910" s="314">
        <v>1.0142139273671302</v>
      </c>
      <c r="C910" s="313">
        <v>898</v>
      </c>
      <c r="D910" s="311">
        <v>157926.11199778505</v>
      </c>
    </row>
    <row r="911" spans="1:4">
      <c r="A911" s="312">
        <v>0.56712711200997645</v>
      </c>
      <c r="B911" s="314">
        <v>0.93766458656476415</v>
      </c>
      <c r="C911" s="313">
        <v>899</v>
      </c>
      <c r="D911" s="311">
        <v>47415.725951244356</v>
      </c>
    </row>
    <row r="912" spans="1:4">
      <c r="A912" s="312">
        <v>0.5773486384380877</v>
      </c>
      <c r="B912" s="314">
        <v>0.93979677734024292</v>
      </c>
      <c r="C912" s="313">
        <v>900</v>
      </c>
      <c r="D912" s="311">
        <v>51918.968891339144</v>
      </c>
    </row>
    <row r="913" spans="1:4">
      <c r="A913" s="312">
        <v>0.88642239153774649</v>
      </c>
      <c r="B913" s="314">
        <v>0.99712871743361431</v>
      </c>
      <c r="C913" s="313">
        <v>901</v>
      </c>
      <c r="D913" s="311">
        <v>605129.96918576676</v>
      </c>
    </row>
    <row r="914" spans="1:4">
      <c r="A914" s="312">
        <v>0.67705480238059124</v>
      </c>
      <c r="B914" s="314">
        <v>0.95967861175150371</v>
      </c>
      <c r="C914" s="313">
        <v>902</v>
      </c>
      <c r="D914" s="311">
        <v>285044.99344653473</v>
      </c>
    </row>
    <row r="915" spans="1:4">
      <c r="A915" s="312">
        <v>0.82928871524797343</v>
      </c>
      <c r="B915" s="314">
        <v>0.98739363610358621</v>
      </c>
      <c r="C915" s="313">
        <v>903</v>
      </c>
      <c r="D915" s="311">
        <v>99264.066779760644</v>
      </c>
    </row>
    <row r="916" spans="1:4">
      <c r="A916" s="312">
        <v>0.8678743220698889</v>
      </c>
      <c r="B916" s="314">
        <v>0.99400362743380732</v>
      </c>
      <c r="C916" s="313">
        <v>904</v>
      </c>
      <c r="D916" s="311">
        <v>289771.59275079379</v>
      </c>
    </row>
    <row r="917" spans="1:4">
      <c r="A917" s="312">
        <v>0.3556778448757919</v>
      </c>
      <c r="B917" s="314">
        <v>0.88821432574007331</v>
      </c>
      <c r="C917" s="313">
        <v>905</v>
      </c>
      <c r="D917" s="311">
        <v>460875.65395240346</v>
      </c>
    </row>
    <row r="918" spans="1:4">
      <c r="A918" s="312">
        <v>0.62946711740048567</v>
      </c>
      <c r="B918" s="314">
        <v>0.950386433021849</v>
      </c>
      <c r="C918" s="313">
        <v>906</v>
      </c>
      <c r="D918" s="311">
        <v>76143.45923749567</v>
      </c>
    </row>
    <row r="919" spans="1:4">
      <c r="A919" s="312">
        <v>4.8693557798619724E-2</v>
      </c>
      <c r="B919" s="314">
        <v>0.76964020213571627</v>
      </c>
      <c r="C919" s="313">
        <v>907</v>
      </c>
      <c r="D919" s="311">
        <v>984137.65257014055</v>
      </c>
    </row>
    <row r="920" spans="1:4">
      <c r="A920" s="312">
        <v>0.85674329893807111</v>
      </c>
      <c r="B920" s="314">
        <v>0.99211215416241316</v>
      </c>
      <c r="C920" s="313">
        <v>908</v>
      </c>
      <c r="D920" s="311">
        <v>796339.2759021197</v>
      </c>
    </row>
    <row r="921" spans="1:4">
      <c r="A921" s="312">
        <v>7.2954506586982437E-2</v>
      </c>
      <c r="B921" s="314">
        <v>0.78524135242819137</v>
      </c>
      <c r="C921" s="313">
        <v>909</v>
      </c>
      <c r="D921" s="311">
        <v>463016.23879424809</v>
      </c>
    </row>
    <row r="922" spans="1:4">
      <c r="A922" s="312">
        <v>0.24398287366538784</v>
      </c>
      <c r="B922" s="314">
        <v>0.85588486111590711</v>
      </c>
      <c r="C922" s="313">
        <v>910</v>
      </c>
      <c r="D922" s="311">
        <v>822438.46883725212</v>
      </c>
    </row>
    <row r="923" spans="1:4">
      <c r="A923" s="312">
        <v>0.8696413994563118</v>
      </c>
      <c r="B923" s="314">
        <v>0.99430278536782901</v>
      </c>
      <c r="C923" s="313">
        <v>911</v>
      </c>
      <c r="D923" s="311">
        <v>411780.40362267569</v>
      </c>
    </row>
    <row r="924" spans="1:4">
      <c r="A924" s="312">
        <v>0.39278542238127545</v>
      </c>
      <c r="B924" s="314">
        <v>0.89778891583206555</v>
      </c>
      <c r="C924" s="313">
        <v>912</v>
      </c>
      <c r="D924" s="311">
        <v>173600.67053190223</v>
      </c>
    </row>
    <row r="925" spans="1:4">
      <c r="A925" s="312">
        <v>0.84411931807496077</v>
      </c>
      <c r="B925" s="314">
        <v>0.98995205359208149</v>
      </c>
      <c r="C925" s="313">
        <v>913</v>
      </c>
      <c r="D925" s="311">
        <v>124034.08718796796</v>
      </c>
    </row>
    <row r="926" spans="1:4">
      <c r="A926" s="312">
        <v>0.71758238628337445</v>
      </c>
      <c r="B926" s="314">
        <v>0.96733766734223714</v>
      </c>
      <c r="C926" s="313">
        <v>914</v>
      </c>
      <c r="D926" s="311">
        <v>966002.43922747299</v>
      </c>
    </row>
    <row r="927" spans="1:4">
      <c r="A927" s="312">
        <v>0.15598007839059258</v>
      </c>
      <c r="B927" s="314">
        <v>0.82464040067063171</v>
      </c>
      <c r="C927" s="313">
        <v>915</v>
      </c>
      <c r="D927" s="311">
        <v>395976.4265121147</v>
      </c>
    </row>
    <row r="928" spans="1:4">
      <c r="A928" s="312">
        <v>0.38566289307779378</v>
      </c>
      <c r="B928" s="314">
        <v>0.89598742038288215</v>
      </c>
      <c r="C928" s="313">
        <v>916</v>
      </c>
      <c r="D928" s="311">
        <v>768523.3242248781</v>
      </c>
    </row>
    <row r="929" spans="1:4">
      <c r="A929" s="312">
        <v>0.54824166935261043</v>
      </c>
      <c r="B929" s="314">
        <v>0.93367394461817255</v>
      </c>
      <c r="C929" s="313">
        <v>917</v>
      </c>
      <c r="D929" s="311">
        <v>830120.40206616721</v>
      </c>
    </row>
    <row r="930" spans="1:4">
      <c r="A930" s="312">
        <v>0.77270361248865638</v>
      </c>
      <c r="B930" s="314">
        <v>0.9774155114388412</v>
      </c>
      <c r="C930" s="313">
        <v>918</v>
      </c>
      <c r="D930" s="311">
        <v>878894.35661711683</v>
      </c>
    </row>
    <row r="931" spans="1:4">
      <c r="A931" s="312">
        <v>0.59113852335192529</v>
      </c>
      <c r="B931" s="314">
        <v>0.94264363335078571</v>
      </c>
      <c r="C931" s="313">
        <v>919</v>
      </c>
      <c r="D931" s="311">
        <v>283661.24941063393</v>
      </c>
    </row>
    <row r="932" spans="1:4">
      <c r="A932" s="312">
        <v>0.49407358056478823</v>
      </c>
      <c r="B932" s="314">
        <v>0.92182990085333094</v>
      </c>
      <c r="C932" s="313">
        <v>920</v>
      </c>
      <c r="D932" s="311">
        <v>498290.03708666912</v>
      </c>
    </row>
    <row r="933" spans="1:4">
      <c r="A933" s="312">
        <v>0.76188410708994381</v>
      </c>
      <c r="B933" s="314">
        <v>0.97546645902305185</v>
      </c>
      <c r="C933" s="313">
        <v>921</v>
      </c>
      <c r="D933" s="311">
        <v>191675.19134388003</v>
      </c>
    </row>
    <row r="934" spans="1:4">
      <c r="A934" s="312">
        <v>0.53624196340700891</v>
      </c>
      <c r="B934" s="314">
        <v>0.93110251275541933</v>
      </c>
      <c r="C934" s="313">
        <v>922</v>
      </c>
      <c r="D934" s="311">
        <v>-101866.88731186243</v>
      </c>
    </row>
    <row r="935" spans="1:4">
      <c r="A935" s="312">
        <v>0.71036056965445515</v>
      </c>
      <c r="B935" s="314">
        <v>0.96598900979288715</v>
      </c>
      <c r="C935" s="313">
        <v>923</v>
      </c>
      <c r="D935" s="311">
        <v>643711.75562245725</v>
      </c>
    </row>
    <row r="936" spans="1:4">
      <c r="A936" s="312">
        <v>0.10214452918061723</v>
      </c>
      <c r="B936" s="314">
        <v>0.80086298685267843</v>
      </c>
      <c r="C936" s="313">
        <v>924</v>
      </c>
      <c r="D936" s="311">
        <v>-11852.700741272187</v>
      </c>
    </row>
    <row r="937" spans="1:4">
      <c r="A937" s="312">
        <v>0.32093989223458708</v>
      </c>
      <c r="B937" s="314">
        <v>0.87878707550882751</v>
      </c>
      <c r="C937" s="313">
        <v>925</v>
      </c>
      <c r="D937" s="311">
        <v>416313.65329358261</v>
      </c>
    </row>
    <row r="938" spans="1:4">
      <c r="A938" s="312">
        <v>0.91653783898508157</v>
      </c>
      <c r="B938" s="314">
        <v>1.002218413933748</v>
      </c>
      <c r="C938" s="313">
        <v>926</v>
      </c>
      <c r="D938" s="311">
        <v>244623.10790942097</v>
      </c>
    </row>
    <row r="939" spans="1:4">
      <c r="A939" s="312">
        <v>0.98689953524389629</v>
      </c>
      <c r="B939" s="314">
        <v>1.0201959834093706</v>
      </c>
      <c r="C939" s="313">
        <v>927</v>
      </c>
      <c r="D939" s="311">
        <v>156889.92903357791</v>
      </c>
    </row>
    <row r="940" spans="1:4">
      <c r="A940" s="312">
        <v>0.48650928082455125</v>
      </c>
      <c r="B940" s="314">
        <v>0.92012523570363014</v>
      </c>
      <c r="C940" s="313">
        <v>928</v>
      </c>
      <c r="D940" s="311">
        <v>556228.59807399055</v>
      </c>
    </row>
    <row r="941" spans="1:4">
      <c r="A941" s="312">
        <v>0.31198853066572585</v>
      </c>
      <c r="B941" s="314">
        <v>0.8762761609727634</v>
      </c>
      <c r="C941" s="313">
        <v>929</v>
      </c>
      <c r="D941" s="311">
        <v>40386.671748677734</v>
      </c>
    </row>
    <row r="942" spans="1:4">
      <c r="A942" s="312">
        <v>0.44661276634479385</v>
      </c>
      <c r="B942" s="314">
        <v>0.91090643747001043</v>
      </c>
      <c r="C942" s="313">
        <v>930</v>
      </c>
      <c r="D942" s="311">
        <v>429033.07172589004</v>
      </c>
    </row>
    <row r="943" spans="1:4">
      <c r="A943" s="312">
        <v>1.1309204772996462E-2</v>
      </c>
      <c r="B943" s="314">
        <v>0.73356141810138775</v>
      </c>
      <c r="C943" s="313">
        <v>931</v>
      </c>
      <c r="D943" s="311">
        <v>209142.27570860228</v>
      </c>
    </row>
    <row r="944" spans="1:4">
      <c r="A944" s="312">
        <v>0.9215704767107189</v>
      </c>
      <c r="B944" s="314">
        <v>1.0031300121792035</v>
      </c>
      <c r="C944" s="313">
        <v>932</v>
      </c>
      <c r="D944" s="311">
        <v>276990.32256103493</v>
      </c>
    </row>
    <row r="945" spans="1:4">
      <c r="A945" s="312">
        <v>0.69389129795774496</v>
      </c>
      <c r="B945" s="314">
        <v>0.96288753234106417</v>
      </c>
      <c r="C945" s="313">
        <v>933</v>
      </c>
      <c r="D945" s="311">
        <v>634843.64614430745</v>
      </c>
    </row>
    <row r="946" spans="1:4">
      <c r="A946" s="312">
        <v>0.41336384970685691</v>
      </c>
      <c r="B946" s="314">
        <v>0.9029039566381365</v>
      </c>
      <c r="C946" s="313">
        <v>934</v>
      </c>
      <c r="D946" s="311">
        <v>174830.59020493506</v>
      </c>
    </row>
    <row r="947" spans="1:4">
      <c r="A947" s="312">
        <v>0.21928605419667291</v>
      </c>
      <c r="B947" s="314">
        <v>0.84778480258346844</v>
      </c>
      <c r="C947" s="313">
        <v>935</v>
      </c>
      <c r="D947" s="311">
        <v>-46437.978107535513</v>
      </c>
    </row>
    <row r="948" spans="1:4">
      <c r="A948" s="312">
        <v>0.1427388310266493</v>
      </c>
      <c r="B948" s="314">
        <v>0.81923268862835374</v>
      </c>
      <c r="C948" s="313">
        <v>936</v>
      </c>
      <c r="D948" s="311">
        <v>147694.52852343488</v>
      </c>
    </row>
    <row r="949" spans="1:4">
      <c r="A949" s="312">
        <v>0.65350518395356361</v>
      </c>
      <c r="B949" s="314">
        <v>0.95512251514338065</v>
      </c>
      <c r="C949" s="313">
        <v>937</v>
      </c>
      <c r="D949" s="311">
        <v>254677.68709230958</v>
      </c>
    </row>
    <row r="950" spans="1:4">
      <c r="A950" s="312">
        <v>0.34515621585509582</v>
      </c>
      <c r="B950" s="314">
        <v>0.88540955806832444</v>
      </c>
      <c r="C950" s="313">
        <v>938</v>
      </c>
      <c r="D950" s="311">
        <v>897185.35995597835</v>
      </c>
    </row>
    <row r="951" spans="1:4">
      <c r="A951" s="312">
        <v>0.63994108893245172</v>
      </c>
      <c r="B951" s="314">
        <v>0.95246098206309737</v>
      </c>
      <c r="C951" s="313">
        <v>939</v>
      </c>
      <c r="D951" s="311">
        <v>878541.14024271164</v>
      </c>
    </row>
    <row r="952" spans="1:4">
      <c r="A952" s="312">
        <v>0.90994958034186424</v>
      </c>
      <c r="B952" s="314">
        <v>1.0010656216341871</v>
      </c>
      <c r="C952" s="313">
        <v>940</v>
      </c>
      <c r="D952" s="311">
        <v>1016575.1091298601</v>
      </c>
    </row>
    <row r="953" spans="1:4">
      <c r="A953" s="312">
        <v>0.79233931332416208</v>
      </c>
      <c r="B953" s="314">
        <v>0.98091819655689005</v>
      </c>
      <c r="C953" s="313">
        <v>941</v>
      </c>
      <c r="D953" s="311">
        <v>-35275.430549030891</v>
      </c>
    </row>
    <row r="954" spans="1:4">
      <c r="A954" s="312">
        <v>0.61218104480523405</v>
      </c>
      <c r="B954" s="314">
        <v>0.94692451442641312</v>
      </c>
      <c r="C954" s="313">
        <v>942</v>
      </c>
      <c r="D954" s="311">
        <v>226414.34164666571</v>
      </c>
    </row>
    <row r="955" spans="1:4">
      <c r="A955" s="312">
        <v>2.6698846222051542E-2</v>
      </c>
      <c r="B955" s="314">
        <v>0.75156683969900662</v>
      </c>
      <c r="C955" s="313">
        <v>943</v>
      </c>
      <c r="D955" s="311">
        <v>735459.06378410989</v>
      </c>
    </row>
    <row r="956" spans="1:4">
      <c r="A956" s="312">
        <v>0.75398755776927839</v>
      </c>
      <c r="B956" s="314">
        <v>0.97403520447631786</v>
      </c>
      <c r="C956" s="313">
        <v>944</v>
      </c>
      <c r="D956" s="311">
        <v>412935.80439252802</v>
      </c>
    </row>
    <row r="957" spans="1:4">
      <c r="A957" s="312">
        <v>0.44851662991613417</v>
      </c>
      <c r="B957" s="314">
        <v>0.91135549546331962</v>
      </c>
      <c r="C957" s="313">
        <v>945</v>
      </c>
      <c r="D957" s="311">
        <v>447829.33136817534</v>
      </c>
    </row>
    <row r="958" spans="1:4">
      <c r="A958" s="312">
        <v>0.32562528811406499</v>
      </c>
      <c r="B958" s="314">
        <v>0.88008740154130582</v>
      </c>
      <c r="C958" s="313">
        <v>946</v>
      </c>
      <c r="D958" s="311">
        <v>17167.147110634949</v>
      </c>
    </row>
    <row r="959" spans="1:4">
      <c r="A959" s="312">
        <v>9.3726795634393012E-2</v>
      </c>
      <c r="B959" s="314">
        <v>0.79661757968669733</v>
      </c>
      <c r="C959" s="313">
        <v>947</v>
      </c>
      <c r="D959" s="311">
        <v>721920.57737710443</v>
      </c>
    </row>
    <row r="960" spans="1:4">
      <c r="A960" s="312">
        <v>0.12627015186605395</v>
      </c>
      <c r="B960" s="314">
        <v>0.81214363282170265</v>
      </c>
      <c r="C960" s="313">
        <v>948</v>
      </c>
      <c r="D960" s="311">
        <v>350052.64565381734</v>
      </c>
    </row>
    <row r="961" spans="1:4">
      <c r="A961" s="312">
        <v>0.47855307755962073</v>
      </c>
      <c r="B961" s="314">
        <v>0.91831789036668121</v>
      </c>
      <c r="C961" s="313">
        <v>949</v>
      </c>
      <c r="D961" s="311">
        <v>234201.6524209145</v>
      </c>
    </row>
    <row r="962" spans="1:4">
      <c r="A962" s="312">
        <v>0.86269446296830732</v>
      </c>
      <c r="B962" s="314">
        <v>0.99312494231486315</v>
      </c>
      <c r="C962" s="313">
        <v>950</v>
      </c>
      <c r="D962" s="311">
        <v>355599.59283262887</v>
      </c>
    </row>
    <row r="963" spans="1:4">
      <c r="A963" s="312">
        <v>6.0881090321792342E-2</v>
      </c>
      <c r="B963" s="314">
        <v>0.77786915825262504</v>
      </c>
      <c r="C963" s="313">
        <v>951</v>
      </c>
      <c r="D963" s="311">
        <v>230426.62686595693</v>
      </c>
    </row>
    <row r="964" spans="1:4">
      <c r="A964" s="312">
        <v>2.4260426128623447E-2</v>
      </c>
      <c r="B964" s="314">
        <v>0.74915565435093079</v>
      </c>
      <c r="C964" s="313">
        <v>952</v>
      </c>
      <c r="D964" s="311">
        <v>586497.0217984214</v>
      </c>
    </row>
    <row r="965" spans="1:4">
      <c r="A965" s="312">
        <v>0.39281446213017324</v>
      </c>
      <c r="B965" s="314">
        <v>0.89779622724685382</v>
      </c>
      <c r="C965" s="313">
        <v>953</v>
      </c>
      <c r="D965" s="311">
        <v>765925.76173512614</v>
      </c>
    </row>
    <row r="966" spans="1:4">
      <c r="A966" s="312">
        <v>0.7635422955018959</v>
      </c>
      <c r="B966" s="314">
        <v>0.97576606300551361</v>
      </c>
      <c r="C966" s="313">
        <v>954</v>
      </c>
      <c r="D966" s="311">
        <v>401240.99292023433</v>
      </c>
    </row>
    <row r="967" spans="1:4">
      <c r="A967" s="312">
        <v>0.52396073512914632</v>
      </c>
      <c r="B967" s="314">
        <v>0.92844078331877711</v>
      </c>
      <c r="C967" s="313">
        <v>955</v>
      </c>
      <c r="D967" s="311">
        <v>-40111.621685672086</v>
      </c>
    </row>
    <row r="968" spans="1:4">
      <c r="A968" s="312">
        <v>0.72287065283851604</v>
      </c>
      <c r="B968" s="314">
        <v>0.9683209396059258</v>
      </c>
      <c r="C968" s="313">
        <v>956</v>
      </c>
      <c r="D968" s="311">
        <v>65863.546784408623</v>
      </c>
    </row>
    <row r="969" spans="1:4">
      <c r="A969" s="312">
        <v>0.23225318338005907</v>
      </c>
      <c r="B969" s="314">
        <v>0.85209155737440323</v>
      </c>
      <c r="C969" s="313">
        <v>957</v>
      </c>
      <c r="D969" s="311">
        <v>429894.47883131728</v>
      </c>
    </row>
    <row r="970" spans="1:4">
      <c r="A970" s="312">
        <v>0.50661033347399853</v>
      </c>
      <c r="B970" s="314">
        <v>0.92462665570135427</v>
      </c>
      <c r="C970" s="313">
        <v>958</v>
      </c>
      <c r="D970" s="311">
        <v>954649.61157131311</v>
      </c>
    </row>
    <row r="971" spans="1:4">
      <c r="A971" s="312">
        <v>0.53896977476591679</v>
      </c>
      <c r="B971" s="314">
        <v>0.93168956527437063</v>
      </c>
      <c r="C971" s="313">
        <v>959</v>
      </c>
      <c r="D971" s="311">
        <v>216887.88922127266</v>
      </c>
    </row>
    <row r="972" spans="1:4">
      <c r="A972" s="312">
        <v>0.70081619495429859</v>
      </c>
      <c r="B972" s="314">
        <v>0.9641960583539867</v>
      </c>
      <c r="C972" s="313">
        <v>960</v>
      </c>
      <c r="D972" s="311">
        <v>770235.61940956209</v>
      </c>
    </row>
    <row r="973" spans="1:4">
      <c r="A973" s="312">
        <v>0.75529099656860765</v>
      </c>
      <c r="B973" s="314">
        <v>0.974271968251331</v>
      </c>
      <c r="C973" s="313">
        <v>961</v>
      </c>
      <c r="D973" s="311">
        <v>324108.57547561591</v>
      </c>
    </row>
    <row r="974" spans="1:4">
      <c r="A974" s="312">
        <v>0.27482256151283824</v>
      </c>
      <c r="B974" s="314">
        <v>0.86544378637955532</v>
      </c>
      <c r="C974" s="313">
        <v>962</v>
      </c>
      <c r="D974" s="311">
        <v>831956.2120594203</v>
      </c>
    </row>
    <row r="975" spans="1:4">
      <c r="A975" s="312">
        <v>0.66507997360459803</v>
      </c>
      <c r="B975" s="314">
        <v>0.95737194507971901</v>
      </c>
      <c r="C975" s="313">
        <v>963</v>
      </c>
      <c r="D975" s="311">
        <v>758471.69102852629</v>
      </c>
    </row>
    <row r="976" spans="1:4">
      <c r="A976" s="312">
        <v>0.64111499583084008</v>
      </c>
      <c r="B976" s="314">
        <v>0.95269243297699613</v>
      </c>
      <c r="C976" s="313">
        <v>964</v>
      </c>
      <c r="D976" s="311">
        <v>514316.86164464895</v>
      </c>
    </row>
    <row r="977" spans="1:4">
      <c r="A977" s="312">
        <v>0.29397649497557454</v>
      </c>
      <c r="B977" s="314">
        <v>0.87111204161136535</v>
      </c>
      <c r="C977" s="313">
        <v>965</v>
      </c>
      <c r="D977" s="311">
        <v>581288.96442821156</v>
      </c>
    </row>
    <row r="978" spans="1:4">
      <c r="A978" s="312">
        <v>0.31966524652566752</v>
      </c>
      <c r="B978" s="314">
        <v>0.87843168668543159</v>
      </c>
      <c r="C978" s="313">
        <v>966</v>
      </c>
      <c r="D978" s="311">
        <v>143394.61778811528</v>
      </c>
    </row>
    <row r="979" spans="1:4">
      <c r="A979" s="312">
        <v>0.14212382229238241</v>
      </c>
      <c r="B979" s="314">
        <v>0.81897554660876493</v>
      </c>
      <c r="C979" s="313">
        <v>967</v>
      </c>
      <c r="D979" s="311">
        <v>268174.54428197816</v>
      </c>
    </row>
    <row r="980" spans="1:4">
      <c r="A980" s="312">
        <v>0.22533132147076562</v>
      </c>
      <c r="B980" s="314">
        <v>0.84980801554768748</v>
      </c>
      <c r="C980" s="313">
        <v>968</v>
      </c>
      <c r="D980" s="311">
        <v>-44543.230658021057</v>
      </c>
    </row>
    <row r="981" spans="1:4">
      <c r="A981" s="312">
        <v>0.67005631168877555</v>
      </c>
      <c r="B981" s="314">
        <v>0.95833301968971452</v>
      </c>
      <c r="C981" s="313">
        <v>969</v>
      </c>
      <c r="D981" s="311">
        <v>279695.64735465124</v>
      </c>
    </row>
    <row r="982" spans="1:4">
      <c r="A982" s="312">
        <v>0.42425058962998041</v>
      </c>
      <c r="B982" s="314">
        <v>0.90555852682798677</v>
      </c>
      <c r="C982" s="313">
        <v>970</v>
      </c>
      <c r="D982" s="311">
        <v>566922.45579294348</v>
      </c>
    </row>
    <row r="983" spans="1:4">
      <c r="A983" s="312">
        <v>3.4861328265941793E-2</v>
      </c>
      <c r="B983" s="314">
        <v>0.75892454455861946</v>
      </c>
      <c r="C983" s="313">
        <v>971</v>
      </c>
      <c r="D983" s="311">
        <v>630084.64459322393</v>
      </c>
    </row>
    <row r="984" spans="1:4">
      <c r="A984" s="312">
        <v>0.71446045592938967</v>
      </c>
      <c r="B984" s="314">
        <v>0.96675549075711076</v>
      </c>
      <c r="C984" s="313">
        <v>972</v>
      </c>
      <c r="D984" s="311">
        <v>-71791.399713583756</v>
      </c>
    </row>
    <row r="985" spans="1:4">
      <c r="A985" s="312">
        <v>0.14819253646129582</v>
      </c>
      <c r="B985" s="314">
        <v>0.82148913363427689</v>
      </c>
      <c r="C985" s="313">
        <v>973</v>
      </c>
      <c r="D985" s="311">
        <v>771312.45221177093</v>
      </c>
    </row>
    <row r="986" spans="1:4">
      <c r="A986" s="312">
        <v>0.2304730161271964</v>
      </c>
      <c r="B986" s="314">
        <v>0.8515075627659201</v>
      </c>
      <c r="C986" s="313">
        <v>974</v>
      </c>
      <c r="D986" s="311">
        <v>215648.0574919947</v>
      </c>
    </row>
    <row r="987" spans="1:4">
      <c r="A987" s="312">
        <v>0.11777065558961775</v>
      </c>
      <c r="B987" s="314">
        <v>0.80830358075659259</v>
      </c>
      <c r="C987" s="313">
        <v>975</v>
      </c>
      <c r="D987" s="311">
        <v>-39451.491535122972</v>
      </c>
    </row>
    <row r="988" spans="1:4">
      <c r="A988" s="312">
        <v>0.88616373835604478</v>
      </c>
      <c r="B988" s="314">
        <v>0.99708536400750924</v>
      </c>
      <c r="C988" s="313">
        <v>976</v>
      </c>
      <c r="D988" s="311">
        <v>63867.266972706886</v>
      </c>
    </row>
    <row r="989" spans="1:4">
      <c r="A989" s="312">
        <v>0.27875638506634226</v>
      </c>
      <c r="B989" s="314">
        <v>0.86662366438869576</v>
      </c>
      <c r="C989" s="313">
        <v>977</v>
      </c>
      <c r="D989" s="311">
        <v>29738.153887046501</v>
      </c>
    </row>
    <row r="990" spans="1:4">
      <c r="A990" s="312">
        <v>3.3937213433311908E-2</v>
      </c>
      <c r="B990" s="314">
        <v>0.75813830409411764</v>
      </c>
      <c r="C990" s="313">
        <v>978</v>
      </c>
      <c r="D990" s="311">
        <v>76668.417187571293</v>
      </c>
    </row>
    <row r="991" spans="1:4">
      <c r="A991" s="312">
        <v>0.30700768344878238</v>
      </c>
      <c r="B991" s="314">
        <v>0.8748633891955423</v>
      </c>
      <c r="C991" s="313">
        <v>979</v>
      </c>
      <c r="D991" s="311">
        <v>370059.67215208942</v>
      </c>
    </row>
    <row r="992" spans="1:4">
      <c r="A992" s="312">
        <v>0.65033942226291575</v>
      </c>
      <c r="B992" s="314">
        <v>0.95450382258345712</v>
      </c>
      <c r="C992" s="313">
        <v>980</v>
      </c>
      <c r="D992" s="311">
        <v>694403.06101641385</v>
      </c>
    </row>
    <row r="993" spans="1:4">
      <c r="A993" s="312">
        <v>0.56366645635818013</v>
      </c>
      <c r="B993" s="314">
        <v>0.93693835268981818</v>
      </c>
      <c r="C993" s="313">
        <v>981</v>
      </c>
      <c r="D993" s="311">
        <v>315241.53017671849</v>
      </c>
    </row>
    <row r="994" spans="1:4">
      <c r="A994" s="312">
        <v>0.65195382468349461</v>
      </c>
      <c r="B994" s="314">
        <v>0.95481951689806166</v>
      </c>
      <c r="C994" s="313">
        <v>982</v>
      </c>
      <c r="D994" s="311">
        <v>525100.13359200349</v>
      </c>
    </row>
    <row r="995" spans="1:4">
      <c r="A995" s="312">
        <v>0.51901548740382031</v>
      </c>
      <c r="B995" s="314">
        <v>0.9273601923339827</v>
      </c>
      <c r="C995" s="313">
        <v>983</v>
      </c>
      <c r="D995" s="311">
        <v>241388.17439802713</v>
      </c>
    </row>
    <row r="996" spans="1:4">
      <c r="A996" s="312">
        <v>0.65452400856970017</v>
      </c>
      <c r="B996" s="314">
        <v>0.95532130765262635</v>
      </c>
      <c r="C996" s="313">
        <v>984</v>
      </c>
      <c r="D996" s="311">
        <v>525360.33570491709</v>
      </c>
    </row>
    <row r="997" spans="1:4">
      <c r="A997" s="312">
        <v>9.6679865580264757E-3</v>
      </c>
      <c r="B997" s="314">
        <v>0.73103075113015958</v>
      </c>
      <c r="C997" s="313">
        <v>985</v>
      </c>
      <c r="D997" s="311">
        <v>598176.93635518337</v>
      </c>
    </row>
    <row r="998" spans="1:4">
      <c r="A998" s="312">
        <v>0.14218431787814467</v>
      </c>
      <c r="B998" s="314">
        <v>0.81900086512862869</v>
      </c>
      <c r="C998" s="313">
        <v>986</v>
      </c>
      <c r="D998" s="311">
        <v>240192.61804031674</v>
      </c>
    </row>
    <row r="999" spans="1:4">
      <c r="A999" s="312">
        <v>0.21642633255223731</v>
      </c>
      <c r="B999" s="314">
        <v>0.84681800530504037</v>
      </c>
      <c r="C999" s="313">
        <v>987</v>
      </c>
      <c r="D999" s="311">
        <v>556777.45100472216</v>
      </c>
    </row>
    <row r="1000" spans="1:4">
      <c r="A1000" s="312">
        <v>2.4552784325558519E-2</v>
      </c>
      <c r="B1000" s="314">
        <v>0.74945095051640487</v>
      </c>
      <c r="C1000" s="313">
        <v>988</v>
      </c>
      <c r="D1000" s="311">
        <v>317875.11935503129</v>
      </c>
    </row>
    <row r="1001" spans="1:4">
      <c r="A1001" s="312">
        <v>0.56209757195909793</v>
      </c>
      <c r="B1001" s="314">
        <v>0.93660838103287447</v>
      </c>
      <c r="C1001" s="313">
        <v>989</v>
      </c>
      <c r="D1001" s="311">
        <v>82530.026210001437</v>
      </c>
    </row>
    <row r="1002" spans="1:4">
      <c r="A1002" s="312">
        <v>0.97509143260803455</v>
      </c>
      <c r="B1002" s="314">
        <v>1.0157266351687604</v>
      </c>
      <c r="C1002" s="313">
        <v>990</v>
      </c>
      <c r="D1002" s="311">
        <v>-98439.932740678778</v>
      </c>
    </row>
    <row r="1003" spans="1:4">
      <c r="A1003" s="312">
        <v>0.51640010405654668</v>
      </c>
      <c r="B1003" s="314">
        <v>0.92678662075723683</v>
      </c>
      <c r="C1003" s="313">
        <v>991</v>
      </c>
      <c r="D1003" s="311">
        <v>60482.168286774773</v>
      </c>
    </row>
    <row r="1004" spans="1:4">
      <c r="A1004" s="312">
        <v>0.56069903358262319</v>
      </c>
      <c r="B1004" s="314">
        <v>0.93631384855012867</v>
      </c>
      <c r="C1004" s="313">
        <v>992</v>
      </c>
      <c r="D1004" s="311">
        <v>58212.744631019887</v>
      </c>
    </row>
    <row r="1005" spans="1:4">
      <c r="A1005" s="312">
        <v>0.88321703995796608</v>
      </c>
      <c r="B1005" s="314">
        <v>0.99659101410081496</v>
      </c>
      <c r="C1005" s="313">
        <v>993</v>
      </c>
      <c r="D1005" s="311">
        <v>738312.10348349786</v>
      </c>
    </row>
    <row r="1006" spans="1:4">
      <c r="A1006" s="312">
        <v>0.92234895281477569</v>
      </c>
      <c r="B1006" s="314">
        <v>1.0032736073442696</v>
      </c>
      <c r="C1006" s="313">
        <v>994</v>
      </c>
      <c r="D1006" s="311">
        <v>-72848.743229650892</v>
      </c>
    </row>
    <row r="1007" spans="1:4">
      <c r="A1007" s="312">
        <v>0.7805188707805305</v>
      </c>
      <c r="B1007" s="314">
        <v>0.97881489622340423</v>
      </c>
      <c r="C1007" s="313">
        <v>995</v>
      </c>
      <c r="D1007" s="311">
        <v>382267.22327627707</v>
      </c>
    </row>
    <row r="1008" spans="1:4">
      <c r="A1008" s="312">
        <v>0.44476838526221729</v>
      </c>
      <c r="B1008" s="314">
        <v>0.91047049574368688</v>
      </c>
      <c r="C1008" s="313">
        <v>996</v>
      </c>
      <c r="D1008" s="311">
        <v>17245.346607800573</v>
      </c>
    </row>
    <row r="1009" spans="1:4">
      <c r="A1009" s="312">
        <v>0.91233761429238869</v>
      </c>
      <c r="B1009" s="314">
        <v>1.0014784395540599</v>
      </c>
      <c r="C1009" s="313">
        <v>997</v>
      </c>
      <c r="D1009" s="311">
        <v>-166036.39107827004</v>
      </c>
    </row>
    <row r="1010" spans="1:4">
      <c r="A1010" s="312">
        <v>0.98011633793117769</v>
      </c>
      <c r="B1010" s="314">
        <v>1.0174595634454624</v>
      </c>
      <c r="C1010" s="313">
        <v>998</v>
      </c>
      <c r="D1010" s="311">
        <v>158780.95803915989</v>
      </c>
    </row>
    <row r="1011" spans="1:4">
      <c r="A1011" s="312">
        <v>0.82333031435846782</v>
      </c>
      <c r="B1011" s="314">
        <v>0.98635931991450021</v>
      </c>
      <c r="C1011" s="313">
        <v>999</v>
      </c>
      <c r="D1011" s="311">
        <v>-56915.265942610567</v>
      </c>
    </row>
    <row r="1012" spans="1:4">
      <c r="A1012" s="312">
        <v>0.9115518936497371</v>
      </c>
      <c r="B1012" s="314">
        <v>1.0013419987622745</v>
      </c>
      <c r="C1012" s="313">
        <v>1000</v>
      </c>
      <c r="D1012" s="311">
        <v>839409.63704565843</v>
      </c>
    </row>
  </sheetData>
  <hyperlinks>
    <hyperlink ref="F1" location="Index!A1" display="Back to Index" xr:uid="{3534E755-303D-42D1-B6BC-05E78D80319C}"/>
    <hyperlink ref="F3" location="'QM Simulation Summary Stats'!A1" display="Go to Simulation Summary" xr:uid="{38E150B1-9FE1-4DAA-9003-BC971656126D}"/>
    <hyperlink ref="F2" location="'QM Parameters for Simulation'!A1" display="Go to Parameters for Simulations" xr:uid="{0DCB30C5-BAA9-4535-BB17-DD67C5594A7A}"/>
  </hyperlinks>
  <pageMargins left="0.7" right="0.7" top="0.75" bottom="0.75" header="0.3" footer="0.3"/>
  <pageSetup orientation="portrait" horizontalDpi="0" verticalDpi="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37CC1-5686-4DC8-B07A-0A026B31F68E}">
  <sheetPr>
    <tabColor rgb="FFDEDCE8"/>
  </sheetPr>
  <dimension ref="A1:F1012"/>
  <sheetViews>
    <sheetView topLeftCell="B30" zoomScale="116" workbookViewId="0">
      <selection activeCell="G8" sqref="G8"/>
    </sheetView>
  </sheetViews>
  <sheetFormatPr defaultColWidth="9.125" defaultRowHeight="12.95"/>
  <cols>
    <col min="1" max="1" width="25.625" style="307" customWidth="1"/>
    <col min="2" max="2" width="32.125" style="313" customWidth="1"/>
    <col min="3" max="3" width="35.125" style="307" bestFit="1" customWidth="1"/>
    <col min="4" max="4" width="15.625" style="311" customWidth="1"/>
    <col min="5" max="12" width="15.625" style="307" customWidth="1"/>
    <col min="13" max="16384" width="9.125" style="307"/>
  </cols>
  <sheetData>
    <row r="1" spans="1:6" ht="55.5" customHeight="1">
      <c r="A1" s="304" t="s">
        <v>1219</v>
      </c>
      <c r="B1" s="305">
        <v>2</v>
      </c>
      <c r="C1" s="317" t="s">
        <v>1220</v>
      </c>
      <c r="D1" s="306" t="s">
        <v>1221</v>
      </c>
      <c r="F1" s="308" t="s">
        <v>41</v>
      </c>
    </row>
    <row r="2" spans="1:6" ht="15.95">
      <c r="A2" s="339" t="s">
        <v>1169</v>
      </c>
      <c r="B2" s="352" t="s">
        <v>327</v>
      </c>
      <c r="C2" s="338" t="s">
        <v>1181</v>
      </c>
      <c r="D2" s="337" t="s">
        <v>1222</v>
      </c>
      <c r="E2" s="340">
        <v>121460.7209800924</v>
      </c>
      <c r="F2" s="44" t="s">
        <v>1223</v>
      </c>
    </row>
    <row r="3" spans="1:6" ht="15.95">
      <c r="A3" s="339" t="s">
        <v>1174</v>
      </c>
      <c r="B3" s="352" t="s">
        <v>1175</v>
      </c>
      <c r="C3" s="338"/>
      <c r="D3" s="337" t="s">
        <v>1224</v>
      </c>
      <c r="E3" s="340">
        <v>134045.46553508844</v>
      </c>
      <c r="F3" s="44" t="s">
        <v>1225</v>
      </c>
    </row>
    <row r="4" spans="1:6" ht="15.95">
      <c r="A4" s="339" t="s">
        <v>1182</v>
      </c>
      <c r="B4" s="353">
        <v>0.94</v>
      </c>
      <c r="C4" s="338" t="s">
        <v>1207</v>
      </c>
      <c r="D4" s="337" t="s">
        <v>1226</v>
      </c>
      <c r="E4" s="340">
        <v>86789.458394210116</v>
      </c>
    </row>
    <row r="5" spans="1:6" ht="15.95">
      <c r="A5" s="339" t="s">
        <v>1190</v>
      </c>
      <c r="B5" s="353">
        <v>1</v>
      </c>
      <c r="C5" s="338" t="s">
        <v>1210</v>
      </c>
      <c r="D5" s="337" t="s">
        <v>1227</v>
      </c>
      <c r="E5" s="340">
        <v>-35221.431194171077</v>
      </c>
    </row>
    <row r="6" spans="1:6" ht="15.95">
      <c r="A6" s="339" t="s">
        <v>1184</v>
      </c>
      <c r="B6" s="353">
        <v>1.1499999999999999</v>
      </c>
      <c r="C6" s="338" t="s">
        <v>1214</v>
      </c>
      <c r="D6" s="337" t="s">
        <v>1228</v>
      </c>
      <c r="E6" s="340">
        <v>248575.17491386551</v>
      </c>
    </row>
    <row r="7" spans="1:6" ht="15.95">
      <c r="A7" s="339"/>
      <c r="B7" s="339"/>
      <c r="C7" s="339"/>
      <c r="D7" s="337" t="s">
        <v>1229</v>
      </c>
      <c r="E7" s="349">
        <v>0.106</v>
      </c>
    </row>
    <row r="8" spans="1:6">
      <c r="A8" s="309"/>
      <c r="B8" s="309"/>
      <c r="C8" s="309"/>
    </row>
    <row r="9" spans="1:6">
      <c r="A9" s="309"/>
      <c r="B9" s="309"/>
      <c r="C9" s="309"/>
    </row>
    <row r="10" spans="1:6">
      <c r="A10" s="309"/>
      <c r="B10" s="309"/>
      <c r="C10" s="309"/>
    </row>
    <row r="11" spans="1:6">
      <c r="A11" s="316" t="s">
        <v>1230</v>
      </c>
      <c r="B11" s="316" t="s">
        <v>1231</v>
      </c>
      <c r="C11" s="305" t="s">
        <v>1232</v>
      </c>
      <c r="D11" s="941" t="s">
        <v>1233</v>
      </c>
      <c r="E11" s="305"/>
      <c r="F11" s="317" t="s">
        <v>1234</v>
      </c>
    </row>
    <row r="12" spans="1:6">
      <c r="A12" s="312">
        <v>0.98342006963579931</v>
      </c>
      <c r="C12" s="313">
        <v>0</v>
      </c>
      <c r="D12" s="311">
        <v>179941.87875923095</v>
      </c>
    </row>
    <row r="13" spans="1:6">
      <c r="A13" s="312">
        <v>0.48436562373236225</v>
      </c>
      <c r="B13" s="314">
        <v>1.0225540002493974</v>
      </c>
      <c r="C13" s="313">
        <v>1</v>
      </c>
      <c r="D13" s="311">
        <v>204928.91460568225</v>
      </c>
    </row>
    <row r="14" spans="1:6">
      <c r="A14" s="312">
        <v>0.1747317973963175</v>
      </c>
      <c r="B14" s="314">
        <v>0.98692143057488335</v>
      </c>
      <c r="C14" s="313">
        <v>2</v>
      </c>
      <c r="D14" s="311">
        <v>106973.76158652897</v>
      </c>
    </row>
    <row r="15" spans="1:6">
      <c r="A15" s="312">
        <v>0.72187768231170102</v>
      </c>
      <c r="B15" s="314">
        <v>1.0564005715445792</v>
      </c>
      <c r="C15" s="313">
        <v>3</v>
      </c>
      <c r="D15" s="311">
        <v>146578.13589395443</v>
      </c>
    </row>
    <row r="16" spans="1:6">
      <c r="A16" s="312">
        <v>0.46451218731191812</v>
      </c>
      <c r="B16" s="314">
        <v>1.0201236507301095</v>
      </c>
      <c r="C16" s="313">
        <v>4</v>
      </c>
      <c r="D16" s="311">
        <v>146192.13069930044</v>
      </c>
    </row>
    <row r="17" spans="1:4">
      <c r="A17" s="312">
        <v>0.44725786582375837</v>
      </c>
      <c r="B17" s="314">
        <v>1.0180478221985267</v>
      </c>
      <c r="C17" s="313">
        <v>5</v>
      </c>
      <c r="D17" s="311">
        <v>50333.988170970697</v>
      </c>
    </row>
    <row r="18" spans="1:4">
      <c r="A18" s="312">
        <v>5.6508922839542675E-2</v>
      </c>
      <c r="B18" s="314">
        <v>0.9666835610025768</v>
      </c>
      <c r="C18" s="313">
        <v>6</v>
      </c>
      <c r="D18" s="311">
        <v>81615.012111583725</v>
      </c>
    </row>
    <row r="19" spans="1:4">
      <c r="A19" s="312">
        <v>0.91435280110903883</v>
      </c>
      <c r="B19" s="314">
        <v>1.0980588143660035</v>
      </c>
      <c r="C19" s="313">
        <v>7</v>
      </c>
      <c r="D19" s="311">
        <v>66703.784775640815</v>
      </c>
    </row>
    <row r="20" spans="1:4">
      <c r="A20" s="312">
        <v>0.67623197870335328</v>
      </c>
      <c r="B20" s="314">
        <v>1.0490114230675351</v>
      </c>
      <c r="C20" s="313">
        <v>8</v>
      </c>
      <c r="D20" s="311">
        <v>72258.486449072603</v>
      </c>
    </row>
    <row r="21" spans="1:4">
      <c r="A21" s="312">
        <v>0.89009806919723877</v>
      </c>
      <c r="B21" s="314">
        <v>1.0911619951027656</v>
      </c>
      <c r="C21" s="313">
        <v>9</v>
      </c>
      <c r="D21" s="311">
        <v>43984.582925461698</v>
      </c>
    </row>
    <row r="22" spans="1:4">
      <c r="A22" s="312">
        <v>0.47206642491989059</v>
      </c>
      <c r="B22" s="314">
        <v>1.0210430009071882</v>
      </c>
      <c r="C22" s="313">
        <v>10</v>
      </c>
      <c r="D22" s="311">
        <v>156065.88161505922</v>
      </c>
    </row>
    <row r="23" spans="1:4">
      <c r="A23" s="312">
        <v>0.83713711937534208</v>
      </c>
      <c r="B23" s="314">
        <v>1.0783747199679001</v>
      </c>
      <c r="C23" s="313">
        <v>11</v>
      </c>
      <c r="D23" s="311">
        <v>201123.23692316981</v>
      </c>
    </row>
    <row r="24" spans="1:4">
      <c r="A24" s="312">
        <v>0.15604807291845446</v>
      </c>
      <c r="B24" s="314">
        <v>0.98434191830280371</v>
      </c>
      <c r="C24" s="313">
        <v>12</v>
      </c>
      <c r="D24" s="311">
        <v>66795.248831061879</v>
      </c>
    </row>
    <row r="25" spans="1:4">
      <c r="A25" s="312">
        <v>0.39597278759733967</v>
      </c>
      <c r="B25" s="314">
        <v>1.0120621256119851</v>
      </c>
      <c r="C25" s="313">
        <v>13</v>
      </c>
      <c r="D25" s="311">
        <v>219482.18049233453</v>
      </c>
    </row>
    <row r="26" spans="1:4">
      <c r="A26" s="312">
        <v>0.8143228682810516</v>
      </c>
      <c r="B26" s="314">
        <v>1.0735223585016713</v>
      </c>
      <c r="C26" s="313">
        <v>14</v>
      </c>
      <c r="D26" s="311">
        <v>-40678.621695688227</v>
      </c>
    </row>
    <row r="27" spans="1:4">
      <c r="A27" s="312">
        <v>0.31324167564600147</v>
      </c>
      <c r="B27" s="314">
        <v>1.0029187734034322</v>
      </c>
      <c r="C27" s="313">
        <v>15</v>
      </c>
      <c r="D27" s="311">
        <v>126675.65595720895</v>
      </c>
    </row>
    <row r="28" spans="1:4">
      <c r="A28" s="312">
        <v>0.22020761435140845</v>
      </c>
      <c r="B28" s="314">
        <v>0.99267462330978495</v>
      </c>
      <c r="C28" s="313">
        <v>16</v>
      </c>
      <c r="D28" s="311">
        <v>74013.670621007215</v>
      </c>
    </row>
    <row r="29" spans="1:4">
      <c r="A29" s="312">
        <v>0.54091436827730399</v>
      </c>
      <c r="B29" s="314">
        <v>1.0297452811767249</v>
      </c>
      <c r="C29" s="313">
        <v>17</v>
      </c>
      <c r="D29" s="311">
        <v>166513.15019647893</v>
      </c>
    </row>
    <row r="30" spans="1:4">
      <c r="A30" s="312">
        <v>0.2849101863120177</v>
      </c>
      <c r="B30" s="314">
        <v>0.99991551007486645</v>
      </c>
      <c r="C30" s="313">
        <v>18</v>
      </c>
      <c r="D30" s="311">
        <v>249922.54105880717</v>
      </c>
    </row>
    <row r="31" spans="1:4">
      <c r="A31" s="312">
        <v>0.64059343124915968</v>
      </c>
      <c r="B31" s="314">
        <v>1.0435983697697657</v>
      </c>
      <c r="C31" s="313">
        <v>19</v>
      </c>
      <c r="D31" s="311">
        <v>-10518.797377311857</v>
      </c>
    </row>
    <row r="32" spans="1:4">
      <c r="A32" s="312">
        <v>0.50307985158423796</v>
      </c>
      <c r="B32" s="314">
        <v>1.0248881113758708</v>
      </c>
      <c r="C32" s="313">
        <v>20</v>
      </c>
      <c r="D32" s="311">
        <v>278395.39139535767</v>
      </c>
    </row>
    <row r="33" spans="1:6">
      <c r="A33" s="312">
        <v>0.53910049698255069</v>
      </c>
      <c r="B33" s="314">
        <v>1.0295079490379151</v>
      </c>
      <c r="C33" s="313">
        <v>21</v>
      </c>
      <c r="D33" s="311">
        <v>129047.02121557039</v>
      </c>
    </row>
    <row r="34" spans="1:6">
      <c r="A34" s="312">
        <v>0.71916585159674873</v>
      </c>
      <c r="B34" s="314">
        <v>1.0559453580374556</v>
      </c>
      <c r="C34" s="313">
        <v>22</v>
      </c>
      <c r="D34" s="311">
        <v>22903.46761907381</v>
      </c>
    </row>
    <row r="35" spans="1:6">
      <c r="A35" s="312">
        <v>0.54025098887629908</v>
      </c>
      <c r="B35" s="314">
        <v>1.0296584284197825</v>
      </c>
      <c r="C35" s="313">
        <v>23</v>
      </c>
      <c r="D35" s="311">
        <v>-56462.859892402543</v>
      </c>
    </row>
    <row r="36" spans="1:6">
      <c r="A36" s="312">
        <v>0.31598809122412674</v>
      </c>
      <c r="B36" s="314">
        <v>1.0032131643285407</v>
      </c>
      <c r="C36" s="313">
        <v>24</v>
      </c>
      <c r="D36" s="311">
        <v>172171.79511072673</v>
      </c>
    </row>
    <row r="37" spans="1:6">
      <c r="A37" s="312">
        <v>0.32230989758302686</v>
      </c>
      <c r="B37" s="314">
        <v>1.0038930589392323</v>
      </c>
      <c r="C37" s="313">
        <v>25</v>
      </c>
      <c r="D37" s="311">
        <v>240687.32204407663</v>
      </c>
    </row>
    <row r="38" spans="1:6">
      <c r="A38" s="312">
        <v>7.3842138808236979E-2</v>
      </c>
      <c r="B38" s="314">
        <v>0.97050263839381412</v>
      </c>
      <c r="C38" s="313">
        <v>26</v>
      </c>
      <c r="D38" s="311">
        <v>135543.95661549596</v>
      </c>
    </row>
    <row r="39" spans="1:6">
      <c r="A39" s="312">
        <v>0.80187285433524236</v>
      </c>
      <c r="B39" s="314">
        <v>1.0709999677946909</v>
      </c>
      <c r="C39" s="313">
        <v>27</v>
      </c>
      <c r="D39" s="311">
        <v>112393.80649270024</v>
      </c>
    </row>
    <row r="40" spans="1:6">
      <c r="A40" s="312">
        <v>0.13341271333236526</v>
      </c>
      <c r="B40" s="314">
        <v>0.98100000229253403</v>
      </c>
      <c r="C40" s="313">
        <v>28</v>
      </c>
      <c r="D40" s="311">
        <v>15198.980103332782</v>
      </c>
    </row>
    <row r="41" spans="1:6">
      <c r="A41" s="312">
        <v>0.8894344292941655</v>
      </c>
      <c r="B41" s="314">
        <v>1.0909846166052122</v>
      </c>
      <c r="C41" s="313">
        <v>29</v>
      </c>
      <c r="D41" s="311">
        <v>233736.8922026183</v>
      </c>
    </row>
    <row r="42" spans="1:6">
      <c r="A42" s="312">
        <v>0.32420246798761143</v>
      </c>
      <c r="B42" s="314">
        <v>1.0040972164131532</v>
      </c>
      <c r="C42" s="313">
        <v>30</v>
      </c>
      <c r="D42" s="311">
        <v>46144.851062249858</v>
      </c>
    </row>
    <row r="43" spans="1:6">
      <c r="A43" s="312">
        <v>0.67814597750844119</v>
      </c>
      <c r="B43" s="314">
        <v>1.0493103694093373</v>
      </c>
      <c r="C43" s="313">
        <v>31</v>
      </c>
      <c r="D43" s="311">
        <v>172819.84467862034</v>
      </c>
      <c r="F43" s="307" t="s">
        <v>1235</v>
      </c>
    </row>
    <row r="44" spans="1:6">
      <c r="A44" s="312">
        <v>0.95145186003586812</v>
      </c>
      <c r="B44" s="314">
        <v>1.1108941640049703</v>
      </c>
      <c r="C44" s="313">
        <v>32</v>
      </c>
      <c r="D44" s="311">
        <v>203988.91176513652</v>
      </c>
    </row>
    <row r="45" spans="1:6">
      <c r="A45" s="312">
        <v>0.10105604833930848</v>
      </c>
      <c r="B45" s="314">
        <v>0.97568341644343048</v>
      </c>
      <c r="C45" s="313">
        <v>33</v>
      </c>
      <c r="D45" s="311">
        <v>179280.96481502592</v>
      </c>
    </row>
    <row r="46" spans="1:6">
      <c r="A46" s="312">
        <v>0.99622158776674574</v>
      </c>
      <c r="B46" s="314">
        <v>1.1390903718969201</v>
      </c>
      <c r="C46" s="313">
        <v>34</v>
      </c>
      <c r="D46" s="311">
        <v>41885.483938507736</v>
      </c>
    </row>
    <row r="47" spans="1:6">
      <c r="A47" s="312">
        <v>0.70714579287560031</v>
      </c>
      <c r="B47" s="314">
        <v>1.0539536178483615</v>
      </c>
      <c r="C47" s="313">
        <v>35</v>
      </c>
      <c r="D47" s="311">
        <v>161115.13286207453</v>
      </c>
    </row>
    <row r="48" spans="1:6">
      <c r="A48" s="312">
        <v>0.71154805957047351</v>
      </c>
      <c r="B48" s="314">
        <v>1.054678249473008</v>
      </c>
      <c r="C48" s="313">
        <v>36</v>
      </c>
      <c r="D48" s="311">
        <v>99634.735436308198</v>
      </c>
    </row>
    <row r="49" spans="1:4">
      <c r="A49" s="312">
        <v>0.89949569765189719</v>
      </c>
      <c r="B49" s="314">
        <v>1.0937337976760004</v>
      </c>
      <c r="C49" s="313">
        <v>37</v>
      </c>
      <c r="D49" s="311">
        <v>5008.9330518944189</v>
      </c>
    </row>
    <row r="50" spans="1:4">
      <c r="A50" s="312">
        <v>0.40782647399912508</v>
      </c>
      <c r="B50" s="314">
        <v>1.013422307571743</v>
      </c>
      <c r="C50" s="313">
        <v>38</v>
      </c>
      <c r="D50" s="311">
        <v>-9962.6921450346708</v>
      </c>
    </row>
    <row r="51" spans="1:4">
      <c r="A51" s="312">
        <v>0.12361589885658475</v>
      </c>
      <c r="B51" s="314">
        <v>0.9794659388028838</v>
      </c>
      <c r="C51" s="313">
        <v>39</v>
      </c>
      <c r="D51" s="311">
        <v>97785.345621413086</v>
      </c>
    </row>
    <row r="52" spans="1:4">
      <c r="A52" s="312">
        <v>0.19628647516080755</v>
      </c>
      <c r="B52" s="314">
        <v>0.98973137427244673</v>
      </c>
      <c r="C52" s="313">
        <v>40</v>
      </c>
      <c r="D52" s="311">
        <v>-25781.68716758932</v>
      </c>
    </row>
    <row r="53" spans="1:4">
      <c r="A53" s="312">
        <v>0.21397115940760991</v>
      </c>
      <c r="B53" s="314">
        <v>0.99192337246882067</v>
      </c>
      <c r="C53" s="313">
        <v>41</v>
      </c>
      <c r="D53" s="311">
        <v>123007.39196588495</v>
      </c>
    </row>
    <row r="54" spans="1:4">
      <c r="A54" s="312">
        <v>0.28024328102837237</v>
      </c>
      <c r="B54" s="314">
        <v>0.99942276786684958</v>
      </c>
      <c r="C54" s="313">
        <v>42</v>
      </c>
      <c r="D54" s="311">
        <v>156789.04224715382</v>
      </c>
    </row>
    <row r="55" spans="1:4">
      <c r="A55" s="312">
        <v>0.22934746694319819</v>
      </c>
      <c r="B55" s="314">
        <v>0.99375665617841469</v>
      </c>
      <c r="C55" s="313">
        <v>43</v>
      </c>
      <c r="D55" s="311">
        <v>57068.534469024977</v>
      </c>
    </row>
    <row r="56" spans="1:4">
      <c r="A56" s="312">
        <v>0.55008595447244146</v>
      </c>
      <c r="B56" s="314">
        <v>1.0309525622530324</v>
      </c>
      <c r="C56" s="313">
        <v>44</v>
      </c>
      <c r="D56" s="311">
        <v>7323.9872515054885</v>
      </c>
    </row>
    <row r="57" spans="1:4">
      <c r="A57" s="312">
        <v>0.35921873104613566</v>
      </c>
      <c r="B57" s="314">
        <v>1.0079274482102658</v>
      </c>
      <c r="C57" s="313">
        <v>45</v>
      </c>
      <c r="D57" s="311">
        <v>187019.98699096986</v>
      </c>
    </row>
    <row r="58" spans="1:4">
      <c r="A58" s="312">
        <v>0.71652400039990738</v>
      </c>
      <c r="B58" s="314">
        <v>1.0555040001513136</v>
      </c>
      <c r="C58" s="313">
        <v>46</v>
      </c>
      <c r="D58" s="311">
        <v>190423.94986964413</v>
      </c>
    </row>
    <row r="59" spans="1:4">
      <c r="A59" s="312">
        <v>0.52532847052483556</v>
      </c>
      <c r="B59" s="314">
        <v>1.0277210027091011</v>
      </c>
      <c r="C59" s="313">
        <v>47</v>
      </c>
      <c r="D59" s="311">
        <v>144264.87934679026</v>
      </c>
    </row>
    <row r="60" spans="1:4">
      <c r="A60" s="312">
        <v>0.43031932964899211</v>
      </c>
      <c r="B60" s="314">
        <v>1.0160412708478588</v>
      </c>
      <c r="C60" s="313">
        <v>48</v>
      </c>
      <c r="D60" s="311">
        <v>143202.26044141245</v>
      </c>
    </row>
    <row r="61" spans="1:4">
      <c r="A61" s="312">
        <v>0.37066774455361173</v>
      </c>
      <c r="B61" s="314">
        <v>1.0092023933209047</v>
      </c>
      <c r="C61" s="313">
        <v>49</v>
      </c>
      <c r="D61" s="311">
        <v>231156.68516931357</v>
      </c>
    </row>
    <row r="62" spans="1:4">
      <c r="A62" s="312">
        <v>0.69346578998816666</v>
      </c>
      <c r="B62" s="314">
        <v>1.0517359291736152</v>
      </c>
      <c r="C62" s="313">
        <v>50</v>
      </c>
      <c r="D62" s="311">
        <v>87267.770605987869</v>
      </c>
    </row>
    <row r="63" spans="1:4">
      <c r="A63" s="312">
        <v>0.36423533110928119</v>
      </c>
      <c r="B63" s="314">
        <v>1.0084846754939323</v>
      </c>
      <c r="C63" s="313">
        <v>51</v>
      </c>
      <c r="D63" s="311">
        <v>230155.65123040811</v>
      </c>
    </row>
    <row r="64" spans="1:4">
      <c r="A64" s="312">
        <v>0.53435348305071062</v>
      </c>
      <c r="B64" s="314">
        <v>1.0288890373091575</v>
      </c>
      <c r="C64" s="313">
        <v>52</v>
      </c>
      <c r="D64" s="311">
        <v>161264.35634442559</v>
      </c>
    </row>
    <row r="65" spans="1:4">
      <c r="A65" s="312">
        <v>0.3590072319756682</v>
      </c>
      <c r="B65" s="314">
        <v>1.0079040036005009</v>
      </c>
      <c r="C65" s="313">
        <v>53</v>
      </c>
      <c r="D65" s="311">
        <v>129587.15903504496</v>
      </c>
    </row>
    <row r="66" spans="1:4">
      <c r="A66" s="312">
        <v>0.86686959860207757</v>
      </c>
      <c r="B66" s="314">
        <v>1.0852419298926028</v>
      </c>
      <c r="C66" s="313">
        <v>54</v>
      </c>
      <c r="D66" s="311">
        <v>-11294.759053921327</v>
      </c>
    </row>
    <row r="67" spans="1:4">
      <c r="A67" s="312">
        <v>0.18532721582256573</v>
      </c>
      <c r="B67" s="314">
        <v>0.98832310957879599</v>
      </c>
      <c r="C67" s="313">
        <v>55</v>
      </c>
      <c r="D67" s="311">
        <v>199587.64081203961</v>
      </c>
    </row>
    <row r="68" spans="1:4">
      <c r="A68" s="312">
        <v>0.78901072767343927</v>
      </c>
      <c r="B68" s="314">
        <v>1.0684760030525571</v>
      </c>
      <c r="C68" s="313">
        <v>56</v>
      </c>
      <c r="D68" s="311">
        <v>69848.716137300013</v>
      </c>
    </row>
    <row r="69" spans="1:4">
      <c r="A69" s="312">
        <v>0.69953271708737941</v>
      </c>
      <c r="B69" s="314">
        <v>1.0527132104972747</v>
      </c>
      <c r="C69" s="313">
        <v>57</v>
      </c>
      <c r="D69" s="311">
        <v>133283.59848212427</v>
      </c>
    </row>
    <row r="70" spans="1:4">
      <c r="A70" s="312">
        <v>0.34218688917723727</v>
      </c>
      <c r="B70" s="314">
        <v>1.0060517002847307</v>
      </c>
      <c r="C70" s="313">
        <v>58</v>
      </c>
      <c r="D70" s="311">
        <v>232281.05025234865</v>
      </c>
    </row>
    <row r="71" spans="1:4">
      <c r="A71" s="312">
        <v>0.31963116940447667</v>
      </c>
      <c r="B71" s="314">
        <v>1.0036045828457769</v>
      </c>
      <c r="C71" s="313">
        <v>59</v>
      </c>
      <c r="D71" s="311">
        <v>165908.91841616062</v>
      </c>
    </row>
    <row r="72" spans="1:4">
      <c r="A72" s="312">
        <v>2.2458753391309982E-2</v>
      </c>
      <c r="B72" s="314">
        <v>0.95682201809327594</v>
      </c>
      <c r="C72" s="313">
        <v>60</v>
      </c>
      <c r="D72" s="311">
        <v>76601.364156408701</v>
      </c>
    </row>
    <row r="73" spans="1:4">
      <c r="A73" s="312">
        <v>0.27766730378828941</v>
      </c>
      <c r="B73" s="314">
        <v>0.99914903234823405</v>
      </c>
      <c r="C73" s="313">
        <v>61</v>
      </c>
      <c r="D73" s="311">
        <v>48330.721584680723</v>
      </c>
    </row>
    <row r="74" spans="1:4">
      <c r="A74" s="312">
        <v>0.24538395579678196</v>
      </c>
      <c r="B74" s="314">
        <v>0.99560429698359154</v>
      </c>
      <c r="C74" s="313">
        <v>62</v>
      </c>
      <c r="D74" s="311">
        <v>260158.23409578297</v>
      </c>
    </row>
    <row r="75" spans="1:4">
      <c r="A75" s="312">
        <v>0.11186723913884955</v>
      </c>
      <c r="B75" s="314">
        <v>0.97754367074687154</v>
      </c>
      <c r="C75" s="313">
        <v>63</v>
      </c>
      <c r="D75" s="311">
        <v>166368.57302670204</v>
      </c>
    </row>
    <row r="76" spans="1:4">
      <c r="A76" s="312">
        <v>0.39671036980154206</v>
      </c>
      <c r="B76" s="314">
        <v>1.012146369829259</v>
      </c>
      <c r="C76" s="313">
        <v>64</v>
      </c>
      <c r="D76" s="311">
        <v>175018.93363067717</v>
      </c>
    </row>
    <row r="77" spans="1:4">
      <c r="A77" s="312">
        <v>0.76217362663811361</v>
      </c>
      <c r="B77" s="314">
        <v>1.0634463706081632</v>
      </c>
      <c r="C77" s="313">
        <v>65</v>
      </c>
      <c r="D77" s="311">
        <v>137883.44864706486</v>
      </c>
    </row>
    <row r="78" spans="1:4">
      <c r="A78" s="312">
        <v>0.735893344235094</v>
      </c>
      <c r="B78" s="314">
        <v>1.0587894761741028</v>
      </c>
      <c r="C78" s="313">
        <v>66</v>
      </c>
      <c r="D78" s="311">
        <v>43464.042142195161</v>
      </c>
    </row>
    <row r="79" spans="1:4">
      <c r="A79" s="312">
        <v>0.48311002260097757</v>
      </c>
      <c r="B79" s="314">
        <v>1.022398925208017</v>
      </c>
      <c r="C79" s="313">
        <v>67</v>
      </c>
      <c r="D79" s="311">
        <v>166958.87940150406</v>
      </c>
    </row>
    <row r="80" spans="1:4">
      <c r="A80" s="312">
        <v>0.52983580868736591</v>
      </c>
      <c r="B80" s="314">
        <v>1.0283029498042455</v>
      </c>
      <c r="C80" s="313">
        <v>68</v>
      </c>
      <c r="D80" s="311">
        <v>187380.56872235634</v>
      </c>
    </row>
    <row r="81" spans="1:4">
      <c r="A81" s="312">
        <v>0.38392050580401638</v>
      </c>
      <c r="B81" s="314">
        <v>1.0106927709443134</v>
      </c>
      <c r="C81" s="313">
        <v>69</v>
      </c>
      <c r="D81" s="311">
        <v>222946.07243727474</v>
      </c>
    </row>
    <row r="82" spans="1:4">
      <c r="A82" s="312">
        <v>0.11995331749489091</v>
      </c>
      <c r="B82" s="314">
        <v>0.97887688002445183</v>
      </c>
      <c r="C82" s="313">
        <v>70</v>
      </c>
      <c r="D82" s="311">
        <v>13648.589701080695</v>
      </c>
    </row>
    <row r="83" spans="1:4">
      <c r="A83" s="312">
        <v>0.14358817243436195</v>
      </c>
      <c r="B83" s="314">
        <v>0.98253482070813225</v>
      </c>
      <c r="C83" s="313">
        <v>71</v>
      </c>
      <c r="D83" s="311">
        <v>74948.773325394839</v>
      </c>
    </row>
    <row r="84" spans="1:4">
      <c r="A84" s="312">
        <v>0.60582537816293958</v>
      </c>
      <c r="B84" s="314">
        <v>1.0385706475480208</v>
      </c>
      <c r="C84" s="313">
        <v>72</v>
      </c>
      <c r="D84" s="311">
        <v>-57760.072180498159</v>
      </c>
    </row>
    <row r="85" spans="1:4">
      <c r="A85" s="312">
        <v>0.9187959847192102</v>
      </c>
      <c r="B85" s="314">
        <v>1.0994240523435805</v>
      </c>
      <c r="C85" s="313">
        <v>73</v>
      </c>
      <c r="D85" s="311">
        <v>155389.99982099771</v>
      </c>
    </row>
    <row r="86" spans="1:4">
      <c r="A86" s="312">
        <v>0.44571926880372004</v>
      </c>
      <c r="B86" s="314">
        <v>1.0178643006879562</v>
      </c>
      <c r="C86" s="313">
        <v>74</v>
      </c>
      <c r="D86" s="311">
        <v>179866.55258696573</v>
      </c>
    </row>
    <row r="87" spans="1:4">
      <c r="A87" s="312">
        <v>0.31671376402284579</v>
      </c>
      <c r="B87" s="314">
        <v>1.003291048557764</v>
      </c>
      <c r="C87" s="313">
        <v>75</v>
      </c>
      <c r="D87" s="311">
        <v>-49203.305503351614</v>
      </c>
    </row>
    <row r="88" spans="1:4">
      <c r="A88" s="312">
        <v>1.3676705847101456E-2</v>
      </c>
      <c r="B88" s="314">
        <v>0.95312731860181188</v>
      </c>
      <c r="C88" s="313">
        <v>76</v>
      </c>
      <c r="D88" s="311">
        <v>50957.648618832463</v>
      </c>
    </row>
    <row r="89" spans="1:4">
      <c r="A89" s="312">
        <v>0.3467406383273115</v>
      </c>
      <c r="B89" s="314">
        <v>1.0065508107632193</v>
      </c>
      <c r="C89" s="313">
        <v>77</v>
      </c>
      <c r="D89" s="311">
        <v>53325.31089203828</v>
      </c>
    </row>
    <row r="90" spans="1:4">
      <c r="A90" s="312">
        <v>0.82964204296413369</v>
      </c>
      <c r="B90" s="314">
        <v>1.0767451322666555</v>
      </c>
      <c r="C90" s="313">
        <v>78</v>
      </c>
      <c r="D90" s="311">
        <v>74204.529547336046</v>
      </c>
    </row>
    <row r="91" spans="1:4">
      <c r="A91" s="312">
        <v>0.1922392063172581</v>
      </c>
      <c r="B91" s="314">
        <v>0.98921599333141053</v>
      </c>
      <c r="C91" s="313">
        <v>79</v>
      </c>
      <c r="D91" s="311">
        <v>231325.6045827053</v>
      </c>
    </row>
    <row r="92" spans="1:4">
      <c r="A92" s="312">
        <v>0.23460678413150993</v>
      </c>
      <c r="B92" s="314">
        <v>0.99436952712739946</v>
      </c>
      <c r="C92" s="313">
        <v>80</v>
      </c>
      <c r="D92" s="311">
        <v>-41099.171813945053</v>
      </c>
    </row>
    <row r="93" spans="1:4">
      <c r="A93" s="312">
        <v>0.28753196021749161</v>
      </c>
      <c r="B93" s="314">
        <v>1.0001909773973909</v>
      </c>
      <c r="C93" s="313">
        <v>81</v>
      </c>
      <c r="D93" s="311">
        <v>-31485.349274564069</v>
      </c>
    </row>
    <row r="94" spans="1:4">
      <c r="A94" s="312">
        <v>0.62791646586069516</v>
      </c>
      <c r="B94" s="314">
        <v>1.0417381354059145</v>
      </c>
      <c r="C94" s="313">
        <v>82</v>
      </c>
      <c r="D94" s="311">
        <v>-20821.17104072473</v>
      </c>
    </row>
    <row r="95" spans="1:4">
      <c r="A95" s="312">
        <v>0.47028135425187656</v>
      </c>
      <c r="B95" s="314">
        <v>1.0208251675400122</v>
      </c>
      <c r="C95" s="313">
        <v>83</v>
      </c>
      <c r="D95" s="311">
        <v>121462.15959543991</v>
      </c>
    </row>
    <row r="96" spans="1:4">
      <c r="A96" s="312">
        <v>0.64919425644427475</v>
      </c>
      <c r="B96" s="314">
        <v>1.0448792079462614</v>
      </c>
      <c r="C96" s="313">
        <v>84</v>
      </c>
      <c r="D96" s="311">
        <v>-56575.583345685154</v>
      </c>
    </row>
    <row r="97" spans="1:4">
      <c r="A97" s="312">
        <v>0.77578757848257385</v>
      </c>
      <c r="B97" s="314">
        <v>1.0659601804035792</v>
      </c>
      <c r="C97" s="313">
        <v>85</v>
      </c>
      <c r="D97" s="311">
        <v>235856.90660920111</v>
      </c>
    </row>
    <row r="98" spans="1:4">
      <c r="A98" s="312">
        <v>8.6081070373014934E-2</v>
      </c>
      <c r="B98" s="314">
        <v>0.97293359207101449</v>
      </c>
      <c r="C98" s="313">
        <v>86</v>
      </c>
      <c r="D98" s="311">
        <v>135863.33829878038</v>
      </c>
    </row>
    <row r="99" spans="1:4">
      <c r="A99" s="312">
        <v>0.56555244447156905</v>
      </c>
      <c r="B99" s="314">
        <v>1.0330166764057989</v>
      </c>
      <c r="C99" s="313">
        <v>87</v>
      </c>
      <c r="D99" s="311">
        <v>167624.18004122609</v>
      </c>
    </row>
    <row r="100" spans="1:4">
      <c r="A100" s="312">
        <v>0.95623478597511391</v>
      </c>
      <c r="B100" s="314">
        <v>1.1128704397846687</v>
      </c>
      <c r="C100" s="313">
        <v>88</v>
      </c>
      <c r="D100" s="311">
        <v>81275.811752320034</v>
      </c>
    </row>
    <row r="101" spans="1:4">
      <c r="A101" s="312">
        <v>0.72269408848596817</v>
      </c>
      <c r="B101" s="314">
        <v>1.0565380493853676</v>
      </c>
      <c r="C101" s="313">
        <v>89</v>
      </c>
      <c r="D101" s="311">
        <v>65501.008776452625</v>
      </c>
    </row>
    <row r="102" spans="1:4">
      <c r="A102" s="312">
        <v>0.100789513834455</v>
      </c>
      <c r="B102" s="314">
        <v>0.97563632801389799</v>
      </c>
      <c r="C102" s="313">
        <v>90</v>
      </c>
      <c r="D102" s="311">
        <v>164295.17293130234</v>
      </c>
    </row>
    <row r="103" spans="1:4">
      <c r="A103" s="312">
        <v>0.21910968633991545</v>
      </c>
      <c r="B103" s="314">
        <v>0.99254314463260584</v>
      </c>
      <c r="C103" s="313">
        <v>91</v>
      </c>
      <c r="D103" s="311">
        <v>224814.20646325266</v>
      </c>
    </row>
    <row r="104" spans="1:4">
      <c r="A104" s="312">
        <v>0.92003084532850821</v>
      </c>
      <c r="B104" s="314">
        <v>1.0998100769859924</v>
      </c>
      <c r="C104" s="313">
        <v>92</v>
      </c>
      <c r="D104" s="311">
        <v>32497.509164592018</v>
      </c>
    </row>
    <row r="105" spans="1:4">
      <c r="A105" s="312">
        <v>0.97447280815101422</v>
      </c>
      <c r="B105" s="314">
        <v>1.1216432275594868</v>
      </c>
      <c r="C105" s="313">
        <v>93</v>
      </c>
      <c r="D105" s="311">
        <v>192549.57700633653</v>
      </c>
    </row>
    <row r="106" spans="1:4">
      <c r="A106" s="312">
        <v>3.4542322763034705E-2</v>
      </c>
      <c r="B106" s="314">
        <v>0.96086224500896855</v>
      </c>
      <c r="C106" s="313">
        <v>94</v>
      </c>
      <c r="D106" s="311">
        <v>145892.59399215342</v>
      </c>
    </row>
    <row r="107" spans="1:4">
      <c r="A107" s="312">
        <v>0.45295336913081508</v>
      </c>
      <c r="B107" s="314">
        <v>1.0187294059113796</v>
      </c>
      <c r="C107" s="313">
        <v>95</v>
      </c>
      <c r="D107" s="311">
        <v>7698.1789261307567</v>
      </c>
    </row>
    <row r="108" spans="1:4">
      <c r="A108" s="312">
        <v>0.47358184892111754</v>
      </c>
      <c r="B108" s="314">
        <v>1.0212282183124548</v>
      </c>
      <c r="C108" s="313">
        <v>96</v>
      </c>
      <c r="D108" s="311">
        <v>249911.5229681381</v>
      </c>
    </row>
    <row r="109" spans="1:4">
      <c r="A109" s="312">
        <v>0.93240882334193775</v>
      </c>
      <c r="B109" s="314">
        <v>1.1038575893051852</v>
      </c>
      <c r="C109" s="313">
        <v>97</v>
      </c>
      <c r="D109" s="311">
        <v>79059.071692742174</v>
      </c>
    </row>
    <row r="110" spans="1:4">
      <c r="A110" s="312">
        <v>0.10872657428790189</v>
      </c>
      <c r="B110" s="314">
        <v>0.9770129009404499</v>
      </c>
      <c r="C110" s="313">
        <v>98</v>
      </c>
      <c r="D110" s="311">
        <v>188267.60410539294</v>
      </c>
    </row>
    <row r="111" spans="1:4">
      <c r="A111" s="312">
        <v>0.57944058485335537</v>
      </c>
      <c r="B111" s="314">
        <v>1.0349016873402599</v>
      </c>
      <c r="C111" s="313">
        <v>99</v>
      </c>
      <c r="D111" s="311">
        <v>78492.373592439573</v>
      </c>
    </row>
    <row r="112" spans="1:4">
      <c r="A112" s="312">
        <v>0.36262320992234209</v>
      </c>
      <c r="B112" s="314">
        <v>1.0083053674712898</v>
      </c>
      <c r="C112" s="313">
        <v>100</v>
      </c>
      <c r="D112" s="311">
        <v>226705.86389636248</v>
      </c>
    </row>
    <row r="113" spans="1:4">
      <c r="A113" s="312">
        <v>0.20116439303952172</v>
      </c>
      <c r="B113" s="314">
        <v>0.99034551968445628</v>
      </c>
      <c r="C113" s="313">
        <v>101</v>
      </c>
      <c r="D113" s="311">
        <v>145996.95480066678</v>
      </c>
    </row>
    <row r="114" spans="1:4">
      <c r="A114" s="312">
        <v>0.86502495921341682</v>
      </c>
      <c r="B114" s="314">
        <v>1.0847948331435509</v>
      </c>
      <c r="C114" s="313">
        <v>102</v>
      </c>
      <c r="D114" s="311">
        <v>265369.61622778652</v>
      </c>
    </row>
    <row r="115" spans="1:4">
      <c r="A115" s="312">
        <v>0.59204317332667811</v>
      </c>
      <c r="B115" s="314">
        <v>1.0366393364512643</v>
      </c>
      <c r="C115" s="313">
        <v>103</v>
      </c>
      <c r="D115" s="311">
        <v>37890.839276071871</v>
      </c>
    </row>
    <row r="116" spans="1:4">
      <c r="A116" s="312">
        <v>0.42351103986707805</v>
      </c>
      <c r="B116" s="314">
        <v>1.0152431736638658</v>
      </c>
      <c r="C116" s="313">
        <v>104</v>
      </c>
      <c r="D116" s="311">
        <v>189364.79139360646</v>
      </c>
    </row>
    <row r="117" spans="1:4">
      <c r="A117" s="312">
        <v>1.1636968651515978E-2</v>
      </c>
      <c r="B117" s="314">
        <v>0.95210891427870803</v>
      </c>
      <c r="C117" s="313">
        <v>105</v>
      </c>
      <c r="D117" s="311">
        <v>161650.46471936093</v>
      </c>
    </row>
    <row r="118" spans="1:4">
      <c r="A118" s="312">
        <v>0.7660542314019525</v>
      </c>
      <c r="B118" s="314">
        <v>1.0641554211913269</v>
      </c>
      <c r="C118" s="313">
        <v>106</v>
      </c>
      <c r="D118" s="311">
        <v>94911.628198185237</v>
      </c>
    </row>
    <row r="119" spans="1:4">
      <c r="A119" s="312">
        <v>0.83014552552145349</v>
      </c>
      <c r="B119" s="314">
        <v>1.076853462514797</v>
      </c>
      <c r="C119" s="313">
        <v>107</v>
      </c>
      <c r="D119" s="311">
        <v>165844.04350158153</v>
      </c>
    </row>
    <row r="120" spans="1:4">
      <c r="A120" s="312">
        <v>0.34668243733247006</v>
      </c>
      <c r="B120" s="314">
        <v>1.006544420728829</v>
      </c>
      <c r="C120" s="313">
        <v>108</v>
      </c>
      <c r="D120" s="311">
        <v>41843.532934975112</v>
      </c>
    </row>
    <row r="121" spans="1:4">
      <c r="A121" s="312">
        <v>0.61144401498305556</v>
      </c>
      <c r="B121" s="314">
        <v>1.0393676650882131</v>
      </c>
      <c r="C121" s="313">
        <v>109</v>
      </c>
      <c r="D121" s="311">
        <v>210672.71507713222</v>
      </c>
    </row>
    <row r="122" spans="1:4">
      <c r="A122" s="312">
        <v>0.36530954338253541</v>
      </c>
      <c r="B122" s="314">
        <v>1.0086042808871141</v>
      </c>
      <c r="C122" s="313">
        <v>110</v>
      </c>
      <c r="D122" s="311">
        <v>134994.03988906508</v>
      </c>
    </row>
    <row r="123" spans="1:4">
      <c r="A123" s="312">
        <v>0.89456168213052423</v>
      </c>
      <c r="B123" s="314">
        <v>1.0923692181825677</v>
      </c>
      <c r="C123" s="313">
        <v>111</v>
      </c>
      <c r="D123" s="311">
        <v>17348.342578576179</v>
      </c>
    </row>
    <row r="124" spans="1:4">
      <c r="A124" s="312">
        <v>0.82761487400197342</v>
      </c>
      <c r="B124" s="314">
        <v>1.0763105742393262</v>
      </c>
      <c r="C124" s="313">
        <v>112</v>
      </c>
      <c r="D124" s="311">
        <v>116175.75731828832</v>
      </c>
    </row>
    <row r="125" spans="1:4">
      <c r="A125" s="312">
        <v>0.98742859016720408</v>
      </c>
      <c r="B125" s="314">
        <v>1.1301002660888877</v>
      </c>
      <c r="C125" s="313">
        <v>113</v>
      </c>
      <c r="D125" s="311">
        <v>144155.47834353894</v>
      </c>
    </row>
    <row r="126" spans="1:4">
      <c r="A126" s="312">
        <v>0.42805323230432302</v>
      </c>
      <c r="B126" s="314">
        <v>1.0157751022261003</v>
      </c>
      <c r="C126" s="313">
        <v>114</v>
      </c>
      <c r="D126" s="311">
        <v>-14472.449462344404</v>
      </c>
    </row>
    <row r="127" spans="1:4">
      <c r="A127" s="312">
        <v>0.91491974271591903</v>
      </c>
      <c r="B127" s="314">
        <v>1.0982310121361394</v>
      </c>
      <c r="C127" s="313">
        <v>115</v>
      </c>
      <c r="D127" s="311">
        <v>209463.49468412669</v>
      </c>
    </row>
    <row r="128" spans="1:4">
      <c r="A128" s="312">
        <v>7.1567056639058158E-2</v>
      </c>
      <c r="B128" s="314">
        <v>0.97002906781190734</v>
      </c>
      <c r="C128" s="313">
        <v>116</v>
      </c>
      <c r="D128" s="311">
        <v>255211.82936701621</v>
      </c>
    </row>
    <row r="129" spans="1:4">
      <c r="A129" s="312">
        <v>7.1156417304147568E-2</v>
      </c>
      <c r="B129" s="314">
        <v>0.96994279309002851</v>
      </c>
      <c r="C129" s="313">
        <v>117</v>
      </c>
      <c r="D129" s="311">
        <v>213902.85730971792</v>
      </c>
    </row>
    <row r="130" spans="1:4">
      <c r="A130" s="312">
        <v>0.70295810000702363</v>
      </c>
      <c r="B130" s="314">
        <v>1.0532693437953677</v>
      </c>
      <c r="C130" s="313">
        <v>118</v>
      </c>
      <c r="D130" s="311">
        <v>103860.14718234865</v>
      </c>
    </row>
    <row r="131" spans="1:4">
      <c r="A131" s="312">
        <v>0.33254816434619117</v>
      </c>
      <c r="B131" s="314">
        <v>1.0050009213025994</v>
      </c>
      <c r="C131" s="313">
        <v>119</v>
      </c>
      <c r="D131" s="311">
        <v>-70429.607976247091</v>
      </c>
    </row>
    <row r="132" spans="1:4">
      <c r="A132" s="312">
        <v>4.725162600570576E-2</v>
      </c>
      <c r="B132" s="314">
        <v>0.96440021491036276</v>
      </c>
      <c r="C132" s="313">
        <v>120</v>
      </c>
      <c r="D132" s="311">
        <v>262937.74439810799</v>
      </c>
    </row>
    <row r="133" spans="1:4">
      <c r="A133" s="312">
        <v>0.54563064634042024</v>
      </c>
      <c r="B133" s="314">
        <v>1.0303645761478784</v>
      </c>
      <c r="C133" s="313">
        <v>121</v>
      </c>
      <c r="D133" s="311">
        <v>244841.15903268359</v>
      </c>
    </row>
    <row r="134" spans="1:4">
      <c r="A134" s="312">
        <v>0.57569060205004385</v>
      </c>
      <c r="B134" s="314">
        <v>1.0343896802382087</v>
      </c>
      <c r="C134" s="313">
        <v>122</v>
      </c>
      <c r="D134" s="311">
        <v>171679.88989835768</v>
      </c>
    </row>
    <row r="135" spans="1:4">
      <c r="A135" s="312">
        <v>0.13435946295879775</v>
      </c>
      <c r="B135" s="314">
        <v>0.98114522126907144</v>
      </c>
      <c r="C135" s="313">
        <v>123</v>
      </c>
      <c r="D135" s="311">
        <v>204530.47811751999</v>
      </c>
    </row>
    <row r="136" spans="1:4">
      <c r="A136" s="312">
        <v>0.10482487863150025</v>
      </c>
      <c r="B136" s="314">
        <v>0.97634272239055431</v>
      </c>
      <c r="C136" s="313">
        <v>124</v>
      </c>
      <c r="D136" s="311">
        <v>117671.65822975454</v>
      </c>
    </row>
    <row r="137" spans="1:4">
      <c r="A137" s="312">
        <v>0.67525611944456643</v>
      </c>
      <c r="B137" s="314">
        <v>1.0488593442897656</v>
      </c>
      <c r="C137" s="313">
        <v>125</v>
      </c>
      <c r="D137" s="311">
        <v>184253.8387268174</v>
      </c>
    </row>
    <row r="138" spans="1:4">
      <c r="A138" s="312">
        <v>0.38339933021973505</v>
      </c>
      <c r="B138" s="314">
        <v>1.0106338595709907</v>
      </c>
      <c r="C138" s="313">
        <v>126</v>
      </c>
      <c r="D138" s="311">
        <v>133014.40040970803</v>
      </c>
    </row>
    <row r="139" spans="1:4">
      <c r="A139" s="312">
        <v>0.40299743061231319</v>
      </c>
      <c r="B139" s="314">
        <v>1.0128665579236336</v>
      </c>
      <c r="C139" s="313">
        <v>127</v>
      </c>
      <c r="D139" s="311">
        <v>138863.54233912844</v>
      </c>
    </row>
    <row r="140" spans="1:4">
      <c r="A140" s="312">
        <v>0.38402789805473525</v>
      </c>
      <c r="B140" s="314">
        <v>1.0107049131832861</v>
      </c>
      <c r="C140" s="313">
        <v>128</v>
      </c>
      <c r="D140" s="311">
        <v>88034.99567125272</v>
      </c>
    </row>
    <row r="141" spans="1:4">
      <c r="A141" s="312">
        <v>0.12584591812825707</v>
      </c>
      <c r="B141" s="314">
        <v>0.97982032858247203</v>
      </c>
      <c r="C141" s="313">
        <v>129</v>
      </c>
      <c r="D141" s="311">
        <v>-37265.296306018485</v>
      </c>
    </row>
    <row r="142" spans="1:4">
      <c r="A142" s="312">
        <v>0.94230689950684321</v>
      </c>
      <c r="B142" s="314">
        <v>1.1073698150891362</v>
      </c>
      <c r="C142" s="313">
        <v>130</v>
      </c>
      <c r="D142" s="311">
        <v>12629.934222707758</v>
      </c>
    </row>
    <row r="143" spans="1:4">
      <c r="A143" s="312">
        <v>0.20917015052223298</v>
      </c>
      <c r="B143" s="314">
        <v>0.9913375486031436</v>
      </c>
      <c r="C143" s="313">
        <v>131</v>
      </c>
      <c r="D143" s="311">
        <v>172311.06594056217</v>
      </c>
    </row>
    <row r="144" spans="1:4">
      <c r="A144" s="312">
        <v>0.50039732335472709</v>
      </c>
      <c r="B144" s="314">
        <v>1.0245508696151062</v>
      </c>
      <c r="C144" s="313">
        <v>132</v>
      </c>
      <c r="D144" s="311">
        <v>-75849.371673847316</v>
      </c>
    </row>
    <row r="145" spans="1:4">
      <c r="A145" s="312">
        <v>0.46584321126350436</v>
      </c>
      <c r="B145" s="314">
        <v>1.0202851633574648</v>
      </c>
      <c r="C145" s="313">
        <v>133</v>
      </c>
      <c r="D145" s="311">
        <v>123958.31262848829</v>
      </c>
    </row>
    <row r="146" spans="1:4">
      <c r="A146" s="312">
        <v>0.37798649606048962</v>
      </c>
      <c r="B146" s="314">
        <v>1.0100234827762364</v>
      </c>
      <c r="C146" s="313">
        <v>134</v>
      </c>
      <c r="D146" s="311">
        <v>4555.3568890460301</v>
      </c>
    </row>
    <row r="147" spans="1:4">
      <c r="A147" s="312">
        <v>6.2221885157501267E-2</v>
      </c>
      <c r="B147" s="314">
        <v>0.96799992416033498</v>
      </c>
      <c r="C147" s="313">
        <v>135</v>
      </c>
      <c r="D147" s="311">
        <v>147978.03330328991</v>
      </c>
    </row>
    <row r="148" spans="1:4">
      <c r="A148" s="312">
        <v>0.2124880818549324</v>
      </c>
      <c r="B148" s="314">
        <v>0.99174311385461977</v>
      </c>
      <c r="C148" s="313">
        <v>136</v>
      </c>
      <c r="D148" s="311">
        <v>241459.94270239584</v>
      </c>
    </row>
    <row r="149" spans="1:4">
      <c r="A149" s="312">
        <v>0.31252766730300585</v>
      </c>
      <c r="B149" s="314">
        <v>1.0028423346204645</v>
      </c>
      <c r="C149" s="313">
        <v>137</v>
      </c>
      <c r="D149" s="311">
        <v>116807.07117140153</v>
      </c>
    </row>
    <row r="150" spans="1:4">
      <c r="A150" s="312">
        <v>0.54090740555463979</v>
      </c>
      <c r="B150" s="314">
        <v>1.0297443692585297</v>
      </c>
      <c r="C150" s="313">
        <v>138</v>
      </c>
      <c r="D150" s="311">
        <v>141634.2828955506</v>
      </c>
    </row>
    <row r="151" spans="1:4">
      <c r="A151" s="312">
        <v>0.1200579716190755</v>
      </c>
      <c r="B151" s="314">
        <v>0.97889383553212961</v>
      </c>
      <c r="C151" s="313">
        <v>139</v>
      </c>
      <c r="D151" s="311">
        <v>132350.86179793696</v>
      </c>
    </row>
    <row r="152" spans="1:4">
      <c r="A152" s="312">
        <v>0.87269757943800796</v>
      </c>
      <c r="B152" s="314">
        <v>1.0866752319569764</v>
      </c>
      <c r="C152" s="313">
        <v>140</v>
      </c>
      <c r="D152" s="311">
        <v>226247.52381668636</v>
      </c>
    </row>
    <row r="153" spans="1:4">
      <c r="A153" s="312">
        <v>0.65277952449202514</v>
      </c>
      <c r="B153" s="314">
        <v>1.0454177597366492</v>
      </c>
      <c r="C153" s="313">
        <v>141</v>
      </c>
      <c r="D153" s="311">
        <v>208176.42410403769</v>
      </c>
    </row>
    <row r="154" spans="1:4">
      <c r="A154" s="312">
        <v>0.64954884694162041</v>
      </c>
      <c r="B154" s="314">
        <v>1.044932348834958</v>
      </c>
      <c r="C154" s="313">
        <v>142</v>
      </c>
      <c r="D154" s="311">
        <v>56003.475448651239</v>
      </c>
    </row>
    <row r="155" spans="1:4">
      <c r="A155" s="312">
        <v>7.9047557561218507E-2</v>
      </c>
      <c r="B155" s="314">
        <v>0.97155945540200828</v>
      </c>
      <c r="C155" s="313">
        <v>143</v>
      </c>
      <c r="D155" s="311">
        <v>186471.74570907769</v>
      </c>
    </row>
    <row r="156" spans="1:4">
      <c r="A156" s="312">
        <v>0.61271305034719015</v>
      </c>
      <c r="B156" s="314">
        <v>1.0395484770858114</v>
      </c>
      <c r="C156" s="313">
        <v>144</v>
      </c>
      <c r="D156" s="311">
        <v>218581.68731311569</v>
      </c>
    </row>
    <row r="157" spans="1:4">
      <c r="A157" s="312">
        <v>0.86236431411661119</v>
      </c>
      <c r="B157" s="314">
        <v>1.0841553031343696</v>
      </c>
      <c r="C157" s="313">
        <v>145</v>
      </c>
      <c r="D157" s="311">
        <v>225686.71759021352</v>
      </c>
    </row>
    <row r="158" spans="1:4">
      <c r="A158" s="312">
        <v>0.58101405460121225</v>
      </c>
      <c r="B158" s="314">
        <v>1.0351172019836659</v>
      </c>
      <c r="C158" s="313">
        <v>146</v>
      </c>
      <c r="D158" s="311">
        <v>249078.59381091013</v>
      </c>
    </row>
    <row r="159" spans="1:4">
      <c r="A159" s="312">
        <v>0.26795280560985679</v>
      </c>
      <c r="B159" s="314">
        <v>0.99810512327397816</v>
      </c>
      <c r="C159" s="313">
        <v>147</v>
      </c>
      <c r="D159" s="311">
        <v>67944.512905075448</v>
      </c>
    </row>
    <row r="160" spans="1:4">
      <c r="A160" s="312">
        <v>0.86031518402808571</v>
      </c>
      <c r="B160" s="314">
        <v>1.0836669637125262</v>
      </c>
      <c r="C160" s="313">
        <v>148</v>
      </c>
      <c r="D160" s="311">
        <v>192126.37718300079</v>
      </c>
    </row>
    <row r="161" spans="1:4">
      <c r="A161" s="312">
        <v>0.34249215790918697</v>
      </c>
      <c r="B161" s="314">
        <v>1.0060851049200932</v>
      </c>
      <c r="C161" s="313">
        <v>149</v>
      </c>
      <c r="D161" s="311">
        <v>60506.157779996982</v>
      </c>
    </row>
    <row r="162" spans="1:4">
      <c r="A162" s="312">
        <v>0.99183898431434847</v>
      </c>
      <c r="B162" s="314">
        <v>1.1339665351811274</v>
      </c>
      <c r="C162" s="313">
        <v>150</v>
      </c>
      <c r="D162" s="311">
        <v>146276.45622584037</v>
      </c>
    </row>
    <row r="163" spans="1:4">
      <c r="A163" s="312">
        <v>0.56363693798068359</v>
      </c>
      <c r="B163" s="314">
        <v>1.0327590666464632</v>
      </c>
      <c r="C163" s="313">
        <v>151</v>
      </c>
      <c r="D163" s="311">
        <v>6861.4530034929048</v>
      </c>
    </row>
    <row r="164" spans="1:4">
      <c r="A164" s="312">
        <v>0.6929235426128324</v>
      </c>
      <c r="B164" s="314">
        <v>1.0516490548713648</v>
      </c>
      <c r="C164" s="313">
        <v>152</v>
      </c>
      <c r="D164" s="311">
        <v>168832.52579608327</v>
      </c>
    </row>
    <row r="165" spans="1:4">
      <c r="A165" s="312">
        <v>0.37727876685928785</v>
      </c>
      <c r="B165" s="314">
        <v>1.0099438725227188</v>
      </c>
      <c r="C165" s="313">
        <v>153</v>
      </c>
      <c r="D165" s="311">
        <v>40518.711740164086</v>
      </c>
    </row>
    <row r="166" spans="1:4">
      <c r="A166" s="312">
        <v>0.59824017158768872</v>
      </c>
      <c r="B166" s="314">
        <v>1.0375036240806494</v>
      </c>
      <c r="C166" s="313">
        <v>154</v>
      </c>
      <c r="D166" s="311">
        <v>154927.71749563469</v>
      </c>
    </row>
    <row r="167" spans="1:4">
      <c r="A167" s="312">
        <v>0.63512126831581306</v>
      </c>
      <c r="B167" s="314">
        <v>1.042791418029843</v>
      </c>
      <c r="C167" s="313">
        <v>155</v>
      </c>
      <c r="D167" s="311">
        <v>51105.46314104367</v>
      </c>
    </row>
    <row r="168" spans="1:4">
      <c r="A168" s="312">
        <v>0.34332302341858589</v>
      </c>
      <c r="B168" s="314">
        <v>1.0061760633193677</v>
      </c>
      <c r="C168" s="313">
        <v>156</v>
      </c>
      <c r="D168" s="311">
        <v>-68547.260638335021</v>
      </c>
    </row>
    <row r="169" spans="1:4">
      <c r="A169" s="312">
        <v>0.65521872125504432</v>
      </c>
      <c r="B169" s="314">
        <v>1.0457857481892898</v>
      </c>
      <c r="C169" s="313">
        <v>157</v>
      </c>
      <c r="D169" s="311">
        <v>185073.83439667081</v>
      </c>
    </row>
    <row r="170" spans="1:4">
      <c r="A170" s="312">
        <v>0.64424057549911895</v>
      </c>
      <c r="B170" s="314">
        <v>1.0441396114130608</v>
      </c>
      <c r="C170" s="313">
        <v>158</v>
      </c>
      <c r="D170" s="311">
        <v>176644.65999933518</v>
      </c>
    </row>
    <row r="171" spans="1:4">
      <c r="A171" s="312">
        <v>4.1362018569441328E-2</v>
      </c>
      <c r="B171" s="314">
        <v>0.96282896042256327</v>
      </c>
      <c r="C171" s="313">
        <v>159</v>
      </c>
      <c r="D171" s="311">
        <v>190243.94640661334</v>
      </c>
    </row>
    <row r="172" spans="1:4">
      <c r="A172" s="312">
        <v>0.20047367080036504</v>
      </c>
      <c r="B172" s="314">
        <v>0.99025901165049501</v>
      </c>
      <c r="C172" s="313">
        <v>160</v>
      </c>
      <c r="D172" s="311">
        <v>205002.78460928076</v>
      </c>
    </row>
    <row r="173" spans="1:4">
      <c r="A173" s="312">
        <v>0.17333872347786849</v>
      </c>
      <c r="B173" s="314">
        <v>0.98673401240874936</v>
      </c>
      <c r="C173" s="313">
        <v>161</v>
      </c>
      <c r="D173" s="311">
        <v>201450.06372521352</v>
      </c>
    </row>
    <row r="174" spans="1:4">
      <c r="A174" s="312">
        <v>0.51449814451078801</v>
      </c>
      <c r="B174" s="314">
        <v>1.0263338831857725</v>
      </c>
      <c r="C174" s="313">
        <v>162</v>
      </c>
      <c r="D174" s="311">
        <v>151618.68471292756</v>
      </c>
    </row>
    <row r="175" spans="1:4">
      <c r="A175" s="312">
        <v>0.63544791831520542</v>
      </c>
      <c r="B175" s="314">
        <v>1.0428394168872199</v>
      </c>
      <c r="C175" s="313">
        <v>163</v>
      </c>
      <c r="D175" s="311">
        <v>126877.13125740504</v>
      </c>
    </row>
    <row r="176" spans="1:4">
      <c r="A176" s="312">
        <v>0.45804047655278424</v>
      </c>
      <c r="B176" s="314">
        <v>1.0193411886301298</v>
      </c>
      <c r="C176" s="313">
        <v>164</v>
      </c>
      <c r="D176" s="311">
        <v>20881.090426535113</v>
      </c>
    </row>
    <row r="177" spans="1:4">
      <c r="A177" s="312">
        <v>0.3331846010291859</v>
      </c>
      <c r="B177" s="314">
        <v>1.0050700684206997</v>
      </c>
      <c r="C177" s="313">
        <v>165</v>
      </c>
      <c r="D177" s="311">
        <v>228505.43223351613</v>
      </c>
    </row>
    <row r="178" spans="1:4">
      <c r="A178" s="312">
        <v>4.5621005876556597E-2</v>
      </c>
      <c r="B178" s="314">
        <v>0.96397550153895872</v>
      </c>
      <c r="C178" s="313">
        <v>166</v>
      </c>
      <c r="D178" s="311">
        <v>46145.54525651969</v>
      </c>
    </row>
    <row r="179" spans="1:4">
      <c r="A179" s="312">
        <v>0.88416754231887917</v>
      </c>
      <c r="B179" s="314">
        <v>1.0895953444099271</v>
      </c>
      <c r="C179" s="313">
        <v>167</v>
      </c>
      <c r="D179" s="311">
        <v>17559.332595993765</v>
      </c>
    </row>
    <row r="180" spans="1:4">
      <c r="A180" s="312">
        <v>0.37069968516110896</v>
      </c>
      <c r="B180" s="314">
        <v>1.0092059663287358</v>
      </c>
      <c r="C180" s="313">
        <v>168</v>
      </c>
      <c r="D180" s="311">
        <v>139559.42123285774</v>
      </c>
    </row>
    <row r="181" spans="1:4">
      <c r="A181" s="312">
        <v>0.46250855977050331</v>
      </c>
      <c r="B181" s="314">
        <v>1.01988089929903</v>
      </c>
      <c r="C181" s="313">
        <v>169</v>
      </c>
      <c r="D181" s="311">
        <v>-29040.776641202625</v>
      </c>
    </row>
    <row r="182" spans="1:4">
      <c r="A182" s="312">
        <v>5.7180183479359714E-2</v>
      </c>
      <c r="B182" s="314">
        <v>0.96684157804302739</v>
      </c>
      <c r="C182" s="313">
        <v>170</v>
      </c>
      <c r="D182" s="311">
        <v>-47724.58137197583</v>
      </c>
    </row>
    <row r="183" spans="1:4">
      <c r="A183" s="312">
        <v>0.83550277938505391</v>
      </c>
      <c r="B183" s="314">
        <v>1.0780162348208235</v>
      </c>
      <c r="C183" s="313">
        <v>171</v>
      </c>
      <c r="D183" s="311">
        <v>173059.81929879985</v>
      </c>
    </row>
    <row r="184" spans="1:4">
      <c r="A184" s="312">
        <v>0.15260992807969942</v>
      </c>
      <c r="B184" s="314">
        <v>0.98385071372057942</v>
      </c>
      <c r="C184" s="313">
        <v>172</v>
      </c>
      <c r="D184" s="311">
        <v>65068.01056209323</v>
      </c>
    </row>
    <row r="185" spans="1:4">
      <c r="A185" s="312">
        <v>0.40338876922413136</v>
      </c>
      <c r="B185" s="314">
        <v>1.0129115111709233</v>
      </c>
      <c r="C185" s="313">
        <v>173</v>
      </c>
      <c r="D185" s="311">
        <v>94277.538942715153</v>
      </c>
    </row>
    <row r="186" spans="1:4">
      <c r="A186" s="312">
        <v>3.2601337106411776E-2</v>
      </c>
      <c r="B186" s="314">
        <v>0.96026763053592568</v>
      </c>
      <c r="C186" s="313">
        <v>174</v>
      </c>
      <c r="D186" s="311">
        <v>208431.45789289125</v>
      </c>
    </row>
    <row r="187" spans="1:4">
      <c r="A187" s="312">
        <v>0.91403643481256569</v>
      </c>
      <c r="B187" s="314">
        <v>1.0979629718046449</v>
      </c>
      <c r="C187" s="313">
        <v>175</v>
      </c>
      <c r="D187" s="311">
        <v>98863.755682020681</v>
      </c>
    </row>
    <row r="188" spans="1:4">
      <c r="A188" s="312">
        <v>0.39155637477014682</v>
      </c>
      <c r="B188" s="314">
        <v>1.0115587698886621</v>
      </c>
      <c r="C188" s="313">
        <v>176</v>
      </c>
      <c r="D188" s="311">
        <v>227735.80249475781</v>
      </c>
    </row>
    <row r="189" spans="1:4">
      <c r="A189" s="312">
        <v>0.57902937528497489</v>
      </c>
      <c r="B189" s="314">
        <v>1.034845431360613</v>
      </c>
      <c r="C189" s="313">
        <v>177</v>
      </c>
      <c r="D189" s="311">
        <v>221890.92037698091</v>
      </c>
    </row>
    <row r="190" spans="1:4">
      <c r="A190" s="312">
        <v>0.2420276149304299</v>
      </c>
      <c r="B190" s="314">
        <v>0.99522271224888736</v>
      </c>
      <c r="C190" s="313">
        <v>178</v>
      </c>
      <c r="D190" s="311">
        <v>110543.47887857631</v>
      </c>
    </row>
    <row r="191" spans="1:4">
      <c r="A191" s="312">
        <v>9.6376549462225181E-2</v>
      </c>
      <c r="B191" s="314">
        <v>0.97484744643763777</v>
      </c>
      <c r="C191" s="313">
        <v>179</v>
      </c>
      <c r="D191" s="311">
        <v>79621.451431357767</v>
      </c>
    </row>
    <row r="192" spans="1:4">
      <c r="A192" s="312">
        <v>0.64272426805687299</v>
      </c>
      <c r="B192" s="314">
        <v>1.0439142537557071</v>
      </c>
      <c r="C192" s="313">
        <v>180</v>
      </c>
      <c r="D192" s="311">
        <v>20788.970864858711</v>
      </c>
    </row>
    <row r="193" spans="1:4">
      <c r="A193" s="312">
        <v>2.5227329978419033E-2</v>
      </c>
      <c r="B193" s="314">
        <v>0.95782875087402586</v>
      </c>
      <c r="C193" s="313">
        <v>181</v>
      </c>
      <c r="D193" s="311">
        <v>50264.941280747298</v>
      </c>
    </row>
    <row r="194" spans="1:4">
      <c r="A194" s="312">
        <v>0.29393913385410886</v>
      </c>
      <c r="B194" s="314">
        <v>1.0008661095404683</v>
      </c>
      <c r="C194" s="313">
        <v>182</v>
      </c>
      <c r="D194" s="311">
        <v>116786.94846378989</v>
      </c>
    </row>
    <row r="195" spans="1:4">
      <c r="A195" s="312">
        <v>0.50906734842776424</v>
      </c>
      <c r="B195" s="314">
        <v>1.0256441455960941</v>
      </c>
      <c r="C195" s="313">
        <v>183</v>
      </c>
      <c r="D195" s="311">
        <v>-9427.5031960566994</v>
      </c>
    </row>
    <row r="196" spans="1:4">
      <c r="A196" s="312">
        <v>1.396342045313792E-2</v>
      </c>
      <c r="B196" s="314">
        <v>0.95326420362138398</v>
      </c>
      <c r="C196" s="313">
        <v>184</v>
      </c>
      <c r="D196" s="311">
        <v>242950.63262505364</v>
      </c>
    </row>
    <row r="197" spans="1:4">
      <c r="A197" s="312">
        <v>0.5991786488648928</v>
      </c>
      <c r="B197" s="314">
        <v>1.0376350919514643</v>
      </c>
      <c r="C197" s="313">
        <v>185</v>
      </c>
      <c r="D197" s="311">
        <v>219948.26767522562</v>
      </c>
    </row>
    <row r="198" spans="1:4">
      <c r="A198" s="312">
        <v>0.55722317804530652</v>
      </c>
      <c r="B198" s="314">
        <v>1.0319005931785732</v>
      </c>
      <c r="C198" s="313">
        <v>186</v>
      </c>
      <c r="D198" s="311">
        <v>242889.3481130302</v>
      </c>
    </row>
    <row r="199" spans="1:4">
      <c r="A199" s="312">
        <v>0.75514230868836918</v>
      </c>
      <c r="B199" s="314">
        <v>1.0621762146322742</v>
      </c>
      <c r="C199" s="313">
        <v>187</v>
      </c>
      <c r="D199" s="311">
        <v>77872.266936999746</v>
      </c>
    </row>
    <row r="200" spans="1:4">
      <c r="A200" s="312">
        <v>0.15663141382869794</v>
      </c>
      <c r="B200" s="314">
        <v>0.98442472075592136</v>
      </c>
      <c r="C200" s="313">
        <v>188</v>
      </c>
      <c r="D200" s="311">
        <v>115064.13039086829</v>
      </c>
    </row>
    <row r="201" spans="1:4">
      <c r="A201" s="312">
        <v>0.52903512625267313</v>
      </c>
      <c r="B201" s="314">
        <v>1.028199369775683</v>
      </c>
      <c r="C201" s="313">
        <v>189</v>
      </c>
      <c r="D201" s="311">
        <v>153165.94153982121</v>
      </c>
    </row>
    <row r="202" spans="1:4">
      <c r="A202" s="312">
        <v>0.59237237020539346</v>
      </c>
      <c r="B202" s="314">
        <v>1.0366850833361727</v>
      </c>
      <c r="C202" s="313">
        <v>190</v>
      </c>
      <c r="D202" s="311">
        <v>133629.78051752923</v>
      </c>
    </row>
    <row r="203" spans="1:4">
      <c r="A203" s="312">
        <v>0.48047184073408666</v>
      </c>
      <c r="B203" s="314">
        <v>1.0220737047481001</v>
      </c>
      <c r="C203" s="313">
        <v>191</v>
      </c>
      <c r="D203" s="311">
        <v>81285.07319458737</v>
      </c>
    </row>
    <row r="204" spans="1:4">
      <c r="A204" s="312">
        <v>0.11972523561690929</v>
      </c>
      <c r="B204" s="314">
        <v>0.97883990176059998</v>
      </c>
      <c r="C204" s="313">
        <v>192</v>
      </c>
      <c r="D204" s="311">
        <v>94470.341758494964</v>
      </c>
    </row>
    <row r="205" spans="1:4">
      <c r="A205" s="312">
        <v>0.21846184906459654</v>
      </c>
      <c r="B205" s="314">
        <v>0.99246541049314219</v>
      </c>
      <c r="C205" s="313">
        <v>193</v>
      </c>
      <c r="D205" s="311">
        <v>-18659.213418276981</v>
      </c>
    </row>
    <row r="206" spans="1:4">
      <c r="A206" s="312">
        <v>0.93798297680411291</v>
      </c>
      <c r="B206" s="314">
        <v>1.1058011738767821</v>
      </c>
      <c r="C206" s="313">
        <v>194</v>
      </c>
      <c r="D206" s="311">
        <v>-23903.214925819775</v>
      </c>
    </row>
    <row r="207" spans="1:4">
      <c r="A207" s="312">
        <v>0.81678199488524561</v>
      </c>
      <c r="B207" s="314">
        <v>1.0740304853173672</v>
      </c>
      <c r="C207" s="313">
        <v>195</v>
      </c>
      <c r="D207" s="311">
        <v>50288.542680213228</v>
      </c>
    </row>
    <row r="208" spans="1:4">
      <c r="A208" s="312">
        <v>0.56289944912766754</v>
      </c>
      <c r="B208" s="314">
        <v>1.0326600351436968</v>
      </c>
      <c r="C208" s="313">
        <v>196</v>
      </c>
      <c r="D208" s="311">
        <v>121860.30928263534</v>
      </c>
    </row>
    <row r="209" spans="1:4">
      <c r="A209" s="312">
        <v>0.8551847551237759</v>
      </c>
      <c r="B209" s="314">
        <v>1.0824597881732587</v>
      </c>
      <c r="C209" s="313">
        <v>197</v>
      </c>
      <c r="D209" s="311">
        <v>211401.181759506</v>
      </c>
    </row>
    <row r="210" spans="1:4">
      <c r="A210" s="312">
        <v>1.938315823445913E-2</v>
      </c>
      <c r="B210" s="314">
        <v>0.95562778915119417</v>
      </c>
      <c r="C210" s="313">
        <v>198</v>
      </c>
      <c r="D210" s="311">
        <v>-21718.912159968633</v>
      </c>
    </row>
    <row r="211" spans="1:4">
      <c r="A211" s="312">
        <v>0.30094631614669887</v>
      </c>
      <c r="B211" s="314">
        <v>1.0016079818811705</v>
      </c>
      <c r="C211" s="313">
        <v>199</v>
      </c>
      <c r="D211" s="311">
        <v>5511.9127918195445</v>
      </c>
    </row>
    <row r="212" spans="1:4">
      <c r="A212" s="312">
        <v>0.67017211275712751</v>
      </c>
      <c r="B212" s="314">
        <v>1.0480707183967704</v>
      </c>
      <c r="C212" s="313">
        <v>200</v>
      </c>
      <c r="D212" s="311">
        <v>207425.46878317161</v>
      </c>
    </row>
    <row r="213" spans="1:4">
      <c r="A213" s="312">
        <v>0.97538196231267693</v>
      </c>
      <c r="B213" s="314">
        <v>1.1221527705659848</v>
      </c>
      <c r="C213" s="313">
        <v>201</v>
      </c>
      <c r="D213" s="311">
        <v>148674.62077471986</v>
      </c>
    </row>
    <row r="214" spans="1:4">
      <c r="A214" s="312">
        <v>7.9007434222524875E-2</v>
      </c>
      <c r="B214" s="314">
        <v>0.97155144483543998</v>
      </c>
      <c r="C214" s="313">
        <v>202</v>
      </c>
      <c r="D214" s="311">
        <v>-5302.6986584481783</v>
      </c>
    </row>
    <row r="215" spans="1:4">
      <c r="A215" s="312">
        <v>0.40830965920572182</v>
      </c>
      <c r="B215" s="314">
        <v>1.0134780393672147</v>
      </c>
      <c r="C215" s="313">
        <v>203</v>
      </c>
      <c r="D215" s="311">
        <v>75948.246193073224</v>
      </c>
    </row>
    <row r="216" spans="1:4">
      <c r="A216" s="312">
        <v>0.70850584025104135</v>
      </c>
      <c r="B216" s="314">
        <v>1.0541769024081762</v>
      </c>
      <c r="C216" s="313">
        <v>204</v>
      </c>
      <c r="D216" s="311">
        <v>-83408.690830818145</v>
      </c>
    </row>
    <row r="217" spans="1:4">
      <c r="A217" s="312">
        <v>0.30609514522377101</v>
      </c>
      <c r="B217" s="314">
        <v>1.002155477188192</v>
      </c>
      <c r="C217" s="313">
        <v>205</v>
      </c>
      <c r="D217" s="311">
        <v>31596.66894363123</v>
      </c>
    </row>
    <row r="218" spans="1:4">
      <c r="A218" s="312">
        <v>0.84617735544876282</v>
      </c>
      <c r="B218" s="314">
        <v>1.0803909969661685</v>
      </c>
      <c r="C218" s="313">
        <v>206</v>
      </c>
      <c r="D218" s="311">
        <v>134045.46553508844</v>
      </c>
    </row>
    <row r="219" spans="1:4">
      <c r="A219" s="312">
        <v>0.44188701744678194</v>
      </c>
      <c r="B219" s="314">
        <v>1.0174082998433673</v>
      </c>
      <c r="C219" s="313">
        <v>207</v>
      </c>
      <c r="D219" s="311">
        <v>175957.19157436118</v>
      </c>
    </row>
    <row r="220" spans="1:4">
      <c r="A220" s="312">
        <v>0.89900598385584729</v>
      </c>
      <c r="B220" s="314">
        <v>1.0935968838756154</v>
      </c>
      <c r="C220" s="313">
        <v>208</v>
      </c>
      <c r="D220" s="311">
        <v>206194.94750324124</v>
      </c>
    </row>
    <row r="221" spans="1:4">
      <c r="A221" s="312">
        <v>0.38985404815822244</v>
      </c>
      <c r="B221" s="314">
        <v>1.0113652371047723</v>
      </c>
      <c r="C221" s="313">
        <v>209</v>
      </c>
      <c r="D221" s="311">
        <v>116734.82637402671</v>
      </c>
    </row>
    <row r="222" spans="1:4">
      <c r="A222" s="312">
        <v>0.97222893550315437</v>
      </c>
      <c r="B222" s="314">
        <v>1.1204231757679997</v>
      </c>
      <c r="C222" s="313">
        <v>210</v>
      </c>
      <c r="D222" s="311">
        <v>142344.94233382703</v>
      </c>
    </row>
    <row r="223" spans="1:4">
      <c r="A223" s="312">
        <v>1.671350143483985E-2</v>
      </c>
      <c r="B223" s="314">
        <v>0.9545117234703181</v>
      </c>
      <c r="C223" s="313">
        <v>211</v>
      </c>
      <c r="D223" s="311">
        <v>11476.002462204546</v>
      </c>
    </row>
    <row r="224" spans="1:4">
      <c r="A224" s="312">
        <v>0.42548074524271995</v>
      </c>
      <c r="B224" s="314">
        <v>1.0154735842860061</v>
      </c>
      <c r="C224" s="313">
        <v>212</v>
      </c>
      <c r="D224" s="311">
        <v>54433.187792453449</v>
      </c>
    </row>
    <row r="225" spans="1:4">
      <c r="A225" s="312">
        <v>0.55115454118585017</v>
      </c>
      <c r="B225" s="314">
        <v>1.0310940205345176</v>
      </c>
      <c r="C225" s="313">
        <v>213</v>
      </c>
      <c r="D225" s="311">
        <v>121423.41555066244</v>
      </c>
    </row>
    <row r="226" spans="1:4">
      <c r="A226" s="312">
        <v>0.88867889469223882</v>
      </c>
      <c r="B226" s="314">
        <v>1.0907833231496862</v>
      </c>
      <c r="C226" s="313">
        <v>214</v>
      </c>
      <c r="D226" s="311">
        <v>115636.13963727537</v>
      </c>
    </row>
    <row r="227" spans="1:4">
      <c r="A227" s="312">
        <v>4.1732663877376064E-2</v>
      </c>
      <c r="B227" s="314">
        <v>0.96293101752768373</v>
      </c>
      <c r="C227" s="313">
        <v>215</v>
      </c>
      <c r="D227" s="311">
        <v>230936.49801061256</v>
      </c>
    </row>
    <row r="228" spans="1:4">
      <c r="A228" s="312">
        <v>0.51444063389730721</v>
      </c>
      <c r="B228" s="314">
        <v>1.0263265589051762</v>
      </c>
      <c r="C228" s="313">
        <v>216</v>
      </c>
      <c r="D228" s="311">
        <v>165558.59830840444</v>
      </c>
    </row>
    <row r="229" spans="1:4">
      <c r="A229" s="312">
        <v>1.216902764926342E-2</v>
      </c>
      <c r="B229" s="314">
        <v>0.95238263899097109</v>
      </c>
      <c r="C229" s="313">
        <v>217</v>
      </c>
      <c r="D229" s="311">
        <v>224943.04936352302</v>
      </c>
    </row>
    <row r="230" spans="1:4">
      <c r="A230" s="312">
        <v>0.25727808557126974</v>
      </c>
      <c r="B230" s="314">
        <v>0.99693596296013609</v>
      </c>
      <c r="C230" s="313">
        <v>218</v>
      </c>
      <c r="D230" s="311">
        <v>233647.41677362681</v>
      </c>
    </row>
    <row r="231" spans="1:4">
      <c r="A231" s="312">
        <v>0.24251574467127046</v>
      </c>
      <c r="B231" s="314">
        <v>0.99527837174571987</v>
      </c>
      <c r="C231" s="313">
        <v>219</v>
      </c>
      <c r="D231" s="311">
        <v>1773.2760301211383</v>
      </c>
    </row>
    <row r="232" spans="1:4">
      <c r="A232" s="312">
        <v>0.70499174559224309</v>
      </c>
      <c r="B232" s="314">
        <v>1.0536010372781721</v>
      </c>
      <c r="C232" s="313">
        <v>220</v>
      </c>
      <c r="D232" s="311">
        <v>21502.17764687282</v>
      </c>
    </row>
    <row r="233" spans="1:4">
      <c r="A233" s="312">
        <v>0.46735711889867271</v>
      </c>
      <c r="B233" s="314">
        <v>1.02046911273873</v>
      </c>
      <c r="C233" s="313">
        <v>221</v>
      </c>
      <c r="D233" s="311">
        <v>38610.831770094112</v>
      </c>
    </row>
    <row r="234" spans="1:4">
      <c r="A234" s="312">
        <v>0.42147616115117015</v>
      </c>
      <c r="B234" s="314">
        <v>1.0150055522484789</v>
      </c>
      <c r="C234" s="313">
        <v>222</v>
      </c>
      <c r="D234" s="311">
        <v>210601.40491036</v>
      </c>
    </row>
    <row r="235" spans="1:4">
      <c r="A235" s="312">
        <v>0.11084988338337964</v>
      </c>
      <c r="B235" s="314">
        <v>0.97737256387553018</v>
      </c>
      <c r="C235" s="313">
        <v>223</v>
      </c>
      <c r="D235" s="311">
        <v>196930.63292601868</v>
      </c>
    </row>
    <row r="236" spans="1:4">
      <c r="A236" s="312">
        <v>0.18673362935096172</v>
      </c>
      <c r="B236" s="314">
        <v>0.98850612053980524</v>
      </c>
      <c r="C236" s="313">
        <v>224</v>
      </c>
      <c r="D236" s="311">
        <v>160948.93503299635</v>
      </c>
    </row>
    <row r="237" spans="1:4">
      <c r="A237" s="312">
        <v>0.64759933955616156</v>
      </c>
      <c r="B237" s="314">
        <v>1.044640516307354</v>
      </c>
      <c r="C237" s="313">
        <v>225</v>
      </c>
      <c r="D237" s="311">
        <v>98993.665926089976</v>
      </c>
    </row>
    <row r="238" spans="1:4">
      <c r="A238" s="312">
        <v>0.63884973171245107</v>
      </c>
      <c r="B238" s="314">
        <v>1.0433405726104916</v>
      </c>
      <c r="C238" s="313">
        <v>226</v>
      </c>
      <c r="D238" s="311">
        <v>24757.512370827142</v>
      </c>
    </row>
    <row r="239" spans="1:4">
      <c r="A239" s="312">
        <v>0.28108882502822663</v>
      </c>
      <c r="B239" s="314">
        <v>0.99951234489881613</v>
      </c>
      <c r="C239" s="313">
        <v>227</v>
      </c>
      <c r="D239" s="311">
        <v>148284.1165834826</v>
      </c>
    </row>
    <row r="240" spans="1:4">
      <c r="A240" s="312">
        <v>0.86778354276020331</v>
      </c>
      <c r="B240" s="314">
        <v>1.0854645957395972</v>
      </c>
      <c r="C240" s="313">
        <v>228</v>
      </c>
      <c r="D240" s="311">
        <v>165144.38222380332</v>
      </c>
    </row>
    <row r="241" spans="1:4">
      <c r="A241" s="312">
        <v>0.36127869218633901</v>
      </c>
      <c r="B241" s="314">
        <v>1.0081559969680411</v>
      </c>
      <c r="C241" s="313">
        <v>229</v>
      </c>
      <c r="D241" s="311">
        <v>132360.75945289852</v>
      </c>
    </row>
    <row r="242" spans="1:4">
      <c r="A242" s="312">
        <v>0.15034546596816378</v>
      </c>
      <c r="B242" s="314">
        <v>0.98352416422171551</v>
      </c>
      <c r="C242" s="313">
        <v>230</v>
      </c>
      <c r="D242" s="311">
        <v>-77276.300430670846</v>
      </c>
    </row>
    <row r="243" spans="1:4">
      <c r="A243" s="312">
        <v>0.61778762314832902</v>
      </c>
      <c r="B243" s="314">
        <v>1.0402744794005168</v>
      </c>
      <c r="C243" s="313">
        <v>231</v>
      </c>
      <c r="D243" s="311">
        <v>151756.03069950384</v>
      </c>
    </row>
    <row r="244" spans="1:4">
      <c r="A244" s="312">
        <v>4.605858826238951E-2</v>
      </c>
      <c r="B244" s="314">
        <v>0.9640902098809061</v>
      </c>
      <c r="C244" s="313">
        <v>232</v>
      </c>
      <c r="D244" s="311">
        <v>129107.67839802965</v>
      </c>
    </row>
    <row r="245" spans="1:4">
      <c r="A245" s="312">
        <v>0.39927852494297378</v>
      </c>
      <c r="B245" s="314">
        <v>1.0124400986322819</v>
      </c>
      <c r="C245" s="313">
        <v>233</v>
      </c>
      <c r="D245" s="311">
        <v>269089.89376701647</v>
      </c>
    </row>
    <row r="246" spans="1:4">
      <c r="A246" s="312">
        <v>1.7423444856069836E-2</v>
      </c>
      <c r="B246" s="314">
        <v>0.95481672720901878</v>
      </c>
      <c r="C246" s="313">
        <v>234</v>
      </c>
      <c r="D246" s="311">
        <v>62241.257190069649</v>
      </c>
    </row>
    <row r="247" spans="1:4">
      <c r="A247" s="312">
        <v>0.79483074389889752</v>
      </c>
      <c r="B247" s="314">
        <v>1.0696082618225931</v>
      </c>
      <c r="C247" s="313">
        <v>235</v>
      </c>
      <c r="D247" s="311">
        <v>91888.427958856104</v>
      </c>
    </row>
    <row r="248" spans="1:4">
      <c r="A248" s="312">
        <v>0.37203478459213446</v>
      </c>
      <c r="B248" s="314">
        <v>1.009355397240606</v>
      </c>
      <c r="C248" s="313">
        <v>236</v>
      </c>
      <c r="D248" s="311">
        <v>142419.65488155931</v>
      </c>
    </row>
    <row r="249" spans="1:4">
      <c r="A249" s="312">
        <v>0.60990096018883055</v>
      </c>
      <c r="B249" s="314">
        <v>1.0391482081603918</v>
      </c>
      <c r="C249" s="313">
        <v>237</v>
      </c>
      <c r="D249" s="311">
        <v>22868.105271673063</v>
      </c>
    </row>
    <row r="250" spans="1:4">
      <c r="A250" s="312">
        <v>0.87797843631644934</v>
      </c>
      <c r="B250" s="314">
        <v>1.0880025866988641</v>
      </c>
      <c r="C250" s="313">
        <v>238</v>
      </c>
      <c r="D250" s="311">
        <v>-65302.040708585409</v>
      </c>
    </row>
    <row r="251" spans="1:4">
      <c r="A251" s="312">
        <v>0.48226865269448027</v>
      </c>
      <c r="B251" s="314">
        <v>1.0222951158329334</v>
      </c>
      <c r="C251" s="313">
        <v>239</v>
      </c>
      <c r="D251" s="311">
        <v>95042.019568563672</v>
      </c>
    </row>
    <row r="252" spans="1:4">
      <c r="A252" s="312">
        <v>0.55893472775362729</v>
      </c>
      <c r="B252" s="314">
        <v>1.0321290702685317</v>
      </c>
      <c r="C252" s="313">
        <v>240</v>
      </c>
      <c r="D252" s="311">
        <v>165743.51861994248</v>
      </c>
    </row>
    <row r="253" spans="1:4">
      <c r="A253" s="312">
        <v>0.84558349984475867</v>
      </c>
      <c r="B253" s="314">
        <v>1.0802567583568836</v>
      </c>
      <c r="C253" s="313">
        <v>241</v>
      </c>
      <c r="D253" s="311">
        <v>197218.21985019371</v>
      </c>
    </row>
    <row r="254" spans="1:4">
      <c r="A254" s="312">
        <v>0.11451981060708294</v>
      </c>
      <c r="B254" s="314">
        <v>0.97798617661267373</v>
      </c>
      <c r="C254" s="313">
        <v>242</v>
      </c>
      <c r="D254" s="311">
        <v>168849.20659035887</v>
      </c>
    </row>
    <row r="255" spans="1:4">
      <c r="A255" s="312">
        <v>0.5389001162331396</v>
      </c>
      <c r="B255" s="314">
        <v>1.0294817593114798</v>
      </c>
      <c r="C255" s="313">
        <v>243</v>
      </c>
      <c r="D255" s="311">
        <v>-36486.317229598295</v>
      </c>
    </row>
    <row r="256" spans="1:4">
      <c r="A256" s="312">
        <v>0.50453615242781391</v>
      </c>
      <c r="B256" s="314">
        <v>1.0250715756982269</v>
      </c>
      <c r="C256" s="313">
        <v>244</v>
      </c>
      <c r="D256" s="311">
        <v>10506.127465967787</v>
      </c>
    </row>
    <row r="257" spans="1:4">
      <c r="A257" s="312">
        <v>0.74610110661664497</v>
      </c>
      <c r="B257" s="314">
        <v>1.060569495463932</v>
      </c>
      <c r="C257" s="313">
        <v>245</v>
      </c>
      <c r="D257" s="311">
        <v>36536.309569361852</v>
      </c>
    </row>
    <row r="258" spans="1:4">
      <c r="A258" s="312">
        <v>5.4898331271222567E-2</v>
      </c>
      <c r="B258" s="314">
        <v>0.96630055083106436</v>
      </c>
      <c r="C258" s="313">
        <v>246</v>
      </c>
      <c r="D258" s="311">
        <v>236189.51143494132</v>
      </c>
    </row>
    <row r="259" spans="1:4">
      <c r="A259" s="312">
        <v>0.20164001419552324</v>
      </c>
      <c r="B259" s="314">
        <v>0.99040500152627309</v>
      </c>
      <c r="C259" s="313">
        <v>247</v>
      </c>
      <c r="D259" s="311">
        <v>182192.27861217293</v>
      </c>
    </row>
    <row r="260" spans="1:4">
      <c r="A260" s="312">
        <v>0.88818804128904683</v>
      </c>
      <c r="B260" s="314">
        <v>1.0906529133032208</v>
      </c>
      <c r="C260" s="313">
        <v>248</v>
      </c>
      <c r="D260" s="311">
        <v>197382.10389816202</v>
      </c>
    </row>
    <row r="261" spans="1:4">
      <c r="A261" s="312">
        <v>0.99259584043615945</v>
      </c>
      <c r="B261" s="314">
        <v>1.1347280968356599</v>
      </c>
      <c r="C261" s="313">
        <v>249</v>
      </c>
      <c r="D261" s="311">
        <v>190942.75990725332</v>
      </c>
    </row>
    <row r="262" spans="1:4">
      <c r="A262" s="312">
        <v>0.42000670689597619</v>
      </c>
      <c r="B262" s="314">
        <v>1.0148342175964022</v>
      </c>
      <c r="C262" s="313">
        <v>250</v>
      </c>
      <c r="D262" s="311">
        <v>298488.7727756945</v>
      </c>
    </row>
    <row r="263" spans="1:4">
      <c r="A263" s="312">
        <v>0.98669246865230975</v>
      </c>
      <c r="B263" s="314">
        <v>1.129525937446314</v>
      </c>
      <c r="C263" s="313">
        <v>251</v>
      </c>
      <c r="D263" s="311">
        <v>152049.66451745643</v>
      </c>
    </row>
    <row r="264" spans="1:4">
      <c r="A264" s="312">
        <v>0.81294349277842437</v>
      </c>
      <c r="B264" s="314">
        <v>1.0732388120370742</v>
      </c>
      <c r="C264" s="313">
        <v>252</v>
      </c>
      <c r="D264" s="311">
        <v>188509.73767349473</v>
      </c>
    </row>
    <row r="265" spans="1:4">
      <c r="A265" s="312">
        <v>0.88679881772439939</v>
      </c>
      <c r="B265" s="314">
        <v>1.090285368278106</v>
      </c>
      <c r="C265" s="313">
        <v>253</v>
      </c>
      <c r="D265" s="311">
        <v>-13640.282050366513</v>
      </c>
    </row>
    <row r="266" spans="1:4">
      <c r="A266" s="312">
        <v>0.19793572662860615</v>
      </c>
      <c r="B266" s="314">
        <v>0.98993986539349532</v>
      </c>
      <c r="C266" s="313">
        <v>254</v>
      </c>
      <c r="D266" s="311">
        <v>94401.884094320703</v>
      </c>
    </row>
    <row r="267" spans="1:4">
      <c r="A267" s="312">
        <v>0.74145376719763589</v>
      </c>
      <c r="B267" s="314">
        <v>1.0597547434306129</v>
      </c>
      <c r="C267" s="313">
        <v>255</v>
      </c>
      <c r="D267" s="311">
        <v>223205.466626473</v>
      </c>
    </row>
    <row r="268" spans="1:4">
      <c r="A268" s="312">
        <v>0.29756890961334792</v>
      </c>
      <c r="B268" s="314">
        <v>1.0012499433708357</v>
      </c>
      <c r="C268" s="313">
        <v>256</v>
      </c>
      <c r="D268" s="311">
        <v>233295.37804504437</v>
      </c>
    </row>
    <row r="269" spans="1:4">
      <c r="A269" s="312">
        <v>0.98755070898495578</v>
      </c>
      <c r="B269" s="314">
        <v>1.1301971550787797</v>
      </c>
      <c r="C269" s="313">
        <v>257</v>
      </c>
      <c r="D269" s="311">
        <v>171846.38928277791</v>
      </c>
    </row>
    <row r="270" spans="1:4">
      <c r="A270" s="312">
        <v>0.71518125894190887</v>
      </c>
      <c r="B270" s="314">
        <v>1.0552804648273131</v>
      </c>
      <c r="C270" s="313">
        <v>258</v>
      </c>
      <c r="D270" s="311">
        <v>90253.683191070799</v>
      </c>
    </row>
    <row r="271" spans="1:4">
      <c r="A271" s="312">
        <v>0.53705713301432156</v>
      </c>
      <c r="B271" s="314">
        <v>1.0292411481089321</v>
      </c>
      <c r="C271" s="313">
        <v>259</v>
      </c>
      <c r="D271" s="311">
        <v>40206.79664987931</v>
      </c>
    </row>
    <row r="272" spans="1:4">
      <c r="A272" s="312">
        <v>0.47459362420311491</v>
      </c>
      <c r="B272" s="314">
        <v>1.0213520274640837</v>
      </c>
      <c r="C272" s="313">
        <v>260</v>
      </c>
      <c r="D272" s="311">
        <v>211504.83806548547</v>
      </c>
    </row>
    <row r="273" spans="1:4">
      <c r="A273" s="312">
        <v>0.84312491990893912</v>
      </c>
      <c r="B273" s="314">
        <v>1.0797037339336688</v>
      </c>
      <c r="C273" s="313">
        <v>261</v>
      </c>
      <c r="D273" s="311">
        <v>129042.90836045798</v>
      </c>
    </row>
    <row r="274" spans="1:4">
      <c r="A274" s="312">
        <v>0.87087487655869367</v>
      </c>
      <c r="B274" s="314">
        <v>1.0862235044205064</v>
      </c>
      <c r="C274" s="313">
        <v>262</v>
      </c>
      <c r="D274" s="311">
        <v>103564.98879788839</v>
      </c>
    </row>
    <row r="275" spans="1:4">
      <c r="A275" s="312">
        <v>0.92975527276563097</v>
      </c>
      <c r="B275" s="314">
        <v>1.1029605600811125</v>
      </c>
      <c r="C275" s="313">
        <v>263</v>
      </c>
      <c r="D275" s="311">
        <v>187597.02689636312</v>
      </c>
    </row>
    <row r="276" spans="1:4">
      <c r="A276" s="312">
        <v>0.41566491951561524</v>
      </c>
      <c r="B276" s="314">
        <v>1.0143292403085391</v>
      </c>
      <c r="C276" s="313">
        <v>264</v>
      </c>
      <c r="D276" s="311">
        <v>10161.063680349616</v>
      </c>
    </row>
    <row r="277" spans="1:4">
      <c r="A277" s="312">
        <v>0.81744597790531037</v>
      </c>
      <c r="B277" s="314">
        <v>1.0741682672228654</v>
      </c>
      <c r="C277" s="313">
        <v>265</v>
      </c>
      <c r="D277" s="311">
        <v>59848.438777969452</v>
      </c>
    </row>
    <row r="278" spans="1:4">
      <c r="A278" s="312">
        <v>0.92382372325595596</v>
      </c>
      <c r="B278" s="314">
        <v>1.1010147704155897</v>
      </c>
      <c r="C278" s="313">
        <v>266</v>
      </c>
      <c r="D278" s="311">
        <v>142450.81821311847</v>
      </c>
    </row>
    <row r="279" spans="1:4">
      <c r="A279" s="312">
        <v>0.2009068910526931</v>
      </c>
      <c r="B279" s="314">
        <v>0.99031328678653319</v>
      </c>
      <c r="C279" s="313">
        <v>267</v>
      </c>
      <c r="D279" s="311">
        <v>260464.17562962044</v>
      </c>
    </row>
    <row r="280" spans="1:4">
      <c r="A280" s="312">
        <v>0.88980372030412636</v>
      </c>
      <c r="B280" s="314">
        <v>1.0910832552628709</v>
      </c>
      <c r="C280" s="313">
        <v>268</v>
      </c>
      <c r="D280" s="311">
        <v>26421.532326144865</v>
      </c>
    </row>
    <row r="281" spans="1:4">
      <c r="A281" s="312">
        <v>0.13644323721505514</v>
      </c>
      <c r="B281" s="314">
        <v>0.98146305329940975</v>
      </c>
      <c r="C281" s="313">
        <v>269</v>
      </c>
      <c r="D281" s="311">
        <v>270164.52556360513</v>
      </c>
    </row>
    <row r="282" spans="1:4">
      <c r="A282" s="312">
        <v>0.27996272353854457</v>
      </c>
      <c r="B282" s="314">
        <v>0.99939301572226868</v>
      </c>
      <c r="C282" s="313">
        <v>270</v>
      </c>
      <c r="D282" s="311">
        <v>52335.708338986151</v>
      </c>
    </row>
    <row r="283" spans="1:4">
      <c r="A283" s="312">
        <v>0.26119796876139489</v>
      </c>
      <c r="B283" s="314">
        <v>0.99736806085613816</v>
      </c>
      <c r="C283" s="313">
        <v>271</v>
      </c>
      <c r="D283" s="311">
        <v>102252.62652524724</v>
      </c>
    </row>
    <row r="284" spans="1:4">
      <c r="A284" s="312">
        <v>0.16573765652224126</v>
      </c>
      <c r="B284" s="314">
        <v>0.98569786069588194</v>
      </c>
      <c r="C284" s="313">
        <v>272</v>
      </c>
      <c r="D284" s="311">
        <v>162613.82985548186</v>
      </c>
    </row>
    <row r="285" spans="1:4">
      <c r="A285" s="312">
        <v>0.61859859834219577</v>
      </c>
      <c r="B285" s="314">
        <v>1.0403909485844309</v>
      </c>
      <c r="C285" s="313">
        <v>273</v>
      </c>
      <c r="D285" s="311">
        <v>182830.46923829219</v>
      </c>
    </row>
    <row r="286" spans="1:4">
      <c r="A286" s="312">
        <v>9.0524402002746696E-2</v>
      </c>
      <c r="B286" s="314">
        <v>0.97377288061795453</v>
      </c>
      <c r="C286" s="313">
        <v>274</v>
      </c>
      <c r="D286" s="311">
        <v>202474.45394801279</v>
      </c>
    </row>
    <row r="287" spans="1:4">
      <c r="A287" s="312">
        <v>0.41737228519025882</v>
      </c>
      <c r="B287" s="314">
        <v>1.0145275931545215</v>
      </c>
      <c r="C287" s="313">
        <v>275</v>
      </c>
      <c r="D287" s="311">
        <v>130214.29778735666</v>
      </c>
    </row>
    <row r="288" spans="1:4">
      <c r="A288" s="312">
        <v>0.37663715330506231</v>
      </c>
      <c r="B288" s="314">
        <v>1.0098717385004348</v>
      </c>
      <c r="C288" s="313">
        <v>276</v>
      </c>
      <c r="D288" s="311">
        <v>145202.25654450548</v>
      </c>
    </row>
    <row r="289" spans="1:4">
      <c r="A289" s="312">
        <v>0.26680892540077261</v>
      </c>
      <c r="B289" s="314">
        <v>0.99798096636008859</v>
      </c>
      <c r="C289" s="313">
        <v>277</v>
      </c>
      <c r="D289" s="311">
        <v>159249.97151839174</v>
      </c>
    </row>
    <row r="290" spans="1:4">
      <c r="A290" s="312">
        <v>0.56455106757426032</v>
      </c>
      <c r="B290" s="314">
        <v>1.0328819340519542</v>
      </c>
      <c r="C290" s="313">
        <v>278</v>
      </c>
      <c r="D290" s="311">
        <v>-23412.043338546064</v>
      </c>
    </row>
    <row r="291" spans="1:4">
      <c r="A291" s="312">
        <v>0.58834193059632034</v>
      </c>
      <c r="B291" s="314">
        <v>1.0361262576964474</v>
      </c>
      <c r="C291" s="313">
        <v>279</v>
      </c>
      <c r="D291" s="311">
        <v>194771.9214849635</v>
      </c>
    </row>
    <row r="292" spans="1:4">
      <c r="A292" s="312">
        <v>0.63657236580331855</v>
      </c>
      <c r="B292" s="314">
        <v>1.0430048109623826</v>
      </c>
      <c r="C292" s="313">
        <v>280</v>
      </c>
      <c r="D292" s="311">
        <v>43252.719187964685</v>
      </c>
    </row>
    <row r="293" spans="1:4">
      <c r="A293" s="312">
        <v>0.81140941164314218</v>
      </c>
      <c r="B293" s="314">
        <v>1.0729246892108697</v>
      </c>
      <c r="C293" s="313">
        <v>281</v>
      </c>
      <c r="D293" s="311">
        <v>39309.879946260946</v>
      </c>
    </row>
    <row r="294" spans="1:4">
      <c r="A294" s="312">
        <v>0.89815057211506966</v>
      </c>
      <c r="B294" s="314">
        <v>1.0933585224559306</v>
      </c>
      <c r="C294" s="313">
        <v>282</v>
      </c>
      <c r="D294" s="311">
        <v>-10741.185794570018</v>
      </c>
    </row>
    <row r="295" spans="1:4">
      <c r="A295" s="312">
        <v>0.65721092801813163</v>
      </c>
      <c r="B295" s="314">
        <v>1.0460872685017431</v>
      </c>
      <c r="C295" s="313">
        <v>283</v>
      </c>
      <c r="D295" s="311">
        <v>186716.44545431575</v>
      </c>
    </row>
    <row r="296" spans="1:4">
      <c r="A296" s="312">
        <v>0.81499931177585017</v>
      </c>
      <c r="B296" s="314">
        <v>1.0736617941063538</v>
      </c>
      <c r="C296" s="313">
        <v>284</v>
      </c>
      <c r="D296" s="311">
        <v>-12164.849848697195</v>
      </c>
    </row>
    <row r="297" spans="1:4">
      <c r="A297" s="312">
        <v>0.66346450780724131</v>
      </c>
      <c r="B297" s="314">
        <v>1.0470394832760057</v>
      </c>
      <c r="C297" s="313">
        <v>285</v>
      </c>
      <c r="D297" s="311">
        <v>248575.17491386551</v>
      </c>
    </row>
    <row r="298" spans="1:4">
      <c r="A298" s="312">
        <v>0.36626813852828299</v>
      </c>
      <c r="B298" s="314">
        <v>1.0087110986794818</v>
      </c>
      <c r="C298" s="313">
        <v>286</v>
      </c>
      <c r="D298" s="311">
        <v>207770.62105403258</v>
      </c>
    </row>
    <row r="299" spans="1:4">
      <c r="A299" s="312">
        <v>0.17388528188357089</v>
      </c>
      <c r="B299" s="314">
        <v>0.98680763347716893</v>
      </c>
      <c r="C299" s="313">
        <v>287</v>
      </c>
      <c r="D299" s="311">
        <v>107466.19976073341</v>
      </c>
    </row>
    <row r="300" spans="1:4">
      <c r="A300" s="312">
        <v>0.28687037728172227</v>
      </c>
      <c r="B300" s="314">
        <v>1.000121438772499</v>
      </c>
      <c r="C300" s="313">
        <v>288</v>
      </c>
      <c r="D300" s="311">
        <v>121368.52108047414</v>
      </c>
    </row>
    <row r="301" spans="1:4">
      <c r="A301" s="312">
        <v>0.66190701846479594</v>
      </c>
      <c r="B301" s="314">
        <v>1.0468015071894994</v>
      </c>
      <c r="C301" s="313">
        <v>289</v>
      </c>
      <c r="D301" s="311">
        <v>234912.06255381741</v>
      </c>
    </row>
    <row r="302" spans="1:4">
      <c r="A302" s="312">
        <v>0.25535085098692978</v>
      </c>
      <c r="B302" s="314">
        <v>0.99672231238617937</v>
      </c>
      <c r="C302" s="313">
        <v>290</v>
      </c>
      <c r="D302" s="311">
        <v>147899.56281113066</v>
      </c>
    </row>
    <row r="303" spans="1:4">
      <c r="A303" s="312">
        <v>0.86726760254687851</v>
      </c>
      <c r="B303" s="314">
        <v>1.0853388020542973</v>
      </c>
      <c r="C303" s="313">
        <v>291</v>
      </c>
      <c r="D303" s="311">
        <v>235737.37793549965</v>
      </c>
    </row>
    <row r="304" spans="1:4">
      <c r="A304" s="312">
        <v>1.9610652892045E-2</v>
      </c>
      <c r="B304" s="314">
        <v>0.95571923110205348</v>
      </c>
      <c r="C304" s="313">
        <v>292</v>
      </c>
      <c r="D304" s="311">
        <v>278882.40976020298</v>
      </c>
    </row>
    <row r="305" spans="1:4">
      <c r="A305" s="312">
        <v>0.56631824899391559</v>
      </c>
      <c r="B305" s="314">
        <v>1.0331198256474108</v>
      </c>
      <c r="C305" s="313">
        <v>293</v>
      </c>
      <c r="D305" s="311">
        <v>267202.33037368557</v>
      </c>
    </row>
    <row r="306" spans="1:4">
      <c r="A306" s="312">
        <v>0.84127305796841756</v>
      </c>
      <c r="B306" s="314">
        <v>1.0792900383680286</v>
      </c>
      <c r="C306" s="313">
        <v>294</v>
      </c>
      <c r="D306" s="311">
        <v>-1936.6220868104137</v>
      </c>
    </row>
    <row r="307" spans="1:4">
      <c r="A307" s="312">
        <v>7.4368746423375875E-2</v>
      </c>
      <c r="B307" s="314">
        <v>0.97061121044543208</v>
      </c>
      <c r="C307" s="313">
        <v>295</v>
      </c>
      <c r="D307" s="311">
        <v>-38281.093135581817</v>
      </c>
    </row>
    <row r="308" spans="1:4">
      <c r="A308" s="312">
        <v>0.59153200467862865</v>
      </c>
      <c r="B308" s="314">
        <v>1.0365683384031459</v>
      </c>
      <c r="C308" s="313">
        <v>296</v>
      </c>
      <c r="D308" s="311">
        <v>109546.9814069788</v>
      </c>
    </row>
    <row r="309" spans="1:4">
      <c r="A309" s="312">
        <v>0.26145252234432326</v>
      </c>
      <c r="B309" s="314">
        <v>0.99739600841119935</v>
      </c>
      <c r="C309" s="313">
        <v>297</v>
      </c>
      <c r="D309" s="311">
        <v>-9904.9452034512069</v>
      </c>
    </row>
    <row r="310" spans="1:4">
      <c r="A310" s="312">
        <v>0.57573491568177282</v>
      </c>
      <c r="B310" s="314">
        <v>1.0343957173975629</v>
      </c>
      <c r="C310" s="313">
        <v>298</v>
      </c>
      <c r="D310" s="311">
        <v>109813.67594167101</v>
      </c>
    </row>
    <row r="311" spans="1:4">
      <c r="A311" s="312">
        <v>0.52286083314217335</v>
      </c>
      <c r="B311" s="314">
        <v>1.0274035736409028</v>
      </c>
      <c r="C311" s="313">
        <v>299</v>
      </c>
      <c r="D311" s="311">
        <v>237355.43382653384</v>
      </c>
    </row>
    <row r="312" spans="1:4">
      <c r="A312" s="312">
        <v>0.38618970251764628</v>
      </c>
      <c r="B312" s="314">
        <v>1.0109495617745339</v>
      </c>
      <c r="C312" s="313">
        <v>300</v>
      </c>
      <c r="D312" s="311">
        <v>282061.139455294</v>
      </c>
    </row>
    <row r="313" spans="1:4">
      <c r="A313" s="312">
        <v>0.27336612838374008</v>
      </c>
      <c r="B313" s="314">
        <v>0.99868912350372185</v>
      </c>
      <c r="C313" s="313">
        <v>301</v>
      </c>
      <c r="D313" s="311">
        <v>-32705.320222644135</v>
      </c>
    </row>
    <row r="314" spans="1:4">
      <c r="A314" s="312">
        <v>0.83146547444267382</v>
      </c>
      <c r="B314" s="314">
        <v>1.0771382298111294</v>
      </c>
      <c r="C314" s="313">
        <v>302</v>
      </c>
      <c r="D314" s="311">
        <v>91923.796011142898</v>
      </c>
    </row>
    <row r="315" spans="1:4">
      <c r="A315" s="312">
        <v>0.30092940215916564</v>
      </c>
      <c r="B315" s="314">
        <v>1.0016061866788704</v>
      </c>
      <c r="C315" s="313">
        <v>303</v>
      </c>
      <c r="D315" s="311">
        <v>216493.67076299014</v>
      </c>
    </row>
    <row r="316" spans="1:4">
      <c r="A316" s="312">
        <v>0.27186919860228598</v>
      </c>
      <c r="B316" s="314">
        <v>0.99852821458398333</v>
      </c>
      <c r="C316" s="313">
        <v>304</v>
      </c>
      <c r="D316" s="311">
        <v>258297.43018329539</v>
      </c>
    </row>
    <row r="317" spans="1:4">
      <c r="A317" s="312">
        <v>0.96293431543320074</v>
      </c>
      <c r="B317" s="314">
        <v>1.1158302902579758</v>
      </c>
      <c r="C317" s="313">
        <v>305</v>
      </c>
      <c r="D317" s="311">
        <v>254244.71298947069</v>
      </c>
    </row>
    <row r="318" spans="1:4">
      <c r="A318" s="312">
        <v>0.91575925259253022</v>
      </c>
      <c r="B318" s="314">
        <v>1.0984870546043493</v>
      </c>
      <c r="C318" s="313">
        <v>306</v>
      </c>
      <c r="D318" s="311">
        <v>57896.342820834834</v>
      </c>
    </row>
    <row r="319" spans="1:4">
      <c r="A319" s="312">
        <v>0.136691013002043</v>
      </c>
      <c r="B319" s="314">
        <v>0.98150068389587986</v>
      </c>
      <c r="C319" s="313">
        <v>307</v>
      </c>
      <c r="D319" s="311">
        <v>16488.687070280779</v>
      </c>
    </row>
    <row r="320" spans="1:4">
      <c r="A320" s="312">
        <v>0.58126755747953929</v>
      </c>
      <c r="B320" s="314">
        <v>1.0351519615344063</v>
      </c>
      <c r="C320" s="313">
        <v>308</v>
      </c>
      <c r="D320" s="311">
        <v>140326.2770104683</v>
      </c>
    </row>
    <row r="321" spans="1:4">
      <c r="A321" s="312">
        <v>0.86124959973951443</v>
      </c>
      <c r="B321" s="314">
        <v>1.083889202030188</v>
      </c>
      <c r="C321" s="313">
        <v>309</v>
      </c>
      <c r="D321" s="311">
        <v>279406.27515918948</v>
      </c>
    </row>
    <row r="322" spans="1:4">
      <c r="A322" s="312">
        <v>0.13181825662594671</v>
      </c>
      <c r="B322" s="314">
        <v>0.98075426399147614</v>
      </c>
      <c r="C322" s="313">
        <v>310</v>
      </c>
      <c r="D322" s="311">
        <v>7951.603050561389</v>
      </c>
    </row>
    <row r="323" spans="1:4">
      <c r="A323" s="312">
        <v>0.9476284197948136</v>
      </c>
      <c r="B323" s="314">
        <v>1.1093834420899138</v>
      </c>
      <c r="C323" s="313">
        <v>311</v>
      </c>
      <c r="D323" s="311">
        <v>52942.958652284229</v>
      </c>
    </row>
    <row r="324" spans="1:4">
      <c r="A324" s="312">
        <v>0.42832633109211138</v>
      </c>
      <c r="B324" s="314">
        <v>1.0158071515668645</v>
      </c>
      <c r="C324" s="313">
        <v>312</v>
      </c>
      <c r="D324" s="311">
        <v>40574.585675973911</v>
      </c>
    </row>
    <row r="325" spans="1:4">
      <c r="A325" s="312">
        <v>0.60681277018040725</v>
      </c>
      <c r="B325" s="314">
        <v>1.0387102981434617</v>
      </c>
      <c r="C325" s="313">
        <v>313</v>
      </c>
      <c r="D325" s="311">
        <v>187809.163892932</v>
      </c>
    </row>
    <row r="326" spans="1:4">
      <c r="A326" s="312">
        <v>0.67938447766748922</v>
      </c>
      <c r="B326" s="314">
        <v>1.0495042839048643</v>
      </c>
      <c r="C326" s="313">
        <v>314</v>
      </c>
      <c r="D326" s="311">
        <v>155594.91443762882</v>
      </c>
    </row>
    <row r="327" spans="1:4">
      <c r="A327" s="312">
        <v>0.43980768480763999</v>
      </c>
      <c r="B327" s="314">
        <v>1.0171615344542126</v>
      </c>
      <c r="C327" s="313">
        <v>315</v>
      </c>
      <c r="D327" s="311">
        <v>151352.69432170386</v>
      </c>
    </row>
    <row r="328" spans="1:4">
      <c r="A328" s="312">
        <v>8.7811146179276323E-2</v>
      </c>
      <c r="B328" s="314">
        <v>0.97326289887936523</v>
      </c>
      <c r="C328" s="313">
        <v>316</v>
      </c>
      <c r="D328" s="311">
        <v>98953.80037628999</v>
      </c>
    </row>
    <row r="329" spans="1:4">
      <c r="A329" s="312">
        <v>6.1241342720744663E-2</v>
      </c>
      <c r="B329" s="314">
        <v>0.96777842541040404</v>
      </c>
      <c r="C329" s="313">
        <v>317</v>
      </c>
      <c r="D329" s="311">
        <v>30814.23432987975</v>
      </c>
    </row>
    <row r="330" spans="1:4">
      <c r="A330" s="312">
        <v>0.39767281812217936</v>
      </c>
      <c r="B330" s="314">
        <v>1.0122563749963311</v>
      </c>
      <c r="C330" s="313">
        <v>318</v>
      </c>
      <c r="D330" s="311">
        <v>137235.18511307961</v>
      </c>
    </row>
    <row r="331" spans="1:4">
      <c r="A331" s="312">
        <v>0.93373180267401157</v>
      </c>
      <c r="B331" s="314">
        <v>1.1043113994986864</v>
      </c>
      <c r="C331" s="313">
        <v>319</v>
      </c>
      <c r="D331" s="311">
        <v>169717.50979504269</v>
      </c>
    </row>
    <row r="332" spans="1:4">
      <c r="A332" s="312">
        <v>0.94243102175674232</v>
      </c>
      <c r="B332" s="314">
        <v>1.1074156975557585</v>
      </c>
      <c r="C332" s="313">
        <v>320</v>
      </c>
      <c r="D332" s="311">
        <v>159098.94179496146</v>
      </c>
    </row>
    <row r="333" spans="1:4">
      <c r="A333" s="312">
        <v>0.13394625237872837</v>
      </c>
      <c r="B333" s="314">
        <v>0.98108190331486567</v>
      </c>
      <c r="C333" s="313">
        <v>321</v>
      </c>
      <c r="D333" s="311">
        <v>218176.43067363533</v>
      </c>
    </row>
    <row r="334" spans="1:4">
      <c r="A334" s="312">
        <v>0.53778691188447225</v>
      </c>
      <c r="B334" s="314">
        <v>1.0293363672201141</v>
      </c>
      <c r="C334" s="313">
        <v>322</v>
      </c>
      <c r="D334" s="311">
        <v>100848.23350165645</v>
      </c>
    </row>
    <row r="335" spans="1:4">
      <c r="A335" s="312">
        <v>0.95838107508595227</v>
      </c>
      <c r="B335" s="314">
        <v>1.1137923193950163</v>
      </c>
      <c r="C335" s="313">
        <v>323</v>
      </c>
      <c r="D335" s="311">
        <v>197341.44973538234</v>
      </c>
    </row>
    <row r="336" spans="1:4">
      <c r="A336" s="312">
        <v>0.21722364838510688</v>
      </c>
      <c r="B336" s="314">
        <v>0.9923165171781565</v>
      </c>
      <c r="C336" s="313">
        <v>324</v>
      </c>
      <c r="D336" s="311">
        <v>235697.91311317799</v>
      </c>
    </row>
    <row r="337" spans="1:4">
      <c r="A337" s="312">
        <v>0.67831243462351709</v>
      </c>
      <c r="B337" s="314">
        <v>1.0493364102102491</v>
      </c>
      <c r="C337" s="313">
        <v>325</v>
      </c>
      <c r="D337" s="311">
        <v>135846.89748619311</v>
      </c>
    </row>
    <row r="338" spans="1:4">
      <c r="A338" s="312">
        <v>0.68919348759349386</v>
      </c>
      <c r="B338" s="314">
        <v>1.0510535238585783</v>
      </c>
      <c r="C338" s="313">
        <v>326</v>
      </c>
      <c r="D338" s="311">
        <v>211196.14272134448</v>
      </c>
    </row>
    <row r="339" spans="1:4">
      <c r="A339" s="312">
        <v>0.91436004343762556</v>
      </c>
      <c r="B339" s="314">
        <v>1.0980610104861983</v>
      </c>
      <c r="C339" s="313">
        <v>327</v>
      </c>
      <c r="D339" s="311">
        <v>61431.940456378972</v>
      </c>
    </row>
    <row r="340" spans="1:4">
      <c r="A340" s="312">
        <v>0.89168656543895397</v>
      </c>
      <c r="B340" s="314">
        <v>1.0915887580283301</v>
      </c>
      <c r="C340" s="313">
        <v>328</v>
      </c>
      <c r="D340" s="311">
        <v>190967.1065373926</v>
      </c>
    </row>
    <row r="341" spans="1:4">
      <c r="A341" s="312">
        <v>0.64381903902816406</v>
      </c>
      <c r="B341" s="314">
        <v>1.0440769134201007</v>
      </c>
      <c r="C341" s="313">
        <v>329</v>
      </c>
      <c r="D341" s="311">
        <v>111149.50500897528</v>
      </c>
    </row>
    <row r="342" spans="1:4">
      <c r="A342" s="312">
        <v>0.97308640122004819</v>
      </c>
      <c r="B342" s="314">
        <v>1.1208833662390638</v>
      </c>
      <c r="C342" s="313">
        <v>330</v>
      </c>
      <c r="D342" s="311">
        <v>286517.26646820921</v>
      </c>
    </row>
    <row r="343" spans="1:4">
      <c r="A343" s="312">
        <v>0.1462770535134208</v>
      </c>
      <c r="B343" s="314">
        <v>0.98293123425047435</v>
      </c>
      <c r="C343" s="313">
        <v>331</v>
      </c>
      <c r="D343" s="311">
        <v>168008.16445176234</v>
      </c>
    </row>
    <row r="344" spans="1:4">
      <c r="A344" s="312">
        <v>0.98889094056691884</v>
      </c>
      <c r="B344" s="314">
        <v>1.1312934403980299</v>
      </c>
      <c r="C344" s="313">
        <v>332</v>
      </c>
      <c r="D344" s="311">
        <v>1979.4166023756843</v>
      </c>
    </row>
    <row r="345" spans="1:4">
      <c r="A345" s="312">
        <v>0.98638469826397268</v>
      </c>
      <c r="B345" s="314">
        <v>1.1292905334524315</v>
      </c>
      <c r="C345" s="313">
        <v>333</v>
      </c>
      <c r="D345" s="311">
        <v>144244.68295395793</v>
      </c>
    </row>
    <row r="346" spans="1:4">
      <c r="A346" s="312">
        <v>0.47910171853585504</v>
      </c>
      <c r="B346" s="314">
        <v>1.0219051294308763</v>
      </c>
      <c r="C346" s="313">
        <v>334</v>
      </c>
      <c r="D346" s="311">
        <v>196905.46057228046</v>
      </c>
    </row>
    <row r="347" spans="1:4">
      <c r="A347" s="312">
        <v>0.33105532170245744</v>
      </c>
      <c r="B347" s="314">
        <v>1.0048388572435012</v>
      </c>
      <c r="C347" s="313">
        <v>335</v>
      </c>
      <c r="D347" s="311">
        <v>-30723.946841028519</v>
      </c>
    </row>
    <row r="348" spans="1:4">
      <c r="A348" s="312">
        <v>0.20089554178778801</v>
      </c>
      <c r="B348" s="314">
        <v>0.99031186566334151</v>
      </c>
      <c r="C348" s="313">
        <v>336</v>
      </c>
      <c r="D348" s="311">
        <v>73082.083585105138</v>
      </c>
    </row>
    <row r="349" spans="1:4">
      <c r="A349" s="312">
        <v>0.53415647144305267</v>
      </c>
      <c r="B349" s="314">
        <v>1.0288634194409307</v>
      </c>
      <c r="C349" s="313">
        <v>337</v>
      </c>
      <c r="D349" s="311">
        <v>228110.67129651806</v>
      </c>
    </row>
    <row r="350" spans="1:4">
      <c r="A350" s="312">
        <v>0.84433802248590384</v>
      </c>
      <c r="B350" s="314">
        <v>1.0799760591533578</v>
      </c>
      <c r="C350" s="313">
        <v>338</v>
      </c>
      <c r="D350" s="311">
        <v>156353.09414696437</v>
      </c>
    </row>
    <row r="351" spans="1:4">
      <c r="A351" s="312">
        <v>0.29928054631564993</v>
      </c>
      <c r="B351" s="314">
        <v>1.0014312859614884</v>
      </c>
      <c r="C351" s="313">
        <v>339</v>
      </c>
      <c r="D351" s="311">
        <v>180879.547395956</v>
      </c>
    </row>
    <row r="352" spans="1:4">
      <c r="A352" s="312">
        <v>0.68517505790233069</v>
      </c>
      <c r="B352" s="314">
        <v>1.050415936636043</v>
      </c>
      <c r="C352" s="313">
        <v>340</v>
      </c>
      <c r="D352" s="311">
        <v>180255.60410360945</v>
      </c>
    </row>
    <row r="353" spans="1:4">
      <c r="A353" s="312">
        <v>0.66765879739111755</v>
      </c>
      <c r="B353" s="314">
        <v>1.0476831007009115</v>
      </c>
      <c r="C353" s="313">
        <v>341</v>
      </c>
      <c r="D353" s="311">
        <v>148039.4142825352</v>
      </c>
    </row>
    <row r="354" spans="1:4">
      <c r="A354" s="312">
        <v>0.79307515533576678</v>
      </c>
      <c r="B354" s="314">
        <v>1.0692650471795311</v>
      </c>
      <c r="C354" s="313">
        <v>342</v>
      </c>
      <c r="D354" s="311">
        <v>108589.09376436751</v>
      </c>
    </row>
    <row r="355" spans="1:4">
      <c r="A355" s="312">
        <v>0.33312660891181678</v>
      </c>
      <c r="B355" s="314">
        <v>1.005063766368524</v>
      </c>
      <c r="C355" s="313">
        <v>343</v>
      </c>
      <c r="D355" s="311">
        <v>209244.97262015799</v>
      </c>
    </row>
    <row r="356" spans="1:4">
      <c r="A356" s="312">
        <v>0.87115229678188</v>
      </c>
      <c r="B356" s="314">
        <v>1.0862920518979713</v>
      </c>
      <c r="C356" s="313">
        <v>344</v>
      </c>
      <c r="D356" s="311">
        <v>127646.5058978165</v>
      </c>
    </row>
    <row r="357" spans="1:4">
      <c r="A357" s="312">
        <v>0.95608232259407799</v>
      </c>
      <c r="B357" s="314">
        <v>1.1128058225217099</v>
      </c>
      <c r="C357" s="313">
        <v>345</v>
      </c>
      <c r="D357" s="311">
        <v>147723.7992056415</v>
      </c>
    </row>
    <row r="358" spans="1:4">
      <c r="A358" s="312">
        <v>0.15779131193301843</v>
      </c>
      <c r="B358" s="314">
        <v>0.98458890591117965</v>
      </c>
      <c r="C358" s="313">
        <v>346</v>
      </c>
      <c r="D358" s="311">
        <v>113584.76578218373</v>
      </c>
    </row>
    <row r="359" spans="1:4">
      <c r="A359" s="312">
        <v>5.4251818739292634E-2</v>
      </c>
      <c r="B359" s="314">
        <v>0.96614522740606945</v>
      </c>
      <c r="C359" s="313">
        <v>347</v>
      </c>
      <c r="D359" s="311">
        <v>24456.290136373602</v>
      </c>
    </row>
    <row r="360" spans="1:4">
      <c r="A360" s="312">
        <v>0.6165118193229624</v>
      </c>
      <c r="B360" s="314">
        <v>1.0400915030976827</v>
      </c>
      <c r="C360" s="313">
        <v>348</v>
      </c>
      <c r="D360" s="311">
        <v>23257.624449661467</v>
      </c>
    </row>
    <row r="361" spans="1:4">
      <c r="A361" s="312">
        <v>0.96427862143068732</v>
      </c>
      <c r="B361" s="314">
        <v>1.1164556498805931</v>
      </c>
      <c r="C361" s="313">
        <v>349</v>
      </c>
      <c r="D361" s="311">
        <v>-9254.7411258877255</v>
      </c>
    </row>
    <row r="362" spans="1:4">
      <c r="A362" s="312">
        <v>0.83455187000915731</v>
      </c>
      <c r="B362" s="314">
        <v>1.0778084762959559</v>
      </c>
      <c r="C362" s="313">
        <v>350</v>
      </c>
      <c r="D362" s="311">
        <v>206086.46124486648</v>
      </c>
    </row>
    <row r="363" spans="1:4">
      <c r="A363" s="312">
        <v>0.91959482191484487</v>
      </c>
      <c r="B363" s="314">
        <v>1.0996734353478961</v>
      </c>
      <c r="C363" s="313">
        <v>351</v>
      </c>
      <c r="D363" s="311">
        <v>181302.43398024817</v>
      </c>
    </row>
    <row r="364" spans="1:4">
      <c r="A364" s="312">
        <v>0.15220272645949828</v>
      </c>
      <c r="B364" s="314">
        <v>0.98379217228443538</v>
      </c>
      <c r="C364" s="313">
        <v>352</v>
      </c>
      <c r="D364" s="311">
        <v>177086.49056016561</v>
      </c>
    </row>
    <row r="365" spans="1:4">
      <c r="A365" s="312">
        <v>0.20731698937684817</v>
      </c>
      <c r="B365" s="314">
        <v>0.99110962792026847</v>
      </c>
      <c r="C365" s="313">
        <v>353</v>
      </c>
      <c r="D365" s="311">
        <v>10286.963004356949</v>
      </c>
    </row>
    <row r="366" spans="1:4">
      <c r="A366" s="312">
        <v>0.2122687188929161</v>
      </c>
      <c r="B366" s="314">
        <v>0.99171639834762992</v>
      </c>
      <c r="C366" s="313">
        <v>354</v>
      </c>
      <c r="D366" s="311">
        <v>169990.07417885773</v>
      </c>
    </row>
    <row r="367" spans="1:4">
      <c r="A367" s="312">
        <v>0.64925585470428882</v>
      </c>
      <c r="B367" s="314">
        <v>1.0448884374732499</v>
      </c>
      <c r="C367" s="313">
        <v>355</v>
      </c>
      <c r="D367" s="311">
        <v>67165.815527205588</v>
      </c>
    </row>
    <row r="368" spans="1:4">
      <c r="A368" s="312">
        <v>0.96152098913911166</v>
      </c>
      <c r="B368" s="314">
        <v>1.1151849336907427</v>
      </c>
      <c r="C368" s="313">
        <v>356</v>
      </c>
      <c r="D368" s="311">
        <v>-17101.104287291877</v>
      </c>
    </row>
    <row r="369" spans="1:4">
      <c r="A369" s="312">
        <v>0.92508262937664221</v>
      </c>
      <c r="B369" s="314">
        <v>1.1014212271188766</v>
      </c>
      <c r="C369" s="313">
        <v>357</v>
      </c>
      <c r="D369" s="311">
        <v>97271.385558987036</v>
      </c>
    </row>
    <row r="370" spans="1:4">
      <c r="A370" s="312">
        <v>0.24190073919569033</v>
      </c>
      <c r="B370" s="314">
        <v>0.99520823592423235</v>
      </c>
      <c r="C370" s="313">
        <v>358</v>
      </c>
      <c r="D370" s="311">
        <v>191618.26175682642</v>
      </c>
    </row>
    <row r="371" spans="1:4">
      <c r="A371" s="312">
        <v>0.62976370947584248</v>
      </c>
      <c r="B371" s="314">
        <v>1.0420072078724187</v>
      </c>
      <c r="C371" s="313">
        <v>359</v>
      </c>
      <c r="D371" s="311">
        <v>106771.5841341014</v>
      </c>
    </row>
    <row r="372" spans="1:4">
      <c r="A372" s="312">
        <v>0.89164278543315811</v>
      </c>
      <c r="B372" s="314">
        <v>1.0915769543856577</v>
      </c>
      <c r="C372" s="313">
        <v>360</v>
      </c>
      <c r="D372" s="311">
        <v>-37265.485096683027</v>
      </c>
    </row>
    <row r="373" spans="1:4">
      <c r="A373" s="312">
        <v>0.40351502520506199</v>
      </c>
      <c r="B373" s="314">
        <v>1.0129260173992141</v>
      </c>
      <c r="C373" s="313">
        <v>361</v>
      </c>
      <c r="D373" s="311">
        <v>81088.589518280933</v>
      </c>
    </row>
    <row r="374" spans="1:4">
      <c r="A374" s="312">
        <v>0.70863471993957683</v>
      </c>
      <c r="B374" s="314">
        <v>1.0541980881093527</v>
      </c>
      <c r="C374" s="313">
        <v>362</v>
      </c>
      <c r="D374" s="311">
        <v>169532.44533218956</v>
      </c>
    </row>
    <row r="375" spans="1:4">
      <c r="A375" s="312">
        <v>0.77319219520902704</v>
      </c>
      <c r="B375" s="314">
        <v>1.065475176126089</v>
      </c>
      <c r="C375" s="313">
        <v>363</v>
      </c>
      <c r="D375" s="311">
        <v>14309.907503136666</v>
      </c>
    </row>
    <row r="376" spans="1:4">
      <c r="A376" s="312">
        <v>8.4202239031675341E-2</v>
      </c>
      <c r="B376" s="314">
        <v>0.97257219998402178</v>
      </c>
      <c r="C376" s="313">
        <v>364</v>
      </c>
      <c r="D376" s="311">
        <v>194030.18680822826</v>
      </c>
    </row>
    <row r="377" spans="1:4">
      <c r="A377" s="312">
        <v>0.28983160335900893</v>
      </c>
      <c r="B377" s="314">
        <v>1.0004329431519385</v>
      </c>
      <c r="C377" s="313">
        <v>365</v>
      </c>
      <c r="D377" s="311">
        <v>47383.466655937256</v>
      </c>
    </row>
    <row r="378" spans="1:4">
      <c r="A378" s="312">
        <v>0.36463226343912247</v>
      </c>
      <c r="B378" s="314">
        <v>1.0085288591207817</v>
      </c>
      <c r="C378" s="313">
        <v>366</v>
      </c>
      <c r="D378" s="311">
        <v>34917.117551627103</v>
      </c>
    </row>
    <row r="379" spans="1:4">
      <c r="A379" s="312">
        <v>0.39997397803745849</v>
      </c>
      <c r="B379" s="314">
        <v>1.0125197479933206</v>
      </c>
      <c r="C379" s="313">
        <v>367</v>
      </c>
      <c r="D379" s="311">
        <v>226620.42298242799</v>
      </c>
    </row>
    <row r="380" spans="1:4">
      <c r="A380" s="312">
        <v>0.7745607779743594</v>
      </c>
      <c r="B380" s="314">
        <v>1.0657305779430777</v>
      </c>
      <c r="C380" s="313">
        <v>368</v>
      </c>
      <c r="D380" s="311">
        <v>-99130.310417155968</v>
      </c>
    </row>
    <row r="381" spans="1:4">
      <c r="A381" s="312">
        <v>0.85836557859778184</v>
      </c>
      <c r="B381" s="314">
        <v>1.0832056568699873</v>
      </c>
      <c r="C381" s="313">
        <v>369</v>
      </c>
      <c r="D381" s="311">
        <v>201422.01387112774</v>
      </c>
    </row>
    <row r="382" spans="1:4">
      <c r="A382" s="312">
        <v>0.11377802085715361</v>
      </c>
      <c r="B382" s="314">
        <v>0.97786295105773102</v>
      </c>
      <c r="C382" s="313">
        <v>370</v>
      </c>
      <c r="D382" s="311">
        <v>15693.661261269357</v>
      </c>
    </row>
    <row r="383" spans="1:4">
      <c r="A383" s="312">
        <v>0.61626951866617052</v>
      </c>
      <c r="B383" s="314">
        <v>1.0400567866486718</v>
      </c>
      <c r="C383" s="313">
        <v>371</v>
      </c>
      <c r="D383" s="311">
        <v>263632.99509924604</v>
      </c>
    </row>
    <row r="384" spans="1:4">
      <c r="A384" s="312">
        <v>0.29966600703282553</v>
      </c>
      <c r="B384" s="314">
        <v>1.0014721548716672</v>
      </c>
      <c r="C384" s="313">
        <v>372</v>
      </c>
      <c r="D384" s="311">
        <v>271929.25039459113</v>
      </c>
    </row>
    <row r="385" spans="1:4">
      <c r="A385" s="312">
        <v>0.62303610052951008</v>
      </c>
      <c r="B385" s="314">
        <v>1.0410304499719283</v>
      </c>
      <c r="C385" s="313">
        <v>373</v>
      </c>
      <c r="D385" s="311">
        <v>94977.471803889144</v>
      </c>
    </row>
    <row r="386" spans="1:4">
      <c r="A386" s="312">
        <v>0.55040140419370698</v>
      </c>
      <c r="B386" s="314">
        <v>1.0309943036325646</v>
      </c>
      <c r="C386" s="313">
        <v>374</v>
      </c>
      <c r="D386" s="311">
        <v>121781.31475951453</v>
      </c>
    </row>
    <row r="387" spans="1:4">
      <c r="A387" s="312">
        <v>0.82975274209645089</v>
      </c>
      <c r="B387" s="314">
        <v>1.0767689367552142</v>
      </c>
      <c r="C387" s="313">
        <v>375</v>
      </c>
      <c r="D387" s="311">
        <v>156301.93966550217</v>
      </c>
    </row>
    <row r="388" spans="1:4">
      <c r="A388" s="312">
        <v>0.29203460143253046</v>
      </c>
      <c r="B388" s="314">
        <v>1.0006651077113078</v>
      </c>
      <c r="C388" s="313">
        <v>376</v>
      </c>
      <c r="D388" s="311">
        <v>247573.2267986841</v>
      </c>
    </row>
    <row r="389" spans="1:4">
      <c r="A389" s="312">
        <v>5.7957379148564359E-2</v>
      </c>
      <c r="B389" s="314">
        <v>0.96702337834675578</v>
      </c>
      <c r="C389" s="313">
        <v>377</v>
      </c>
      <c r="D389" s="311">
        <v>-1818.1197071664501</v>
      </c>
    </row>
    <row r="390" spans="1:4">
      <c r="A390" s="312">
        <v>0.93630589108567763</v>
      </c>
      <c r="B390" s="314">
        <v>1.105207540469392</v>
      </c>
      <c r="C390" s="313">
        <v>378</v>
      </c>
      <c r="D390" s="311">
        <v>227957.96093630651</v>
      </c>
    </row>
    <row r="391" spans="1:4">
      <c r="A391" s="312">
        <v>0.41752613661951199</v>
      </c>
      <c r="B391" s="314">
        <v>1.0145454810776495</v>
      </c>
      <c r="C391" s="313">
        <v>379</v>
      </c>
      <c r="D391" s="311">
        <v>57426.926045371685</v>
      </c>
    </row>
    <row r="392" spans="1:4">
      <c r="A392" s="312">
        <v>0.74971269557386011</v>
      </c>
      <c r="B392" s="314">
        <v>1.0612078264179583</v>
      </c>
      <c r="C392" s="313">
        <v>380</v>
      </c>
      <c r="D392" s="311">
        <v>18248.451559069101</v>
      </c>
    </row>
    <row r="393" spans="1:4">
      <c r="A393" s="312">
        <v>0.29875295727117723</v>
      </c>
      <c r="B393" s="314">
        <v>1.0013753659518116</v>
      </c>
      <c r="C393" s="313">
        <v>381</v>
      </c>
      <c r="D393" s="311">
        <v>213414.91681704321</v>
      </c>
    </row>
    <row r="394" spans="1:4">
      <c r="A394" s="312">
        <v>0.54474583952814348</v>
      </c>
      <c r="B394" s="314">
        <v>1.0302481480107155</v>
      </c>
      <c r="C394" s="313">
        <v>382</v>
      </c>
      <c r="D394" s="311">
        <v>16906.505840876838</v>
      </c>
    </row>
    <row r="395" spans="1:4">
      <c r="A395" s="312">
        <v>0.35187410835051791</v>
      </c>
      <c r="B395" s="314">
        <v>1.0071155516266423</v>
      </c>
      <c r="C395" s="313">
        <v>383</v>
      </c>
      <c r="D395" s="311">
        <v>204941.62944446132</v>
      </c>
    </row>
    <row r="396" spans="1:4">
      <c r="A396" s="312">
        <v>0.54538289839410281</v>
      </c>
      <c r="B396" s="314">
        <v>1.0303319645829105</v>
      </c>
      <c r="C396" s="313">
        <v>384</v>
      </c>
      <c r="D396" s="311">
        <v>223316.46908048936</v>
      </c>
    </row>
    <row r="397" spans="1:4">
      <c r="A397" s="312">
        <v>0.43544684126156352</v>
      </c>
      <c r="B397" s="314">
        <v>1.0166454931385491</v>
      </c>
      <c r="C397" s="313">
        <v>385</v>
      </c>
      <c r="D397" s="311">
        <v>37819.812060413184</v>
      </c>
    </row>
    <row r="398" spans="1:4">
      <c r="A398" s="312">
        <v>0.49777272570351627</v>
      </c>
      <c r="B398" s="314">
        <v>1.024221785907339</v>
      </c>
      <c r="C398" s="313">
        <v>386</v>
      </c>
      <c r="D398" s="311">
        <v>-51217.519644031767</v>
      </c>
    </row>
    <row r="399" spans="1:4">
      <c r="A399" s="312">
        <v>0.34645699430783639</v>
      </c>
      <c r="B399" s="314">
        <v>1.0065196714552718</v>
      </c>
      <c r="C399" s="313">
        <v>387</v>
      </c>
      <c r="D399" s="311">
        <v>-27558.758825333789</v>
      </c>
    </row>
    <row r="400" spans="1:4">
      <c r="A400" s="312">
        <v>0.45308963536910518</v>
      </c>
      <c r="B400" s="314">
        <v>1.0187457563128979</v>
      </c>
      <c r="C400" s="313">
        <v>388</v>
      </c>
      <c r="D400" s="311">
        <v>127188.79244934046</v>
      </c>
    </row>
    <row r="401" spans="1:4">
      <c r="A401" s="312">
        <v>0.30567014068492349</v>
      </c>
      <c r="B401" s="314">
        <v>1.0021102080317073</v>
      </c>
      <c r="C401" s="313">
        <v>389</v>
      </c>
      <c r="D401" s="311">
        <v>72377.005034838105</v>
      </c>
    </row>
    <row r="402" spans="1:4">
      <c r="A402" s="312">
        <v>0.66278526289990569</v>
      </c>
      <c r="B402" s="314">
        <v>1.0469356307026867</v>
      </c>
      <c r="C402" s="313">
        <v>390</v>
      </c>
      <c r="D402" s="311">
        <v>137128.89551928104</v>
      </c>
    </row>
    <row r="403" spans="1:4">
      <c r="A403" s="312">
        <v>0.41250870542122819</v>
      </c>
      <c r="B403" s="314">
        <v>1.0139633292849632</v>
      </c>
      <c r="C403" s="313">
        <v>391</v>
      </c>
      <c r="D403" s="311">
        <v>93049.494360096753</v>
      </c>
    </row>
    <row r="404" spans="1:4">
      <c r="A404" s="312">
        <v>0.88497003728998114</v>
      </c>
      <c r="B404" s="314">
        <v>1.0898049518202235</v>
      </c>
      <c r="C404" s="313">
        <v>392</v>
      </c>
      <c r="D404" s="311">
        <v>184622.86987936636</v>
      </c>
    </row>
    <row r="405" spans="1:4">
      <c r="A405" s="312">
        <v>0.70995142321028804</v>
      </c>
      <c r="B405" s="314">
        <v>1.0544148015178294</v>
      </c>
      <c r="C405" s="313">
        <v>393</v>
      </c>
      <c r="D405" s="311">
        <v>98246.521189966239</v>
      </c>
    </row>
    <row r="406" spans="1:4">
      <c r="A406" s="312">
        <v>0.59860125986981549</v>
      </c>
      <c r="B406" s="314">
        <v>1.0375541894328615</v>
      </c>
      <c r="C406" s="313">
        <v>394</v>
      </c>
      <c r="D406" s="311">
        <v>25817.490605774103</v>
      </c>
    </row>
    <row r="407" spans="1:4">
      <c r="A407" s="312">
        <v>0.89602319827591637</v>
      </c>
      <c r="B407" s="314">
        <v>1.0927700318512352</v>
      </c>
      <c r="C407" s="313">
        <v>395</v>
      </c>
      <c r="D407" s="311">
        <v>171883.3029721654</v>
      </c>
    </row>
    <row r="408" spans="1:4">
      <c r="A408" s="312">
        <v>0.1652647927660853</v>
      </c>
      <c r="B408" s="314">
        <v>0.98563262417232511</v>
      </c>
      <c r="C408" s="313">
        <v>396</v>
      </c>
      <c r="D408" s="311">
        <v>132225.81691983761</v>
      </c>
    </row>
    <row r="409" spans="1:4">
      <c r="A409" s="312">
        <v>0.44123316213110031</v>
      </c>
      <c r="B409" s="314">
        <v>1.0173306539065246</v>
      </c>
      <c r="C409" s="313">
        <v>397</v>
      </c>
      <c r="D409" s="311">
        <v>128103.5246648083</v>
      </c>
    </row>
    <row r="410" spans="1:4">
      <c r="A410" s="312">
        <v>0.40171243861421346</v>
      </c>
      <c r="B410" s="314">
        <v>1.0127190538215434</v>
      </c>
      <c r="C410" s="313">
        <v>398</v>
      </c>
      <c r="D410" s="311">
        <v>88110.628686791519</v>
      </c>
    </row>
    <row r="411" spans="1:4">
      <c r="A411" s="312">
        <v>0.84103548131438866</v>
      </c>
      <c r="B411" s="314">
        <v>1.079237140118585</v>
      </c>
      <c r="C411" s="313">
        <v>399</v>
      </c>
      <c r="D411" s="311">
        <v>68960.88839298836</v>
      </c>
    </row>
    <row r="412" spans="1:4">
      <c r="A412" s="312">
        <v>0.81914782773314321</v>
      </c>
      <c r="B412" s="314">
        <v>1.0745225634616147</v>
      </c>
      <c r="C412" s="313">
        <v>400</v>
      </c>
      <c r="D412" s="311">
        <v>112910.59161740076</v>
      </c>
    </row>
    <row r="413" spans="1:4">
      <c r="A413" s="312">
        <v>0.35108334724734969</v>
      </c>
      <c r="B413" s="314">
        <v>1.0070284134462077</v>
      </c>
      <c r="C413" s="313">
        <v>401</v>
      </c>
      <c r="D413" s="311">
        <v>21113.505390359554</v>
      </c>
    </row>
    <row r="414" spans="1:4">
      <c r="A414" s="312">
        <v>1.8812072702187099E-2</v>
      </c>
      <c r="B414" s="314">
        <v>0.95539584736373917</v>
      </c>
      <c r="C414" s="313">
        <v>402</v>
      </c>
      <c r="D414" s="311">
        <v>163825.8711508587</v>
      </c>
    </row>
    <row r="415" spans="1:4">
      <c r="A415" s="312">
        <v>0.79452742025531264</v>
      </c>
      <c r="B415" s="314">
        <v>1.0695488579201162</v>
      </c>
      <c r="C415" s="313">
        <v>403</v>
      </c>
      <c r="D415" s="311">
        <v>39504.911427913932</v>
      </c>
    </row>
    <row r="416" spans="1:4">
      <c r="A416" s="312">
        <v>0.26623381653044953</v>
      </c>
      <c r="B416" s="314">
        <v>0.99791844342075897</v>
      </c>
      <c r="C416" s="313">
        <v>404</v>
      </c>
      <c r="D416" s="311">
        <v>280199.64256228157</v>
      </c>
    </row>
    <row r="417" spans="1:4">
      <c r="A417" s="312">
        <v>0.31578580470232098</v>
      </c>
      <c r="B417" s="314">
        <v>1.0031914609027224</v>
      </c>
      <c r="C417" s="313">
        <v>405</v>
      </c>
      <c r="D417" s="311">
        <v>188558.04433123302</v>
      </c>
    </row>
    <row r="418" spans="1:4">
      <c r="A418" s="312">
        <v>0.37827912838054323</v>
      </c>
      <c r="B418" s="314">
        <v>1.0100564133087446</v>
      </c>
      <c r="C418" s="313">
        <v>406</v>
      </c>
      <c r="D418" s="311">
        <v>125657.21480055526</v>
      </c>
    </row>
    <row r="419" spans="1:4">
      <c r="A419" s="312">
        <v>0.29432360037707073</v>
      </c>
      <c r="B419" s="314">
        <v>1.0009067185010596</v>
      </c>
      <c r="C419" s="313">
        <v>407</v>
      </c>
      <c r="D419" s="311">
        <v>143611.89466389967</v>
      </c>
    </row>
    <row r="420" spans="1:4">
      <c r="A420" s="312">
        <v>0.2964140067023725</v>
      </c>
      <c r="B420" s="314">
        <v>1.0011277098017388</v>
      </c>
      <c r="C420" s="313">
        <v>408</v>
      </c>
      <c r="D420" s="311">
        <v>172221.42312005255</v>
      </c>
    </row>
    <row r="421" spans="1:4">
      <c r="A421" s="312">
        <v>0.69371140841066126</v>
      </c>
      <c r="B421" s="314">
        <v>1.0517753053704713</v>
      </c>
      <c r="C421" s="313">
        <v>409</v>
      </c>
      <c r="D421" s="311">
        <v>96398.351067534415</v>
      </c>
    </row>
    <row r="422" spans="1:4">
      <c r="A422" s="312">
        <v>0.40806905140553174</v>
      </c>
      <c r="B422" s="314">
        <v>1.0134502842158735</v>
      </c>
      <c r="C422" s="313">
        <v>410</v>
      </c>
      <c r="D422" s="311">
        <v>107902.34770360356</v>
      </c>
    </row>
    <row r="423" spans="1:4">
      <c r="A423" s="312">
        <v>0.66273451685011153</v>
      </c>
      <c r="B423" s="314">
        <v>1.0469278761292777</v>
      </c>
      <c r="C423" s="313">
        <v>411</v>
      </c>
      <c r="D423" s="311">
        <v>149358.81698982627</v>
      </c>
    </row>
    <row r="424" spans="1:4">
      <c r="A424" s="312">
        <v>0.95295755515530678</v>
      </c>
      <c r="B424" s="314">
        <v>1.1115053638462729</v>
      </c>
      <c r="C424" s="313">
        <v>412</v>
      </c>
      <c r="D424" s="311">
        <v>139475.27997309179</v>
      </c>
    </row>
    <row r="425" spans="1:4">
      <c r="A425" s="312">
        <v>0.14453715444819848</v>
      </c>
      <c r="B425" s="314">
        <v>0.98267514670211809</v>
      </c>
      <c r="C425" s="313">
        <v>413</v>
      </c>
      <c r="D425" s="311">
        <v>19343.752310800599</v>
      </c>
    </row>
    <row r="426" spans="1:4">
      <c r="A426" s="312">
        <v>0.44947613285504606</v>
      </c>
      <c r="B426" s="314">
        <v>1.0183128638967873</v>
      </c>
      <c r="C426" s="313">
        <v>414</v>
      </c>
      <c r="D426" s="311">
        <v>133770.21675657504</v>
      </c>
    </row>
    <row r="427" spans="1:4">
      <c r="A427" s="312">
        <v>0.35208308872393324</v>
      </c>
      <c r="B427" s="314">
        <v>1.0071385891669968</v>
      </c>
      <c r="C427" s="313">
        <v>415</v>
      </c>
      <c r="D427" s="311">
        <v>173543.81127142627</v>
      </c>
    </row>
    <row r="428" spans="1:4">
      <c r="A428" s="312">
        <v>0.83847279118207507</v>
      </c>
      <c r="B428" s="314">
        <v>1.0786690314255818</v>
      </c>
      <c r="C428" s="313">
        <v>416</v>
      </c>
      <c r="D428" s="311">
        <v>79811.018530400703</v>
      </c>
    </row>
    <row r="429" spans="1:4">
      <c r="A429" s="312">
        <v>0.76651092229913231</v>
      </c>
      <c r="B429" s="314">
        <v>1.064239251708154</v>
      </c>
      <c r="C429" s="313">
        <v>417</v>
      </c>
      <c r="D429" s="311">
        <v>193940.41947808256</v>
      </c>
    </row>
    <row r="430" spans="1:4">
      <c r="A430" s="312">
        <v>1.8788733939214541E-2</v>
      </c>
      <c r="B430" s="314">
        <v>0.95538629414882292</v>
      </c>
      <c r="C430" s="313">
        <v>418</v>
      </c>
      <c r="D430" s="311">
        <v>259920.59764286061</v>
      </c>
    </row>
    <row r="431" spans="1:4">
      <c r="A431" s="312">
        <v>0.31750053805904965</v>
      </c>
      <c r="B431" s="314">
        <v>1.0033755373372508</v>
      </c>
      <c r="C431" s="313">
        <v>419</v>
      </c>
      <c r="D431" s="311">
        <v>117819.34286039206</v>
      </c>
    </row>
    <row r="432" spans="1:4">
      <c r="A432" s="312">
        <v>0.25123682092754174</v>
      </c>
      <c r="B432" s="314">
        <v>0.99626352231852378</v>
      </c>
      <c r="C432" s="313">
        <v>420</v>
      </c>
      <c r="D432" s="311">
        <v>-77513.799152390799</v>
      </c>
    </row>
    <row r="433" spans="1:4">
      <c r="A433" s="312">
        <v>0.91983292545809214</v>
      </c>
      <c r="B433" s="314">
        <v>1.0997480065264063</v>
      </c>
      <c r="C433" s="313">
        <v>421</v>
      </c>
      <c r="D433" s="311">
        <v>103557.56489793491</v>
      </c>
    </row>
    <row r="434" spans="1:4">
      <c r="A434" s="312">
        <v>0.26815282737773538</v>
      </c>
      <c r="B434" s="314">
        <v>0.99812680642319396</v>
      </c>
      <c r="C434" s="313">
        <v>422</v>
      </c>
      <c r="D434" s="311">
        <v>76256.756360098021</v>
      </c>
    </row>
    <row r="435" spans="1:4">
      <c r="A435" s="312">
        <v>0.9097137027546558</v>
      </c>
      <c r="B435" s="314">
        <v>1.0966706613276673</v>
      </c>
      <c r="C435" s="313">
        <v>423</v>
      </c>
      <c r="D435" s="311">
        <v>117891.33935338259</v>
      </c>
    </row>
    <row r="436" spans="1:4">
      <c r="A436" s="312">
        <v>0.60179478972492195</v>
      </c>
      <c r="B436" s="314">
        <v>1.0380023923306174</v>
      </c>
      <c r="C436" s="313">
        <v>424</v>
      </c>
      <c r="D436" s="311">
        <v>273712.59270864888</v>
      </c>
    </row>
    <row r="437" spans="1:4">
      <c r="A437" s="312">
        <v>0.83527999004343378</v>
      </c>
      <c r="B437" s="314">
        <v>1.0779675051547439</v>
      </c>
      <c r="C437" s="313">
        <v>425</v>
      </c>
      <c r="D437" s="311">
        <v>224851.89135304559</v>
      </c>
    </row>
    <row r="438" spans="1:4">
      <c r="A438" s="312">
        <v>0.66718752918733615</v>
      </c>
      <c r="B438" s="314">
        <v>1.0476105824286566</v>
      </c>
      <c r="C438" s="313">
        <v>426</v>
      </c>
      <c r="D438" s="311">
        <v>-23838.819224464707</v>
      </c>
    </row>
    <row r="439" spans="1:4">
      <c r="A439" s="312">
        <v>0.53029689628501286</v>
      </c>
      <c r="B439" s="314">
        <v>1.0283626382766293</v>
      </c>
      <c r="C439" s="313">
        <v>427</v>
      </c>
      <c r="D439" s="311">
        <v>113159.12568261521</v>
      </c>
    </row>
    <row r="440" spans="1:4">
      <c r="A440" s="312">
        <v>0.30619039547955929</v>
      </c>
      <c r="B440" s="314">
        <v>1.0021656246254143</v>
      </c>
      <c r="C440" s="313">
        <v>428</v>
      </c>
      <c r="D440" s="311">
        <v>73782.794286203803</v>
      </c>
    </row>
    <row r="441" spans="1:4">
      <c r="A441" s="312">
        <v>0.74335998387881919</v>
      </c>
      <c r="B441" s="314">
        <v>1.0600880402403707</v>
      </c>
      <c r="C441" s="313">
        <v>429</v>
      </c>
      <c r="D441" s="311">
        <v>187033.97306942428</v>
      </c>
    </row>
    <row r="442" spans="1:4">
      <c r="A442" s="312">
        <v>8.5498468352804946E-2</v>
      </c>
      <c r="B442" s="314">
        <v>0.97282195456162446</v>
      </c>
      <c r="C442" s="313">
        <v>430</v>
      </c>
      <c r="D442" s="311">
        <v>165365.08896012185</v>
      </c>
    </row>
    <row r="443" spans="1:4">
      <c r="A443" s="312">
        <v>0.97559348730976325</v>
      </c>
      <c r="B443" s="314">
        <v>1.1222726642148499</v>
      </c>
      <c r="C443" s="313">
        <v>431</v>
      </c>
      <c r="D443" s="311">
        <v>59196.003902296769</v>
      </c>
    </row>
    <row r="444" spans="1:4">
      <c r="A444" s="312">
        <v>0.1362211179253292</v>
      </c>
      <c r="B444" s="314">
        <v>0.98142929019255754</v>
      </c>
      <c r="C444" s="313">
        <v>432</v>
      </c>
      <c r="D444" s="311">
        <v>257722.15684421314</v>
      </c>
    </row>
    <row r="445" spans="1:4">
      <c r="A445" s="312">
        <v>0.57512660283190631</v>
      </c>
      <c r="B445" s="314">
        <v>1.034312870159231</v>
      </c>
      <c r="C445" s="313">
        <v>433</v>
      </c>
      <c r="D445" s="311">
        <v>-23235.001049067825</v>
      </c>
    </row>
    <row r="446" spans="1:4">
      <c r="A446" s="312">
        <v>0.59378628419415125</v>
      </c>
      <c r="B446" s="314">
        <v>1.0368817784444777</v>
      </c>
      <c r="C446" s="313">
        <v>434</v>
      </c>
      <c r="D446" s="311">
        <v>94585.270235908916</v>
      </c>
    </row>
    <row r="447" spans="1:4">
      <c r="A447" s="312">
        <v>0.87889575024780531</v>
      </c>
      <c r="B447" s="314">
        <v>1.0882360633768042</v>
      </c>
      <c r="C447" s="313">
        <v>435</v>
      </c>
      <c r="D447" s="311">
        <v>-2335.2047921840567</v>
      </c>
    </row>
    <row r="448" spans="1:4">
      <c r="A448" s="312">
        <v>0.71114785935220504</v>
      </c>
      <c r="B448" s="314">
        <v>1.0546121473645331</v>
      </c>
      <c r="C448" s="313">
        <v>436</v>
      </c>
      <c r="D448" s="311">
        <v>97868.944510413799</v>
      </c>
    </row>
    <row r="449" spans="1:4">
      <c r="A449" s="312">
        <v>5.9188338882449121E-2</v>
      </c>
      <c r="B449" s="314">
        <v>0.96730884600122924</v>
      </c>
      <c r="C449" s="313">
        <v>437</v>
      </c>
      <c r="D449" s="311">
        <v>89150.011033045826</v>
      </c>
    </row>
    <row r="450" spans="1:4">
      <c r="A450" s="312">
        <v>0.34391351910122137</v>
      </c>
      <c r="B450" s="314">
        <v>1.0062407423909279</v>
      </c>
      <c r="C450" s="313">
        <v>438</v>
      </c>
      <c r="D450" s="311">
        <v>157469.60606157524</v>
      </c>
    </row>
    <row r="451" spans="1:4">
      <c r="A451" s="312">
        <v>0.44657713928594844</v>
      </c>
      <c r="B451" s="314">
        <v>1.0179665947099272</v>
      </c>
      <c r="C451" s="313">
        <v>439</v>
      </c>
      <c r="D451" s="311">
        <v>89410.852358118631</v>
      </c>
    </row>
    <row r="452" spans="1:4">
      <c r="A452" s="312">
        <v>0.92792880557763135</v>
      </c>
      <c r="B452" s="314">
        <v>1.1023529368763969</v>
      </c>
      <c r="C452" s="313">
        <v>440</v>
      </c>
      <c r="D452" s="311">
        <v>225976.96406694804</v>
      </c>
    </row>
    <row r="453" spans="1:4">
      <c r="A453" s="312">
        <v>4.626808116460035E-2</v>
      </c>
      <c r="B453" s="314">
        <v>0.96414493368543308</v>
      </c>
      <c r="C453" s="313">
        <v>441</v>
      </c>
      <c r="D453" s="311">
        <v>232628.53541913326</v>
      </c>
    </row>
    <row r="454" spans="1:4">
      <c r="A454" s="312">
        <v>0.96892594100271101</v>
      </c>
      <c r="B454" s="314">
        <v>1.1187136953538037</v>
      </c>
      <c r="C454" s="313">
        <v>442</v>
      </c>
      <c r="D454" s="311">
        <v>231048.01938516041</v>
      </c>
    </row>
    <row r="455" spans="1:4">
      <c r="A455" s="312">
        <v>1.5727388645101592E-2</v>
      </c>
      <c r="B455" s="314">
        <v>0.95407711252097815</v>
      </c>
      <c r="C455" s="313">
        <v>443</v>
      </c>
      <c r="D455" s="311">
        <v>196231.89763658447</v>
      </c>
    </row>
    <row r="456" spans="1:4">
      <c r="A456" s="312">
        <v>0.97724112119413509</v>
      </c>
      <c r="B456" s="314">
        <v>1.1232249242319512</v>
      </c>
      <c r="C456" s="313">
        <v>444</v>
      </c>
      <c r="D456" s="311">
        <v>175656.24568565167</v>
      </c>
    </row>
    <row r="457" spans="1:4">
      <c r="A457" s="312">
        <v>0.44970339508397816</v>
      </c>
      <c r="B457" s="314">
        <v>1.0183400476422131</v>
      </c>
      <c r="C457" s="313">
        <v>445</v>
      </c>
      <c r="D457" s="311">
        <v>154932.82409131713</v>
      </c>
    </row>
    <row r="458" spans="1:4">
      <c r="A458" s="312">
        <v>0.66538844874402225</v>
      </c>
      <c r="B458" s="314">
        <v>1.0473342127845731</v>
      </c>
      <c r="C458" s="313">
        <v>446</v>
      </c>
      <c r="D458" s="311">
        <v>195214.26252479106</v>
      </c>
    </row>
    <row r="459" spans="1:4">
      <c r="A459" s="312">
        <v>0.8911009904378594</v>
      </c>
      <c r="B459" s="314">
        <v>1.0914310764892554</v>
      </c>
      <c r="C459" s="313">
        <v>447</v>
      </c>
      <c r="D459" s="311">
        <v>130878.87478933856</v>
      </c>
    </row>
    <row r="460" spans="1:4">
      <c r="A460" s="312">
        <v>0.37652105938433755</v>
      </c>
      <c r="B460" s="314">
        <v>1.0098586904963658</v>
      </c>
      <c r="C460" s="313">
        <v>448</v>
      </c>
      <c r="D460" s="311">
        <v>185188.73667777632</v>
      </c>
    </row>
    <row r="461" spans="1:4">
      <c r="A461" s="312">
        <v>0.29895755364321541</v>
      </c>
      <c r="B461" s="314">
        <v>1.0013970489517832</v>
      </c>
      <c r="C461" s="313">
        <v>449</v>
      </c>
      <c r="D461" s="311">
        <v>33273.296467167325</v>
      </c>
    </row>
    <row r="462" spans="1:4">
      <c r="A462" s="312">
        <v>0.7463953736717015</v>
      </c>
      <c r="B462" s="314">
        <v>1.0606213351557465</v>
      </c>
      <c r="C462" s="313">
        <v>450</v>
      </c>
      <c r="D462" s="311">
        <v>151331.26569120213</v>
      </c>
    </row>
    <row r="463" spans="1:4">
      <c r="A463" s="312">
        <v>0.25942826363297555</v>
      </c>
      <c r="B463" s="314">
        <v>0.99717338648160947</v>
      </c>
      <c r="C463" s="313">
        <v>451</v>
      </c>
      <c r="D463" s="311">
        <v>159671.75777553348</v>
      </c>
    </row>
    <row r="464" spans="1:4">
      <c r="A464" s="312">
        <v>0.56013471636765122</v>
      </c>
      <c r="B464" s="314">
        <v>1.0322895228349702</v>
      </c>
      <c r="C464" s="313">
        <v>452</v>
      </c>
      <c r="D464" s="311">
        <v>111987.07012409205</v>
      </c>
    </row>
    <row r="465" spans="1:4">
      <c r="A465" s="312">
        <v>0.10674087160099277</v>
      </c>
      <c r="B465" s="314">
        <v>0.97667335520745957</v>
      </c>
      <c r="C465" s="313">
        <v>453</v>
      </c>
      <c r="D465" s="311">
        <v>-27918.246432511834</v>
      </c>
    </row>
    <row r="466" spans="1:4">
      <c r="A466" s="312">
        <v>2.6919372635047734E-2</v>
      </c>
      <c r="B466" s="314">
        <v>0.95841695130040794</v>
      </c>
      <c r="C466" s="313">
        <v>454</v>
      </c>
      <c r="D466" s="311">
        <v>118938.1638596647</v>
      </c>
    </row>
    <row r="467" spans="1:4">
      <c r="A467" s="312">
        <v>0.65688993285956621</v>
      </c>
      <c r="B467" s="314">
        <v>1.0460386268130144</v>
      </c>
      <c r="C467" s="313">
        <v>455</v>
      </c>
      <c r="D467" s="311">
        <v>285638.27439126512</v>
      </c>
    </row>
    <row r="468" spans="1:4">
      <c r="A468" s="312">
        <v>0.30581341881256363</v>
      </c>
      <c r="B468" s="314">
        <v>1.0021254676849178</v>
      </c>
      <c r="C468" s="313">
        <v>456</v>
      </c>
      <c r="D468" s="311">
        <v>106350.01781486743</v>
      </c>
    </row>
    <row r="469" spans="1:4">
      <c r="A469" s="312">
        <v>8.1338104599102401E-3</v>
      </c>
      <c r="B469" s="314">
        <v>0.95012353751387668</v>
      </c>
      <c r="C469" s="313">
        <v>457</v>
      </c>
      <c r="D469" s="311">
        <v>232113.25206879573</v>
      </c>
    </row>
    <row r="470" spans="1:4">
      <c r="A470" s="312">
        <v>0.7945030478213877</v>
      </c>
      <c r="B470" s="314">
        <v>1.0695440866460004</v>
      </c>
      <c r="C470" s="313">
        <v>458</v>
      </c>
      <c r="D470" s="311">
        <v>73613.362154124072</v>
      </c>
    </row>
    <row r="471" spans="1:4">
      <c r="A471" s="312">
        <v>3.6798672669209664E-2</v>
      </c>
      <c r="B471" s="314">
        <v>0.96153284179183141</v>
      </c>
      <c r="C471" s="313">
        <v>459</v>
      </c>
      <c r="D471" s="311">
        <v>147585.48469292233</v>
      </c>
    </row>
    <row r="472" spans="1:4">
      <c r="A472" s="312">
        <v>0.27068022587859486</v>
      </c>
      <c r="B472" s="314">
        <v>0.99840009286011699</v>
      </c>
      <c r="C472" s="313">
        <v>460</v>
      </c>
      <c r="D472" s="311">
        <v>154565.37406018563</v>
      </c>
    </row>
    <row r="473" spans="1:4">
      <c r="A473" s="312">
        <v>0.28936780521068195</v>
      </c>
      <c r="B473" s="314">
        <v>1.0003841113522247</v>
      </c>
      <c r="C473" s="313">
        <v>461</v>
      </c>
      <c r="D473" s="311">
        <v>36113.160383744864</v>
      </c>
    </row>
    <row r="474" spans="1:4">
      <c r="A474" s="312">
        <v>0.29447858361487689</v>
      </c>
      <c r="B474" s="314">
        <v>1.0009230916066094</v>
      </c>
      <c r="C474" s="313">
        <v>462</v>
      </c>
      <c r="D474" s="311">
        <v>36804.813910897588</v>
      </c>
    </row>
    <row r="475" spans="1:4">
      <c r="A475" s="312">
        <v>0.62009978728054127</v>
      </c>
      <c r="B475" s="314">
        <v>1.040606870870868</v>
      </c>
      <c r="C475" s="313">
        <v>463</v>
      </c>
      <c r="D475" s="311">
        <v>180375.75627579191</v>
      </c>
    </row>
    <row r="476" spans="1:4">
      <c r="A476" s="312">
        <v>0.84418495362506929</v>
      </c>
      <c r="B476" s="314">
        <v>1.0799416388943452</v>
      </c>
      <c r="C476" s="313">
        <v>464</v>
      </c>
      <c r="D476" s="311">
        <v>165100.86917886161</v>
      </c>
    </row>
    <row r="477" spans="1:4">
      <c r="A477" s="312">
        <v>0.9364688323453626</v>
      </c>
      <c r="B477" s="314">
        <v>1.1052648708382207</v>
      </c>
      <c r="C477" s="313">
        <v>465</v>
      </c>
      <c r="D477" s="311">
        <v>206289.66227830434</v>
      </c>
    </row>
    <row r="478" spans="1:4">
      <c r="A478" s="312">
        <v>0.88107050621377869</v>
      </c>
      <c r="B478" s="314">
        <v>1.0887931453653599</v>
      </c>
      <c r="C478" s="313">
        <v>466</v>
      </c>
      <c r="D478" s="311">
        <v>1487.4467349515762</v>
      </c>
    </row>
    <row r="479" spans="1:4">
      <c r="A479" s="312">
        <v>0.36002221012363345</v>
      </c>
      <c r="B479" s="314">
        <v>1.0080165489181729</v>
      </c>
      <c r="C479" s="313">
        <v>467</v>
      </c>
      <c r="D479" s="311">
        <v>219271.35699862125</v>
      </c>
    </row>
    <row r="480" spans="1:4">
      <c r="A480" s="312">
        <v>0.35284699223916483</v>
      </c>
      <c r="B480" s="314">
        <v>1.0072228318516356</v>
      </c>
      <c r="C480" s="313">
        <v>468</v>
      </c>
      <c r="D480" s="311">
        <v>119886.08117872477</v>
      </c>
    </row>
    <row r="481" spans="1:4">
      <c r="A481" s="312">
        <v>0.17045573682795057</v>
      </c>
      <c r="B481" s="314">
        <v>0.98634374050540341</v>
      </c>
      <c r="C481" s="313">
        <v>469</v>
      </c>
      <c r="D481" s="311">
        <v>207258.26843520394</v>
      </c>
    </row>
    <row r="482" spans="1:4">
      <c r="A482" s="312">
        <v>0.75654031352879869</v>
      </c>
      <c r="B482" s="314">
        <v>1.0624272866479356</v>
      </c>
      <c r="C482" s="313">
        <v>470</v>
      </c>
      <c r="D482" s="311">
        <v>223269.9120086357</v>
      </c>
    </row>
    <row r="483" spans="1:4">
      <c r="A483" s="312">
        <v>0.34448146757018117</v>
      </c>
      <c r="B483" s="314">
        <v>1.0063029792530851</v>
      </c>
      <c r="C483" s="313">
        <v>471</v>
      </c>
      <c r="D483" s="311">
        <v>74848.88258217671</v>
      </c>
    </row>
    <row r="484" spans="1:4">
      <c r="A484" s="312">
        <v>0.73871204539688895</v>
      </c>
      <c r="B484" s="314">
        <v>1.0592775079156331</v>
      </c>
      <c r="C484" s="313">
        <v>472</v>
      </c>
      <c r="D484" s="311">
        <v>148166.96622812632</v>
      </c>
    </row>
    <row r="485" spans="1:4">
      <c r="A485" s="312">
        <v>0.45057966901639057</v>
      </c>
      <c r="B485" s="314">
        <v>1.0184449148607941</v>
      </c>
      <c r="C485" s="313">
        <v>473</v>
      </c>
      <c r="D485" s="311">
        <v>167586.46535709826</v>
      </c>
    </row>
    <row r="486" spans="1:4">
      <c r="A486" s="312">
        <v>0.76225877010227128</v>
      </c>
      <c r="B486" s="314">
        <v>1.0634618653900001</v>
      </c>
      <c r="C486" s="313">
        <v>474</v>
      </c>
      <c r="D486" s="311">
        <v>241265.57847654982</v>
      </c>
    </row>
    <row r="487" spans="1:4">
      <c r="A487" s="312">
        <v>0.16804945709165831</v>
      </c>
      <c r="B487" s="314">
        <v>0.98601546652327765</v>
      </c>
      <c r="C487" s="313">
        <v>475</v>
      </c>
      <c r="D487" s="311">
        <v>244830.28282748442</v>
      </c>
    </row>
    <row r="488" spans="1:4">
      <c r="A488" s="312">
        <v>0.87931469365899884</v>
      </c>
      <c r="B488" s="314">
        <v>1.0883429878299187</v>
      </c>
      <c r="C488" s="313">
        <v>476</v>
      </c>
      <c r="D488" s="311">
        <v>191259.28980906447</v>
      </c>
    </row>
    <row r="489" spans="1:4">
      <c r="A489" s="312">
        <v>0.31078028843574734</v>
      </c>
      <c r="B489" s="314">
        <v>1.0026554347311243</v>
      </c>
      <c r="C489" s="313">
        <v>477</v>
      </c>
      <c r="D489" s="311">
        <v>167924.68249728042</v>
      </c>
    </row>
    <row r="490" spans="1:4">
      <c r="A490" s="312">
        <v>0.83625781719867254</v>
      </c>
      <c r="B490" s="314">
        <v>1.0781816265970761</v>
      </c>
      <c r="C490" s="313">
        <v>478</v>
      </c>
      <c r="D490" s="311">
        <v>242516.57319751056</v>
      </c>
    </row>
    <row r="491" spans="1:4">
      <c r="A491" s="312">
        <v>0.64829206153245655</v>
      </c>
      <c r="B491" s="314">
        <v>1.0447441210110922</v>
      </c>
      <c r="C491" s="313">
        <v>479</v>
      </c>
      <c r="D491" s="311">
        <v>177054.77947319997</v>
      </c>
    </row>
    <row r="492" spans="1:4">
      <c r="A492" s="312">
        <v>0.69163479199181421</v>
      </c>
      <c r="B492" s="314">
        <v>1.0514428893876355</v>
      </c>
      <c r="C492" s="313">
        <v>480</v>
      </c>
      <c r="D492" s="311">
        <v>-31121.467329529114</v>
      </c>
    </row>
    <row r="493" spans="1:4">
      <c r="A493" s="312">
        <v>0.80499157494347873</v>
      </c>
      <c r="B493" s="314">
        <v>1.0716242040596689</v>
      </c>
      <c r="C493" s="313">
        <v>481</v>
      </c>
      <c r="D493" s="311">
        <v>204253.38631510525</v>
      </c>
    </row>
    <row r="494" spans="1:4">
      <c r="A494" s="312">
        <v>5.2207688686404685E-2</v>
      </c>
      <c r="B494" s="314">
        <v>0.96564794099823015</v>
      </c>
      <c r="C494" s="313">
        <v>482</v>
      </c>
      <c r="D494" s="311">
        <v>122047.28580404352</v>
      </c>
    </row>
    <row r="495" spans="1:4">
      <c r="A495" s="312">
        <v>0.64451587017686296</v>
      </c>
      <c r="B495" s="314">
        <v>1.0441805779196047</v>
      </c>
      <c r="C495" s="313">
        <v>483</v>
      </c>
      <c r="D495" s="311">
        <v>135193.00726843416</v>
      </c>
    </row>
    <row r="496" spans="1:4">
      <c r="A496" s="312">
        <v>0.71841613231912937</v>
      </c>
      <c r="B496" s="314">
        <v>1.0558198968361818</v>
      </c>
      <c r="C496" s="313">
        <v>484</v>
      </c>
      <c r="D496" s="311">
        <v>199874.58191726496</v>
      </c>
    </row>
    <row r="497" spans="1:4">
      <c r="A497" s="312">
        <v>0.58151421035221029</v>
      </c>
      <c r="B497" s="314">
        <v>1.03518579193364</v>
      </c>
      <c r="C497" s="313">
        <v>485</v>
      </c>
      <c r="D497" s="311">
        <v>256389.07555696252</v>
      </c>
    </row>
    <row r="498" spans="1:4">
      <c r="A498" s="312">
        <v>6.3429938908738936E-2</v>
      </c>
      <c r="B498" s="314">
        <v>0.96827043031596982</v>
      </c>
      <c r="C498" s="313">
        <v>486</v>
      </c>
      <c r="D498" s="311">
        <v>222845.00384090189</v>
      </c>
    </row>
    <row r="499" spans="1:4">
      <c r="A499" s="312">
        <v>0.2392054811471811</v>
      </c>
      <c r="B499" s="314">
        <v>0.99489980931164035</v>
      </c>
      <c r="C499" s="313">
        <v>487</v>
      </c>
      <c r="D499" s="311">
        <v>95826.180475455476</v>
      </c>
    </row>
    <row r="500" spans="1:4">
      <c r="A500" s="312">
        <v>0.52491336439554093</v>
      </c>
      <c r="B500" s="314">
        <v>1.0276675471449197</v>
      </c>
      <c r="C500" s="313">
        <v>488</v>
      </c>
      <c r="D500" s="311">
        <v>9395.3430738504976</v>
      </c>
    </row>
    <row r="501" spans="1:4">
      <c r="A501" s="312">
        <v>0.16763759077388474</v>
      </c>
      <c r="B501" s="314">
        <v>0.98595904311178539</v>
      </c>
      <c r="C501" s="313">
        <v>489</v>
      </c>
      <c r="D501" s="311">
        <v>160028.99438920873</v>
      </c>
    </row>
    <row r="502" spans="1:4">
      <c r="A502" s="312">
        <v>0.28717208857686427</v>
      </c>
      <c r="B502" s="314">
        <v>1.0001531474810739</v>
      </c>
      <c r="C502" s="313">
        <v>490</v>
      </c>
      <c r="D502" s="311">
        <v>185674.78912706347</v>
      </c>
    </row>
    <row r="503" spans="1:4">
      <c r="A503" s="312">
        <v>0.14230118570086725</v>
      </c>
      <c r="B503" s="314">
        <v>0.98234377096847803</v>
      </c>
      <c r="C503" s="313">
        <v>491</v>
      </c>
      <c r="D503" s="311">
        <v>200403.33332098881</v>
      </c>
    </row>
    <row r="504" spans="1:4">
      <c r="A504" s="312">
        <v>0.14090860315873843</v>
      </c>
      <c r="B504" s="314">
        <v>0.98213607005642678</v>
      </c>
      <c r="C504" s="313">
        <v>492</v>
      </c>
      <c r="D504" s="311">
        <v>-50332.194168933434</v>
      </c>
    </row>
    <row r="505" spans="1:4">
      <c r="A505" s="312">
        <v>0.76225057690188247</v>
      </c>
      <c r="B505" s="314">
        <v>1.063460374234743</v>
      </c>
      <c r="C505" s="313">
        <v>493</v>
      </c>
      <c r="D505" s="311">
        <v>78951.319982230663</v>
      </c>
    </row>
    <row r="506" spans="1:4">
      <c r="A506" s="312">
        <v>0.22556797913432913</v>
      </c>
      <c r="B506" s="314">
        <v>0.99331187988706215</v>
      </c>
      <c r="C506" s="313">
        <v>494</v>
      </c>
      <c r="D506" s="311">
        <v>109299.69619416445</v>
      </c>
    </row>
    <row r="507" spans="1:4">
      <c r="A507" s="312">
        <v>0.99959078339599972</v>
      </c>
      <c r="B507" s="314">
        <v>1.1464096903996996</v>
      </c>
      <c r="C507" s="313">
        <v>495</v>
      </c>
      <c r="D507" s="311">
        <v>65883.868869830621</v>
      </c>
    </row>
    <row r="508" spans="1:4">
      <c r="A508" s="312">
        <v>0.11068898168892893</v>
      </c>
      <c r="B508" s="314">
        <v>0.97734543036678656</v>
      </c>
      <c r="C508" s="313">
        <v>496</v>
      </c>
      <c r="D508" s="311">
        <v>171778.75603341521</v>
      </c>
    </row>
    <row r="509" spans="1:4">
      <c r="A509" s="312">
        <v>5.2874264709097729E-2</v>
      </c>
      <c r="B509" s="314">
        <v>0.96581115524990369</v>
      </c>
      <c r="C509" s="313">
        <v>497</v>
      </c>
      <c r="D509" s="311">
        <v>70862.583101683296</v>
      </c>
    </row>
    <row r="510" spans="1:4">
      <c r="A510" s="312">
        <v>6.2805142029977223E-2</v>
      </c>
      <c r="B510" s="314">
        <v>0.96813085120606401</v>
      </c>
      <c r="C510" s="313">
        <v>498</v>
      </c>
      <c r="D510" s="311">
        <v>-54183.483009525109</v>
      </c>
    </row>
    <row r="511" spans="1:4">
      <c r="A511" s="312">
        <v>4.8357510135708659E-2</v>
      </c>
      <c r="B511" s="314">
        <v>0.96468409665574029</v>
      </c>
      <c r="C511" s="313">
        <v>499</v>
      </c>
      <c r="D511" s="311">
        <v>252657.21152835572</v>
      </c>
    </row>
    <row r="512" spans="1:4">
      <c r="A512" s="312">
        <v>0.53814296394351369</v>
      </c>
      <c r="B512" s="314">
        <v>1.0293828509880152</v>
      </c>
      <c r="C512" s="313">
        <v>500</v>
      </c>
      <c r="D512" s="311">
        <v>182404.15295271599</v>
      </c>
    </row>
    <row r="513" spans="1:4">
      <c r="A513" s="312">
        <v>0.14658778073717493</v>
      </c>
      <c r="B513" s="314">
        <v>0.98297680813285693</v>
      </c>
      <c r="C513" s="313">
        <v>501</v>
      </c>
      <c r="D513" s="311">
        <v>263836.63854843006</v>
      </c>
    </row>
    <row r="514" spans="1:4">
      <c r="A514" s="312">
        <v>0.69283024938173532</v>
      </c>
      <c r="B514" s="314">
        <v>1.0516341159523519</v>
      </c>
      <c r="C514" s="313">
        <v>502</v>
      </c>
      <c r="D514" s="311">
        <v>91960.390480607282</v>
      </c>
    </row>
    <row r="515" spans="1:4">
      <c r="A515" s="312">
        <v>0.17062508031836232</v>
      </c>
      <c r="B515" s="314">
        <v>0.98636675546133634</v>
      </c>
      <c r="C515" s="313">
        <v>503</v>
      </c>
      <c r="D515" s="311">
        <v>212467.56303689955</v>
      </c>
    </row>
    <row r="516" spans="1:4">
      <c r="A516" s="312">
        <v>0.421824304861255</v>
      </c>
      <c r="B516" s="314">
        <v>1.0150461767978747</v>
      </c>
      <c r="C516" s="313">
        <v>504</v>
      </c>
      <c r="D516" s="311">
        <v>141195.01781171677</v>
      </c>
    </row>
    <row r="517" spans="1:4">
      <c r="A517" s="312">
        <v>0.92532393987515782</v>
      </c>
      <c r="B517" s="314">
        <v>1.1014995268689827</v>
      </c>
      <c r="C517" s="313">
        <v>505</v>
      </c>
      <c r="D517" s="311">
        <v>175225.70651729614</v>
      </c>
    </row>
    <row r="518" spans="1:4">
      <c r="A518" s="312">
        <v>0.48937642056307951</v>
      </c>
      <c r="B518" s="314">
        <v>1.0231747550672068</v>
      </c>
      <c r="C518" s="313">
        <v>506</v>
      </c>
      <c r="D518" s="311">
        <v>176544.7647175421</v>
      </c>
    </row>
    <row r="519" spans="1:4">
      <c r="A519" s="312">
        <v>0.54928305817984602</v>
      </c>
      <c r="B519" s="314">
        <v>1.0308463862598585</v>
      </c>
      <c r="C519" s="313">
        <v>507</v>
      </c>
      <c r="D519" s="311">
        <v>90133.076382659143</v>
      </c>
    </row>
    <row r="520" spans="1:4">
      <c r="A520" s="312">
        <v>0.3310892292271046</v>
      </c>
      <c r="B520" s="314">
        <v>1.0048425362602866</v>
      </c>
      <c r="C520" s="313">
        <v>508</v>
      </c>
      <c r="D520" s="311">
        <v>212006.6356956996</v>
      </c>
    </row>
    <row r="521" spans="1:4">
      <c r="A521" s="312">
        <v>0.237431411047764</v>
      </c>
      <c r="B521" s="314">
        <v>0.99469584791555776</v>
      </c>
      <c r="C521" s="313">
        <v>509</v>
      </c>
      <c r="D521" s="311">
        <v>-19486.245900700334</v>
      </c>
    </row>
    <row r="522" spans="1:4">
      <c r="A522" s="312">
        <v>0.78253090496151101</v>
      </c>
      <c r="B522" s="314">
        <v>1.0672336028710177</v>
      </c>
      <c r="C522" s="313">
        <v>510</v>
      </c>
      <c r="D522" s="311">
        <v>52980.005101011833</v>
      </c>
    </row>
    <row r="523" spans="1:4">
      <c r="A523" s="312">
        <v>0.12056194508296314</v>
      </c>
      <c r="B523" s="314">
        <v>0.97897538335982515</v>
      </c>
      <c r="C523" s="313">
        <v>511</v>
      </c>
      <c r="D523" s="311">
        <v>34818.196306589525</v>
      </c>
    </row>
    <row r="524" spans="1:4">
      <c r="A524" s="312">
        <v>3.9331538847974024E-2</v>
      </c>
      <c r="B524" s="314">
        <v>0.96226156754329017</v>
      </c>
      <c r="C524" s="313">
        <v>512</v>
      </c>
      <c r="D524" s="311">
        <v>152724.84633368137</v>
      </c>
    </row>
    <row r="525" spans="1:4">
      <c r="A525" s="312">
        <v>0.25397983715668881</v>
      </c>
      <c r="B525" s="314">
        <v>0.99656983249201181</v>
      </c>
      <c r="C525" s="313">
        <v>513</v>
      </c>
      <c r="D525" s="311">
        <v>39475.21810186212</v>
      </c>
    </row>
    <row r="526" spans="1:4">
      <c r="A526" s="312">
        <v>0.34398642842980443</v>
      </c>
      <c r="B526" s="314">
        <v>1.006248730424872</v>
      </c>
      <c r="C526" s="313">
        <v>514</v>
      </c>
      <c r="D526" s="311">
        <v>218938.30847602291</v>
      </c>
    </row>
    <row r="527" spans="1:4">
      <c r="A527" s="312">
        <v>0.66599677991014394</v>
      </c>
      <c r="B527" s="314">
        <v>1.0474275795701862</v>
      </c>
      <c r="C527" s="313">
        <v>515</v>
      </c>
      <c r="D527" s="311">
        <v>57102.934423075523</v>
      </c>
    </row>
    <row r="528" spans="1:4">
      <c r="A528" s="312">
        <v>0.33481795561839189</v>
      </c>
      <c r="B528" s="314">
        <v>1.005247679127343</v>
      </c>
      <c r="C528" s="313">
        <v>516</v>
      </c>
      <c r="D528" s="311">
        <v>66165.94419497624</v>
      </c>
    </row>
    <row r="529" spans="1:4">
      <c r="A529" s="312">
        <v>0.19991051383355551</v>
      </c>
      <c r="B529" s="314">
        <v>0.99018836991079506</v>
      </c>
      <c r="C529" s="313">
        <v>517</v>
      </c>
      <c r="D529" s="311">
        <v>-8325.074398877332</v>
      </c>
    </row>
    <row r="530" spans="1:4">
      <c r="A530" s="312">
        <v>0.77767775712516585</v>
      </c>
      <c r="B530" s="314">
        <v>1.0663151707263658</v>
      </c>
      <c r="C530" s="313">
        <v>518</v>
      </c>
      <c r="D530" s="311">
        <v>89856.112271363847</v>
      </c>
    </row>
    <row r="531" spans="1:4">
      <c r="A531" s="312">
        <v>0.71376052083231101</v>
      </c>
      <c r="B531" s="314">
        <v>1.0550445178318693</v>
      </c>
      <c r="C531" s="313">
        <v>519</v>
      </c>
      <c r="D531" s="311">
        <v>175747.97572071454</v>
      </c>
    </row>
    <row r="532" spans="1:4">
      <c r="A532" s="312">
        <v>0.5014975494612316</v>
      </c>
      <c r="B532" s="314">
        <v>1.0246890779222688</v>
      </c>
      <c r="C532" s="313">
        <v>520</v>
      </c>
      <c r="D532" s="311">
        <v>106007.93553347024</v>
      </c>
    </row>
    <row r="533" spans="1:4">
      <c r="A533" s="312">
        <v>0.78673030297289503</v>
      </c>
      <c r="B533" s="314">
        <v>1.068036621248549</v>
      </c>
      <c r="C533" s="313">
        <v>521</v>
      </c>
      <c r="D533" s="311">
        <v>51514.570842233719</v>
      </c>
    </row>
    <row r="534" spans="1:4">
      <c r="A534" s="312">
        <v>0.99667407100045879</v>
      </c>
      <c r="B534" s="314">
        <v>1.1397644363376729</v>
      </c>
      <c r="C534" s="313">
        <v>522</v>
      </c>
      <c r="D534" s="311">
        <v>-30890.28197231004</v>
      </c>
    </row>
    <row r="535" spans="1:4">
      <c r="A535" s="312">
        <v>0.44421636515391549</v>
      </c>
      <c r="B535" s="314">
        <v>1.0176852823845675</v>
      </c>
      <c r="C535" s="313">
        <v>523</v>
      </c>
      <c r="D535" s="311">
        <v>88120.390938686207</v>
      </c>
    </row>
    <row r="536" spans="1:4">
      <c r="A536" s="312">
        <v>0.87616725793606121</v>
      </c>
      <c r="B536" s="314">
        <v>1.0875441646039854</v>
      </c>
      <c r="C536" s="313">
        <v>524</v>
      </c>
      <c r="D536" s="311">
        <v>283653.21265365952</v>
      </c>
    </row>
    <row r="537" spans="1:4">
      <c r="A537" s="312">
        <v>0.20711748761797677</v>
      </c>
      <c r="B537" s="314">
        <v>0.99108503052741093</v>
      </c>
      <c r="C537" s="313">
        <v>525</v>
      </c>
      <c r="D537" s="311">
        <v>156974.43372766464</v>
      </c>
    </row>
    <row r="538" spans="1:4">
      <c r="A538" s="312">
        <v>0.39209901255893831</v>
      </c>
      <c r="B538" s="314">
        <v>1.0116205177622295</v>
      </c>
      <c r="C538" s="313">
        <v>526</v>
      </c>
      <c r="D538" s="311">
        <v>91695.146553176222</v>
      </c>
    </row>
    <row r="539" spans="1:4">
      <c r="A539" s="312">
        <v>0.78969154647841433</v>
      </c>
      <c r="B539" s="314">
        <v>1.0686076398798392</v>
      </c>
      <c r="C539" s="313">
        <v>527</v>
      </c>
      <c r="D539" s="311">
        <v>174272.99621690623</v>
      </c>
    </row>
    <row r="540" spans="1:4">
      <c r="A540" s="312">
        <v>0.61113954813920845</v>
      </c>
      <c r="B540" s="314">
        <v>1.0393243286281264</v>
      </c>
      <c r="C540" s="313">
        <v>528</v>
      </c>
      <c r="D540" s="311">
        <v>188179.60521089495</v>
      </c>
    </row>
    <row r="541" spans="1:4">
      <c r="A541" s="312">
        <v>0.6535106854836229</v>
      </c>
      <c r="B541" s="314">
        <v>1.0455279300134916</v>
      </c>
      <c r="C541" s="313">
        <v>529</v>
      </c>
      <c r="D541" s="311">
        <v>-17542.862643746193</v>
      </c>
    </row>
    <row r="542" spans="1:4">
      <c r="A542" s="312">
        <v>0.22313539672979443</v>
      </c>
      <c r="B542" s="314">
        <v>0.99302363622758638</v>
      </c>
      <c r="C542" s="313">
        <v>530</v>
      </c>
      <c r="D542" s="311">
        <v>78336.25698987674</v>
      </c>
    </row>
    <row r="543" spans="1:4">
      <c r="A543" s="312">
        <v>0.62608204858415495</v>
      </c>
      <c r="B543" s="314">
        <v>1.0414715914168133</v>
      </c>
      <c r="C543" s="313">
        <v>531</v>
      </c>
      <c r="D543" s="311">
        <v>-38832.198303078767</v>
      </c>
    </row>
    <row r="544" spans="1:4">
      <c r="A544" s="312">
        <v>0.44554336235194669</v>
      </c>
      <c r="B544" s="314">
        <v>1.0178433350681333</v>
      </c>
      <c r="C544" s="313">
        <v>532</v>
      </c>
      <c r="D544" s="311">
        <v>-50124.326774857705</v>
      </c>
    </row>
    <row r="545" spans="1:4">
      <c r="A545" s="312">
        <v>0.12585244092518544</v>
      </c>
      <c r="B545" s="314">
        <v>0.97982136054503077</v>
      </c>
      <c r="C545" s="313">
        <v>533</v>
      </c>
      <c r="D545" s="311">
        <v>218100.01707305526</v>
      </c>
    </row>
    <row r="546" spans="1:4">
      <c r="A546" s="312">
        <v>0.27575558621506724</v>
      </c>
      <c r="B546" s="314">
        <v>0.99894506244215742</v>
      </c>
      <c r="C546" s="313">
        <v>534</v>
      </c>
      <c r="D546" s="311">
        <v>13055.593665195862</v>
      </c>
    </row>
    <row r="547" spans="1:4">
      <c r="A547" s="312">
        <v>0.17608154503952089</v>
      </c>
      <c r="B547" s="314">
        <v>0.98710230851559144</v>
      </c>
      <c r="C547" s="313">
        <v>535</v>
      </c>
      <c r="D547" s="311">
        <v>234971.21656337706</v>
      </c>
    </row>
    <row r="548" spans="1:4">
      <c r="A548" s="312">
        <v>0.48122286150972926</v>
      </c>
      <c r="B548" s="314">
        <v>1.0221662021903302</v>
      </c>
      <c r="C548" s="313">
        <v>536</v>
      </c>
      <c r="D548" s="311">
        <v>-25669.429942848394</v>
      </c>
    </row>
    <row r="549" spans="1:4">
      <c r="A549" s="312">
        <v>0.12502030588335311</v>
      </c>
      <c r="B549" s="314">
        <v>0.97968949299411934</v>
      </c>
      <c r="C549" s="313">
        <v>537</v>
      </c>
      <c r="D549" s="311">
        <v>138328.67470099241</v>
      </c>
    </row>
    <row r="550" spans="1:4">
      <c r="A550" s="312">
        <v>0.44193960056599413</v>
      </c>
      <c r="B550" s="314">
        <v>1.017414546113945</v>
      </c>
      <c r="C550" s="313">
        <v>538</v>
      </c>
      <c r="D550" s="311">
        <v>57718.869548901683</v>
      </c>
    </row>
    <row r="551" spans="1:4">
      <c r="A551" s="312">
        <v>0.90728471947693534</v>
      </c>
      <c r="B551" s="314">
        <v>1.0959580594678859</v>
      </c>
      <c r="C551" s="313">
        <v>539</v>
      </c>
      <c r="D551" s="311">
        <v>19744.503477252554</v>
      </c>
    </row>
    <row r="552" spans="1:4">
      <c r="A552" s="312">
        <v>0.8622562407633092</v>
      </c>
      <c r="B552" s="314">
        <v>1.0841294571454299</v>
      </c>
      <c r="C552" s="313">
        <v>540</v>
      </c>
      <c r="D552" s="311">
        <v>11370.965232813964</v>
      </c>
    </row>
    <row r="553" spans="1:4">
      <c r="A553" s="312">
        <v>0.54177184442007831</v>
      </c>
      <c r="B553" s="314">
        <v>1.0298576390244991</v>
      </c>
      <c r="C553" s="313">
        <v>541</v>
      </c>
      <c r="D553" s="311">
        <v>35524.216805214295</v>
      </c>
    </row>
    <row r="554" spans="1:4">
      <c r="A554" s="312">
        <v>0.61013190753905044</v>
      </c>
      <c r="B554" s="314">
        <v>1.0391810263875363</v>
      </c>
      <c r="C554" s="313">
        <v>542</v>
      </c>
      <c r="D554" s="311">
        <v>233704.60494249174</v>
      </c>
    </row>
    <row r="555" spans="1:4">
      <c r="A555" s="312">
        <v>0.49850515485609082</v>
      </c>
      <c r="B555" s="314">
        <v>1.0243135344516636</v>
      </c>
      <c r="C555" s="313">
        <v>543</v>
      </c>
      <c r="D555" s="311">
        <v>180552.80365950172</v>
      </c>
    </row>
    <row r="556" spans="1:4">
      <c r="A556" s="312">
        <v>0.84139523997654386</v>
      </c>
      <c r="B556" s="314">
        <v>1.079317258536904</v>
      </c>
      <c r="C556" s="313">
        <v>544</v>
      </c>
      <c r="D556" s="311">
        <v>185030.66870701965</v>
      </c>
    </row>
    <row r="557" spans="1:4">
      <c r="A557" s="312">
        <v>0.830966252081076</v>
      </c>
      <c r="B557" s="314">
        <v>1.0770303963321295</v>
      </c>
      <c r="C557" s="313">
        <v>545</v>
      </c>
      <c r="D557" s="311">
        <v>202817.81649118243</v>
      </c>
    </row>
    <row r="558" spans="1:4">
      <c r="A558" s="312">
        <v>0.36059909813846014</v>
      </c>
      <c r="B558" s="314">
        <v>1.0080805566222919</v>
      </c>
      <c r="C558" s="313">
        <v>546</v>
      </c>
      <c r="D558" s="311">
        <v>192029.44833437609</v>
      </c>
    </row>
    <row r="559" spans="1:4">
      <c r="A559" s="312">
        <v>0.54321269691105767</v>
      </c>
      <c r="B559" s="314">
        <v>1.0300466755471043</v>
      </c>
      <c r="C559" s="313">
        <v>547</v>
      </c>
      <c r="D559" s="311">
        <v>168716.04450997245</v>
      </c>
    </row>
    <row r="560" spans="1:4">
      <c r="A560" s="312">
        <v>0.29627640266146527</v>
      </c>
      <c r="B560" s="314">
        <v>1.0011131526421362</v>
      </c>
      <c r="C560" s="313">
        <v>548</v>
      </c>
      <c r="D560" s="311">
        <v>-55965.961526198778</v>
      </c>
    </row>
    <row r="561" spans="1:4">
      <c r="A561" s="312">
        <v>0.68899611760834778</v>
      </c>
      <c r="B561" s="314">
        <v>1.0510221120889263</v>
      </c>
      <c r="C561" s="313">
        <v>549</v>
      </c>
      <c r="D561" s="311">
        <v>151180.79196712282</v>
      </c>
    </row>
    <row r="562" spans="1:4">
      <c r="A562" s="312">
        <v>8.4445442850210717E-2</v>
      </c>
      <c r="B562" s="314">
        <v>0.97261920569101357</v>
      </c>
      <c r="C562" s="313">
        <v>550</v>
      </c>
      <c r="D562" s="311">
        <v>111240.44221926364</v>
      </c>
    </row>
    <row r="563" spans="1:4">
      <c r="A563" s="312">
        <v>0.7331549698230263</v>
      </c>
      <c r="B563" s="314">
        <v>1.0583178400637578</v>
      </c>
      <c r="C563" s="313">
        <v>551</v>
      </c>
      <c r="D563" s="311">
        <v>52940.5354385674</v>
      </c>
    </row>
    <row r="564" spans="1:4">
      <c r="A564" s="312">
        <v>0.54947413109989818</v>
      </c>
      <c r="B564" s="314">
        <v>1.0308716453972724</v>
      </c>
      <c r="C564" s="313">
        <v>552</v>
      </c>
      <c r="D564" s="311">
        <v>65641.429048023652</v>
      </c>
    </row>
    <row r="565" spans="1:4">
      <c r="A565" s="312">
        <v>0.45522451498275918</v>
      </c>
      <c r="B565" s="314">
        <v>1.0190021840714774</v>
      </c>
      <c r="C565" s="313">
        <v>553</v>
      </c>
      <c r="D565" s="311">
        <v>186913.05703900708</v>
      </c>
    </row>
    <row r="566" spans="1:4">
      <c r="A566" s="312">
        <v>0.6775765068205285</v>
      </c>
      <c r="B566" s="314">
        <v>1.0492213314478041</v>
      </c>
      <c r="C566" s="313">
        <v>554</v>
      </c>
      <c r="D566" s="311">
        <v>191705.07542913803</v>
      </c>
    </row>
    <row r="567" spans="1:4">
      <c r="A567" s="312">
        <v>0.16544101848749582</v>
      </c>
      <c r="B567" s="314">
        <v>0.98565694725824804</v>
      </c>
      <c r="C567" s="313">
        <v>555</v>
      </c>
      <c r="D567" s="311">
        <v>142078.69650276378</v>
      </c>
    </row>
    <row r="568" spans="1:4">
      <c r="A568" s="312">
        <v>0.7527698129612006</v>
      </c>
      <c r="B568" s="314">
        <v>1.0617517655036532</v>
      </c>
      <c r="C568" s="313">
        <v>556</v>
      </c>
      <c r="D568" s="311">
        <v>202103.34001174872</v>
      </c>
    </row>
    <row r="569" spans="1:4">
      <c r="A569" s="312">
        <v>0.58700663599767455</v>
      </c>
      <c r="B569" s="314">
        <v>1.0359417211857322</v>
      </c>
      <c r="C569" s="313">
        <v>557</v>
      </c>
      <c r="D569" s="311">
        <v>164080.02945742034</v>
      </c>
    </row>
    <row r="570" spans="1:4">
      <c r="A570" s="312">
        <v>0.44630069370778747</v>
      </c>
      <c r="B570" s="314">
        <v>1.017933622188671</v>
      </c>
      <c r="C570" s="313">
        <v>558</v>
      </c>
      <c r="D570" s="311">
        <v>-12777.402527990052</v>
      </c>
    </row>
    <row r="571" spans="1:4">
      <c r="A571" s="312">
        <v>1.6733042488276673E-2</v>
      </c>
      <c r="B571" s="314">
        <v>0.95452020438397078</v>
      </c>
      <c r="C571" s="313">
        <v>559</v>
      </c>
      <c r="D571" s="311">
        <v>207238.51979369647</v>
      </c>
    </row>
    <row r="572" spans="1:4">
      <c r="A572" s="312">
        <v>7.8183987564014346E-2</v>
      </c>
      <c r="B572" s="314">
        <v>0.9713865933689303</v>
      </c>
      <c r="C572" s="313">
        <v>560</v>
      </c>
      <c r="D572" s="311">
        <v>-8524.7327669274528</v>
      </c>
    </row>
    <row r="573" spans="1:4">
      <c r="A573" s="312">
        <v>0.75629725950166726</v>
      </c>
      <c r="B573" s="314">
        <v>1.0623835841540097</v>
      </c>
      <c r="C573" s="313">
        <v>561</v>
      </c>
      <c r="D573" s="311">
        <v>150517.57707232423</v>
      </c>
    </row>
    <row r="574" spans="1:4">
      <c r="A574" s="312">
        <v>0.31097005023268065</v>
      </c>
      <c r="B574" s="314">
        <v>1.002675720203116</v>
      </c>
      <c r="C574" s="313">
        <v>562</v>
      </c>
      <c r="D574" s="311">
        <v>166290.77948711696</v>
      </c>
    </row>
    <row r="575" spans="1:4">
      <c r="A575" s="312">
        <v>0.18368988859419866</v>
      </c>
      <c r="B575" s="314">
        <v>0.98810917372276208</v>
      </c>
      <c r="C575" s="313">
        <v>563</v>
      </c>
      <c r="D575" s="311">
        <v>3236.8495475428645</v>
      </c>
    </row>
    <row r="576" spans="1:4">
      <c r="A576" s="312">
        <v>0.87181409287254341</v>
      </c>
      <c r="B576" s="314">
        <v>1.0864558730131975</v>
      </c>
      <c r="C576" s="313">
        <v>564</v>
      </c>
      <c r="D576" s="311">
        <v>93973.302925862372</v>
      </c>
    </row>
    <row r="577" spans="1:4">
      <c r="A577" s="312">
        <v>6.6704928221258619E-2</v>
      </c>
      <c r="B577" s="314">
        <v>0.96899106923843714</v>
      </c>
      <c r="C577" s="313">
        <v>565</v>
      </c>
      <c r="D577" s="311">
        <v>164025.94049194478</v>
      </c>
    </row>
    <row r="578" spans="1:4">
      <c r="A578" s="312">
        <v>0.95537522395815522</v>
      </c>
      <c r="B578" s="314">
        <v>1.1125075948315113</v>
      </c>
      <c r="C578" s="313">
        <v>566</v>
      </c>
      <c r="D578" s="311">
        <v>86660.827228110051</v>
      </c>
    </row>
    <row r="579" spans="1:4">
      <c r="A579" s="312">
        <v>0.13577357314781657</v>
      </c>
      <c r="B579" s="314">
        <v>0.98136117771126063</v>
      </c>
      <c r="C579" s="313">
        <v>567</v>
      </c>
      <c r="D579" s="311">
        <v>177363.31126922159</v>
      </c>
    </row>
    <row r="580" spans="1:4">
      <c r="A580" s="312">
        <v>0.26260809060013213</v>
      </c>
      <c r="B580" s="314">
        <v>0.99752270805135712</v>
      </c>
      <c r="C580" s="313">
        <v>568</v>
      </c>
      <c r="D580" s="311">
        <v>-22968.914393693674</v>
      </c>
    </row>
    <row r="581" spans="1:4">
      <c r="A581" s="312">
        <v>0.23813533354394001</v>
      </c>
      <c r="B581" s="314">
        <v>0.99477686740453164</v>
      </c>
      <c r="C581" s="313">
        <v>569</v>
      </c>
      <c r="D581" s="311">
        <v>155331.73003764823</v>
      </c>
    </row>
    <row r="582" spans="1:4">
      <c r="A582" s="312">
        <v>0.82858494844408126</v>
      </c>
      <c r="B582" s="314">
        <v>1.0765182054927109</v>
      </c>
      <c r="C582" s="313">
        <v>570</v>
      </c>
      <c r="D582" s="311">
        <v>210932.92344244756</v>
      </c>
    </row>
    <row r="583" spans="1:4">
      <c r="A583" s="312">
        <v>0.62288844187286319</v>
      </c>
      <c r="B583" s="314">
        <v>1.0410091101008676</v>
      </c>
      <c r="C583" s="313">
        <v>571</v>
      </c>
      <c r="D583" s="311">
        <v>113542.90687860455</v>
      </c>
    </row>
    <row r="584" spans="1:4">
      <c r="A584" s="312">
        <v>0.40176009752966702</v>
      </c>
      <c r="B584" s="314">
        <v>1.0127245217534628</v>
      </c>
      <c r="C584" s="313">
        <v>572</v>
      </c>
      <c r="D584" s="311">
        <v>142061.7869662398</v>
      </c>
    </row>
    <row r="585" spans="1:4">
      <c r="A585" s="312">
        <v>0.75759706609167288</v>
      </c>
      <c r="B585" s="314">
        <v>1.0626175508576676</v>
      </c>
      <c r="C585" s="313">
        <v>573</v>
      </c>
      <c r="D585" s="311">
        <v>20710.952168790158</v>
      </c>
    </row>
    <row r="586" spans="1:4">
      <c r="A586" s="312">
        <v>0.86482575269344542</v>
      </c>
      <c r="B586" s="314">
        <v>1.0847467334905256</v>
      </c>
      <c r="C586" s="313">
        <v>574</v>
      </c>
      <c r="D586" s="311">
        <v>-44973.88159804116</v>
      </c>
    </row>
    <row r="587" spans="1:4">
      <c r="A587" s="312">
        <v>0.6865278785635589</v>
      </c>
      <c r="B587" s="314">
        <v>1.050630126168703</v>
      </c>
      <c r="C587" s="313">
        <v>575</v>
      </c>
      <c r="D587" s="311">
        <v>283056.99120629812</v>
      </c>
    </row>
    <row r="588" spans="1:4">
      <c r="A588" s="312">
        <v>0.79317686301840207</v>
      </c>
      <c r="B588" s="314">
        <v>1.0692848910369295</v>
      </c>
      <c r="C588" s="313">
        <v>576</v>
      </c>
      <c r="D588" s="311">
        <v>177502.89300526213</v>
      </c>
    </row>
    <row r="589" spans="1:4">
      <c r="A589" s="312">
        <v>0.15673565282887758</v>
      </c>
      <c r="B589" s="314">
        <v>0.9844395007357627</v>
      </c>
      <c r="C589" s="313">
        <v>577</v>
      </c>
      <c r="D589" s="311">
        <v>139047.20660416223</v>
      </c>
    </row>
    <row r="590" spans="1:4">
      <c r="A590" s="312">
        <v>0.35707192279106981</v>
      </c>
      <c r="B590" s="314">
        <v>1.0076896545149254</v>
      </c>
      <c r="C590" s="313">
        <v>578</v>
      </c>
      <c r="D590" s="311">
        <v>-65861.026498758467</v>
      </c>
    </row>
    <row r="591" spans="1:4">
      <c r="A591" s="312">
        <v>0.89624600803886367</v>
      </c>
      <c r="B591" s="314">
        <v>1.0928313832004324</v>
      </c>
      <c r="C591" s="313">
        <v>579</v>
      </c>
      <c r="D591" s="311">
        <v>99073.201907547424</v>
      </c>
    </row>
    <row r="592" spans="1:4">
      <c r="A592" s="312">
        <v>0.15007374754918612</v>
      </c>
      <c r="B592" s="314">
        <v>0.98348481596051363</v>
      </c>
      <c r="C592" s="313">
        <v>580</v>
      </c>
      <c r="D592" s="311">
        <v>184907.87118277024</v>
      </c>
    </row>
    <row r="593" spans="1:4">
      <c r="A593" s="312">
        <v>0.1784828672563249</v>
      </c>
      <c r="B593" s="314">
        <v>0.98742240111413271</v>
      </c>
      <c r="C593" s="313">
        <v>581</v>
      </c>
      <c r="D593" s="311">
        <v>146712.21318203816</v>
      </c>
    </row>
    <row r="594" spans="1:4">
      <c r="A594" s="312">
        <v>0.7892945833513888</v>
      </c>
      <c r="B594" s="314">
        <v>1.0685308609077568</v>
      </c>
      <c r="C594" s="313">
        <v>582</v>
      </c>
      <c r="D594" s="311">
        <v>-49855.023099781713</v>
      </c>
    </row>
    <row r="595" spans="1:4">
      <c r="A595" s="312">
        <v>0.16214232372503112</v>
      </c>
      <c r="B595" s="314">
        <v>0.98519948317110928</v>
      </c>
      <c r="C595" s="313">
        <v>583</v>
      </c>
      <c r="D595" s="311">
        <v>198975.31586291944</v>
      </c>
    </row>
    <row r="596" spans="1:4">
      <c r="A596" s="312">
        <v>0.66483022393663227</v>
      </c>
      <c r="B596" s="314">
        <v>1.0472486109777777</v>
      </c>
      <c r="C596" s="313">
        <v>584</v>
      </c>
      <c r="D596" s="311">
        <v>240313.82013019873</v>
      </c>
    </row>
    <row r="597" spans="1:4">
      <c r="A597" s="312">
        <v>0.32050690827474515</v>
      </c>
      <c r="B597" s="314">
        <v>1.00369882984287</v>
      </c>
      <c r="C597" s="313">
        <v>585</v>
      </c>
      <c r="D597" s="311">
        <v>168990.39149135794</v>
      </c>
    </row>
    <row r="598" spans="1:4">
      <c r="A598" s="312">
        <v>0.33106572260004041</v>
      </c>
      <c r="B598" s="314">
        <v>1.0048399857464227</v>
      </c>
      <c r="C598" s="313">
        <v>586</v>
      </c>
      <c r="D598" s="311">
        <v>171530.88621384557</v>
      </c>
    </row>
    <row r="599" spans="1:4">
      <c r="A599" s="312">
        <v>0.65024271787090593</v>
      </c>
      <c r="B599" s="314">
        <v>1.0450364139948216</v>
      </c>
      <c r="C599" s="313">
        <v>587</v>
      </c>
      <c r="D599" s="311">
        <v>42204.074121062411</v>
      </c>
    </row>
    <row r="600" spans="1:4">
      <c r="A600" s="312">
        <v>0.34017057738595791</v>
      </c>
      <c r="B600" s="314">
        <v>1.0058312557717786</v>
      </c>
      <c r="C600" s="313">
        <v>588</v>
      </c>
      <c r="D600" s="311">
        <v>168887.46733450401</v>
      </c>
    </row>
    <row r="601" spans="1:4">
      <c r="A601" s="312">
        <v>0.81420947882192363</v>
      </c>
      <c r="B601" s="314">
        <v>1.0734990103520914</v>
      </c>
      <c r="C601" s="313">
        <v>589</v>
      </c>
      <c r="D601" s="311">
        <v>34977.559179073898</v>
      </c>
    </row>
    <row r="602" spans="1:4">
      <c r="A602" s="312">
        <v>0.32068245585427302</v>
      </c>
      <c r="B602" s="314">
        <v>1.0037177295753501</v>
      </c>
      <c r="C602" s="313">
        <v>590</v>
      </c>
      <c r="D602" s="311">
        <v>174685.7618828984</v>
      </c>
    </row>
    <row r="603" spans="1:4">
      <c r="A603" s="312">
        <v>0.74736058607530986</v>
      </c>
      <c r="B603" s="314">
        <v>1.0607915837007083</v>
      </c>
      <c r="C603" s="313">
        <v>591</v>
      </c>
      <c r="D603" s="311">
        <v>108272.32899917453</v>
      </c>
    </row>
    <row r="604" spans="1:4">
      <c r="A604" s="312">
        <v>0.91565195603709448</v>
      </c>
      <c r="B604" s="314">
        <v>1.0984542592949569</v>
      </c>
      <c r="C604" s="313">
        <v>592</v>
      </c>
      <c r="D604" s="311">
        <v>5837.9874642083887</v>
      </c>
    </row>
    <row r="605" spans="1:4">
      <c r="A605" s="312">
        <v>0.61960925883141005</v>
      </c>
      <c r="B605" s="314">
        <v>1.0405362692632367</v>
      </c>
      <c r="C605" s="313">
        <v>593</v>
      </c>
      <c r="D605" s="311">
        <v>154882.50901653175</v>
      </c>
    </row>
    <row r="606" spans="1:4">
      <c r="A606" s="312">
        <v>0.79218168353149265</v>
      </c>
      <c r="B606" s="314">
        <v>1.06909093395201</v>
      </c>
      <c r="C606" s="313">
        <v>594</v>
      </c>
      <c r="D606" s="311">
        <v>161196.72404290223</v>
      </c>
    </row>
    <row r="607" spans="1:4">
      <c r="A607" s="312">
        <v>0.88941429986687726</v>
      </c>
      <c r="B607" s="314">
        <v>1.0909792447168509</v>
      </c>
      <c r="C607" s="313">
        <v>595</v>
      </c>
      <c r="D607" s="311">
        <v>112520.91525577824</v>
      </c>
    </row>
    <row r="608" spans="1:4">
      <c r="A608" s="312">
        <v>0.2522559358376989</v>
      </c>
      <c r="B608" s="314">
        <v>0.99637752026787807</v>
      </c>
      <c r="C608" s="313">
        <v>596</v>
      </c>
      <c r="D608" s="311">
        <v>65330.66286122147</v>
      </c>
    </row>
    <row r="609" spans="1:4">
      <c r="A609" s="312">
        <v>0.677008239015501</v>
      </c>
      <c r="B609" s="314">
        <v>1.0491325599065202</v>
      </c>
      <c r="C609" s="313">
        <v>597</v>
      </c>
      <c r="D609" s="311">
        <v>-45023.064438930945</v>
      </c>
    </row>
    <row r="610" spans="1:4">
      <c r="A610" s="312">
        <v>0.83109894534966211</v>
      </c>
      <c r="B610" s="314">
        <v>1.0770590429080777</v>
      </c>
      <c r="C610" s="313">
        <v>598</v>
      </c>
      <c r="D610" s="311">
        <v>202058.80396377062</v>
      </c>
    </row>
    <row r="611" spans="1:4">
      <c r="A611" s="312">
        <v>0.5079620593536136</v>
      </c>
      <c r="B611" s="314">
        <v>1.0255042364963323</v>
      </c>
      <c r="C611" s="313">
        <v>599</v>
      </c>
      <c r="D611" s="311">
        <v>158927.51695127948</v>
      </c>
    </row>
    <row r="612" spans="1:4">
      <c r="A612" s="312">
        <v>0.89309798497699444</v>
      </c>
      <c r="B612" s="314">
        <v>1.0919705809677136</v>
      </c>
      <c r="C612" s="313">
        <v>600</v>
      </c>
      <c r="D612" s="311">
        <v>179235.6729016134</v>
      </c>
    </row>
    <row r="613" spans="1:4">
      <c r="A613" s="312">
        <v>0.58782864754742847</v>
      </c>
      <c r="B613" s="314">
        <v>1.0360552870807249</v>
      </c>
      <c r="C613" s="313">
        <v>601</v>
      </c>
      <c r="D613" s="311">
        <v>92640.558187055169</v>
      </c>
    </row>
    <row r="614" spans="1:4">
      <c r="A614" s="312">
        <v>7.1940173471346958E-2</v>
      </c>
      <c r="B614" s="314">
        <v>0.97010724473841747</v>
      </c>
      <c r="C614" s="313">
        <v>602</v>
      </c>
      <c r="D614" s="311">
        <v>-5634.0660043398384</v>
      </c>
    </row>
    <row r="615" spans="1:4">
      <c r="A615" s="312">
        <v>0.84067036540837925</v>
      </c>
      <c r="B615" s="314">
        <v>1.0791559212803494</v>
      </c>
      <c r="C615" s="313">
        <v>603</v>
      </c>
      <c r="D615" s="311">
        <v>99534.654813072644</v>
      </c>
    </row>
    <row r="616" spans="1:4">
      <c r="A616" s="312">
        <v>0.43753151360030251</v>
      </c>
      <c r="B616" s="314">
        <v>1.0168919336719577</v>
      </c>
      <c r="C616" s="313">
        <v>604</v>
      </c>
      <c r="D616" s="311">
        <v>51934.861983035458</v>
      </c>
    </row>
    <row r="617" spans="1:4">
      <c r="A617" s="312">
        <v>0.9454025001808557</v>
      </c>
      <c r="B617" s="314">
        <v>1.1085292724406353</v>
      </c>
      <c r="C617" s="313">
        <v>605</v>
      </c>
      <c r="D617" s="311">
        <v>86031.696482090279</v>
      </c>
    </row>
    <row r="618" spans="1:4">
      <c r="A618" s="312">
        <v>0.72177804620492292</v>
      </c>
      <c r="B618" s="314">
        <v>1.0563838072524581</v>
      </c>
      <c r="C618" s="313">
        <v>606</v>
      </c>
      <c r="D618" s="311">
        <v>-3999.9829168708529</v>
      </c>
    </row>
    <row r="619" spans="1:4">
      <c r="A619" s="312">
        <v>0.44428189133801599</v>
      </c>
      <c r="B619" s="314">
        <v>1.0176930824829915</v>
      </c>
      <c r="C619" s="313">
        <v>607</v>
      </c>
      <c r="D619" s="311">
        <v>61734.628219728125</v>
      </c>
    </row>
    <row r="620" spans="1:4">
      <c r="A620" s="312">
        <v>0.2263221757669589</v>
      </c>
      <c r="B620" s="314">
        <v>0.99340093084079784</v>
      </c>
      <c r="C620" s="313">
        <v>608</v>
      </c>
      <c r="D620" s="311">
        <v>123816.18199614855</v>
      </c>
    </row>
    <row r="621" spans="1:4">
      <c r="A621" s="312">
        <v>0.41020561097987285</v>
      </c>
      <c r="B621" s="314">
        <v>1.0136969433426601</v>
      </c>
      <c r="C621" s="313">
        <v>609</v>
      </c>
      <c r="D621" s="311">
        <v>1547.436867153272</v>
      </c>
    </row>
    <row r="622" spans="1:4">
      <c r="A622" s="312">
        <v>0.77984782905762573</v>
      </c>
      <c r="B622" s="314">
        <v>1.0667245931580951</v>
      </c>
      <c r="C622" s="313">
        <v>610</v>
      </c>
      <c r="D622" s="311">
        <v>180645.8678465907</v>
      </c>
    </row>
    <row r="623" spans="1:4">
      <c r="A623" s="312">
        <v>0.6601959287961322</v>
      </c>
      <c r="B623" s="314">
        <v>1.0465406928163452</v>
      </c>
      <c r="C623" s="313">
        <v>611</v>
      </c>
      <c r="D623" s="311">
        <v>183086.32520550489</v>
      </c>
    </row>
    <row r="624" spans="1:4">
      <c r="A624" s="312">
        <v>0.16131610389663276</v>
      </c>
      <c r="B624" s="314">
        <v>0.98508417581699337</v>
      </c>
      <c r="C624" s="313">
        <v>612</v>
      </c>
      <c r="D624" s="311">
        <v>247970.24508831976</v>
      </c>
    </row>
    <row r="625" spans="1:4">
      <c r="A625" s="312">
        <v>0.37395556466280611</v>
      </c>
      <c r="B625" s="314">
        <v>1.00957065935809</v>
      </c>
      <c r="C625" s="313">
        <v>613</v>
      </c>
      <c r="D625" s="311">
        <v>137993.51640791539</v>
      </c>
    </row>
    <row r="626" spans="1:4">
      <c r="A626" s="312">
        <v>0.50590421786589557</v>
      </c>
      <c r="B626" s="314">
        <v>1.0252441699269157</v>
      </c>
      <c r="C626" s="313">
        <v>614</v>
      </c>
      <c r="D626" s="311">
        <v>190994.37288108421</v>
      </c>
    </row>
    <row r="627" spans="1:4">
      <c r="A627" s="312">
        <v>0.28297790938910694</v>
      </c>
      <c r="B627" s="314">
        <v>0.99971198923417925</v>
      </c>
      <c r="C627" s="313">
        <v>615</v>
      </c>
      <c r="D627" s="311">
        <v>151732.59888698603</v>
      </c>
    </row>
    <row r="628" spans="1:4">
      <c r="A628" s="312">
        <v>0.6225060672446292</v>
      </c>
      <c r="B628" s="314">
        <v>1.0409538681025585</v>
      </c>
      <c r="C628" s="313">
        <v>616</v>
      </c>
      <c r="D628" s="311">
        <v>58107.162654750282</v>
      </c>
    </row>
    <row r="629" spans="1:4">
      <c r="A629" s="312">
        <v>0.94056453708362397</v>
      </c>
      <c r="B629" s="314">
        <v>1.1067308761139556</v>
      </c>
      <c r="C629" s="313">
        <v>617</v>
      </c>
      <c r="D629" s="311">
        <v>34215.367592009949</v>
      </c>
    </row>
    <row r="630" spans="1:4">
      <c r="A630" s="312">
        <v>0.94556415022263873</v>
      </c>
      <c r="B630" s="314">
        <v>1.1085907103660677</v>
      </c>
      <c r="C630" s="313">
        <v>618</v>
      </c>
      <c r="D630" s="311">
        <v>140505.25047532027</v>
      </c>
    </row>
    <row r="631" spans="1:4">
      <c r="A631" s="312">
        <v>3.8212706926926132E-2</v>
      </c>
      <c r="B631" s="314">
        <v>0.96194265497334508</v>
      </c>
      <c r="C631" s="313">
        <v>619</v>
      </c>
      <c r="D631" s="311">
        <v>180317.82023828966</v>
      </c>
    </row>
    <row r="632" spans="1:4">
      <c r="A632" s="312">
        <v>0.27044833822867709</v>
      </c>
      <c r="B632" s="314">
        <v>0.99837507226275035</v>
      </c>
      <c r="C632" s="313">
        <v>620</v>
      </c>
      <c r="D632" s="311">
        <v>244089.49225150142</v>
      </c>
    </row>
    <row r="633" spans="1:4">
      <c r="A633" s="312">
        <v>0.10440687622426681</v>
      </c>
      <c r="B633" s="314">
        <v>0.9762701894181125</v>
      </c>
      <c r="C633" s="313">
        <v>621</v>
      </c>
      <c r="D633" s="311">
        <v>123664.53034924483</v>
      </c>
    </row>
    <row r="634" spans="1:4">
      <c r="A634" s="312">
        <v>0.42982380317171076</v>
      </c>
      <c r="B634" s="314">
        <v>1.0159830227169291</v>
      </c>
      <c r="C634" s="313">
        <v>622</v>
      </c>
      <c r="D634" s="311">
        <v>106735.61473704991</v>
      </c>
    </row>
    <row r="635" spans="1:4">
      <c r="A635" s="312">
        <v>0.90790433680850569</v>
      </c>
      <c r="B635" s="314">
        <v>1.0961389436556237</v>
      </c>
      <c r="C635" s="313">
        <v>623</v>
      </c>
      <c r="D635" s="311">
        <v>146459.28028632049</v>
      </c>
    </row>
    <row r="636" spans="1:4">
      <c r="A636" s="312">
        <v>0.95470671632285664</v>
      </c>
      <c r="B636" s="314">
        <v>1.1122278086970054</v>
      </c>
      <c r="C636" s="313">
        <v>624</v>
      </c>
      <c r="D636" s="311">
        <v>80926.264785335632</v>
      </c>
    </row>
    <row r="637" spans="1:4">
      <c r="A637" s="312">
        <v>0.31397819662949134</v>
      </c>
      <c r="B637" s="314">
        <v>1.0029976639431502</v>
      </c>
      <c r="C637" s="313">
        <v>625</v>
      </c>
      <c r="D637" s="311">
        <v>180748.02025372395</v>
      </c>
    </row>
    <row r="638" spans="1:4">
      <c r="A638" s="312">
        <v>0.21196172569932725</v>
      </c>
      <c r="B638" s="314">
        <v>0.99167898744955751</v>
      </c>
      <c r="C638" s="313">
        <v>626</v>
      </c>
      <c r="D638" s="311">
        <v>88172.983902995009</v>
      </c>
    </row>
    <row r="639" spans="1:4">
      <c r="A639" s="312">
        <v>0.20706929539828844</v>
      </c>
      <c r="B639" s="314">
        <v>0.99107908693407143</v>
      </c>
      <c r="C639" s="313">
        <v>627</v>
      </c>
      <c r="D639" s="311">
        <v>98790.36666326574</v>
      </c>
    </row>
    <row r="640" spans="1:4">
      <c r="A640" s="312">
        <v>0.59598184869016435</v>
      </c>
      <c r="B640" s="314">
        <v>1.0371878917568693</v>
      </c>
      <c r="C640" s="313">
        <v>628</v>
      </c>
      <c r="D640" s="311">
        <v>194761.330519018</v>
      </c>
    </row>
    <row r="641" spans="1:4">
      <c r="A641" s="312">
        <v>0.22998239967891498</v>
      </c>
      <c r="B641" s="314">
        <v>0.9938310155575234</v>
      </c>
      <c r="C641" s="313">
        <v>629</v>
      </c>
      <c r="D641" s="311">
        <v>192763.32386989589</v>
      </c>
    </row>
    <row r="642" spans="1:4">
      <c r="A642" s="312">
        <v>0.87223973339039862</v>
      </c>
      <c r="B642" s="314">
        <v>1.0865614596778705</v>
      </c>
      <c r="C642" s="313">
        <v>630</v>
      </c>
      <c r="D642" s="311">
        <v>200430.33919906686</v>
      </c>
    </row>
    <row r="643" spans="1:4">
      <c r="A643" s="312">
        <v>0.78447130021598011</v>
      </c>
      <c r="B643" s="314">
        <v>1.0676036770043915</v>
      </c>
      <c r="C643" s="313">
        <v>631</v>
      </c>
      <c r="D643" s="311">
        <v>-16237.213581035612</v>
      </c>
    </row>
    <row r="644" spans="1:4">
      <c r="A644" s="312">
        <v>0.21481683985197864</v>
      </c>
      <c r="B644" s="314">
        <v>0.99202587992658009</v>
      </c>
      <c r="C644" s="313">
        <v>632</v>
      </c>
      <c r="D644" s="311">
        <v>-84696.65626360965</v>
      </c>
    </row>
    <row r="645" spans="1:4">
      <c r="A645" s="312">
        <v>0.73331950796898981</v>
      </c>
      <c r="B645" s="314">
        <v>1.0583461102899783</v>
      </c>
      <c r="C645" s="313">
        <v>633</v>
      </c>
      <c r="D645" s="311">
        <v>211062.44947752985</v>
      </c>
    </row>
    <row r="646" spans="1:4">
      <c r="A646" s="312">
        <v>0.39396011897626781</v>
      </c>
      <c r="B646" s="314">
        <v>1.0118325065283169</v>
      </c>
      <c r="C646" s="313">
        <v>634</v>
      </c>
      <c r="D646" s="311">
        <v>-44837.395789029775</v>
      </c>
    </row>
    <row r="647" spans="1:4">
      <c r="A647" s="312">
        <v>0.70120311726395479</v>
      </c>
      <c r="B647" s="314">
        <v>1.0529840126258283</v>
      </c>
      <c r="C647" s="313">
        <v>635</v>
      </c>
      <c r="D647" s="311">
        <v>257586.01240472309</v>
      </c>
    </row>
    <row r="648" spans="1:4">
      <c r="A648" s="312">
        <v>0.74410699155669979</v>
      </c>
      <c r="B648" s="314">
        <v>1.060218989947963</v>
      </c>
      <c r="C648" s="313">
        <v>636</v>
      </c>
      <c r="D648" s="311">
        <v>230479.39533657487</v>
      </c>
    </row>
    <row r="649" spans="1:4">
      <c r="A649" s="312">
        <v>0.10429359308363362</v>
      </c>
      <c r="B649" s="314">
        <v>0.97625050720822792</v>
      </c>
      <c r="C649" s="313">
        <v>637</v>
      </c>
      <c r="D649" s="311">
        <v>69554.332985193701</v>
      </c>
    </row>
    <row r="650" spans="1:4">
      <c r="A650" s="312">
        <v>0.89769804291277422</v>
      </c>
      <c r="B650" s="314">
        <v>1.0932328294852771</v>
      </c>
      <c r="C650" s="313">
        <v>638</v>
      </c>
      <c r="D650" s="311">
        <v>168082.93766652746</v>
      </c>
    </row>
    <row r="651" spans="1:4">
      <c r="A651" s="312">
        <v>0.93001128362681729</v>
      </c>
      <c r="B651" s="314">
        <v>1.1030463572685221</v>
      </c>
      <c r="C651" s="313">
        <v>639</v>
      </c>
      <c r="D651" s="311">
        <v>194939.80993073992</v>
      </c>
    </row>
    <row r="652" spans="1:4">
      <c r="A652" s="312">
        <v>0.89312661745723199</v>
      </c>
      <c r="B652" s="314">
        <v>1.091978352745745</v>
      </c>
      <c r="C652" s="313">
        <v>640</v>
      </c>
      <c r="D652" s="311">
        <v>139641.88005216559</v>
      </c>
    </row>
    <row r="653" spans="1:4">
      <c r="A653" s="312">
        <v>3.9442416243027134E-2</v>
      </c>
      <c r="B653" s="314">
        <v>0.96229292364545616</v>
      </c>
      <c r="C653" s="313">
        <v>641</v>
      </c>
      <c r="D653" s="311">
        <v>190837.38536517601</v>
      </c>
    </row>
    <row r="654" spans="1:4">
      <c r="A654" s="312">
        <v>2.73118914645053E-2</v>
      </c>
      <c r="B654" s="314">
        <v>0.95855073670916513</v>
      </c>
      <c r="C654" s="313">
        <v>642</v>
      </c>
      <c r="D654" s="311">
        <v>51482.32424191176</v>
      </c>
    </row>
    <row r="655" spans="1:4">
      <c r="A655" s="312">
        <v>0.29852476604470857</v>
      </c>
      <c r="B655" s="314">
        <v>1.0013511861144138</v>
      </c>
      <c r="C655" s="313">
        <v>643</v>
      </c>
      <c r="D655" s="311">
        <v>201241.38479702035</v>
      </c>
    </row>
    <row r="656" spans="1:4">
      <c r="A656" s="312">
        <v>0.91155862040058921</v>
      </c>
      <c r="B656" s="314">
        <v>1.0972183416575281</v>
      </c>
      <c r="C656" s="313">
        <v>644</v>
      </c>
      <c r="D656" s="311">
        <v>216792.31989422208</v>
      </c>
    </row>
    <row r="657" spans="1:4">
      <c r="A657" s="312">
        <v>7.5853344140184298E-2</v>
      </c>
      <c r="B657" s="314">
        <v>0.97091524116299788</v>
      </c>
      <c r="C657" s="313">
        <v>645</v>
      </c>
      <c r="D657" s="311">
        <v>141067.31345699495</v>
      </c>
    </row>
    <row r="658" spans="1:4">
      <c r="A658" s="312">
        <v>0.60884680105371847</v>
      </c>
      <c r="B658" s="314">
        <v>1.038998532591646</v>
      </c>
      <c r="C658" s="313">
        <v>646</v>
      </c>
      <c r="D658" s="311">
        <v>-5605.8050213339739</v>
      </c>
    </row>
    <row r="659" spans="1:4">
      <c r="A659" s="312">
        <v>0.23791434205680861</v>
      </c>
      <c r="B659" s="314">
        <v>0.99475144482034961</v>
      </c>
      <c r="C659" s="313">
        <v>647</v>
      </c>
      <c r="D659" s="311">
        <v>173925.99680987722</v>
      </c>
    </row>
    <row r="660" spans="1:4">
      <c r="A660" s="312">
        <v>0.38239420649203981</v>
      </c>
      <c r="B660" s="314">
        <v>1.0105203151154236</v>
      </c>
      <c r="C660" s="313">
        <v>648</v>
      </c>
      <c r="D660" s="311">
        <v>92188.11686822935</v>
      </c>
    </row>
    <row r="661" spans="1:4">
      <c r="A661" s="312">
        <v>0.23412366658293393</v>
      </c>
      <c r="B661" s="314">
        <v>0.99431351764473519</v>
      </c>
      <c r="C661" s="313">
        <v>649</v>
      </c>
      <c r="D661" s="311">
        <v>183469.75254073041</v>
      </c>
    </row>
    <row r="662" spans="1:4">
      <c r="A662" s="312">
        <v>0.78796647095160688</v>
      </c>
      <c r="B662" s="314">
        <v>1.0682745072512598</v>
      </c>
      <c r="C662" s="313">
        <v>650</v>
      </c>
      <c r="D662" s="311">
        <v>20145.554431523196</v>
      </c>
    </row>
    <row r="663" spans="1:4">
      <c r="A663" s="312">
        <v>0.18611241433033365</v>
      </c>
      <c r="B663" s="314">
        <v>0.98842536959654725</v>
      </c>
      <c r="C663" s="313">
        <v>651</v>
      </c>
      <c r="D663" s="311">
        <v>244350.0458708168</v>
      </c>
    </row>
    <row r="664" spans="1:4">
      <c r="A664" s="312">
        <v>0.91951695102320397</v>
      </c>
      <c r="B664" s="314">
        <v>1.0996490710833546</v>
      </c>
      <c r="C664" s="313">
        <v>652</v>
      </c>
      <c r="D664" s="311">
        <v>106525.39439286478</v>
      </c>
    </row>
    <row r="665" spans="1:4">
      <c r="A665" s="312">
        <v>0.10053389413964164</v>
      </c>
      <c r="B665" s="314">
        <v>0.97559110936960913</v>
      </c>
      <c r="C665" s="313">
        <v>653</v>
      </c>
      <c r="D665" s="311">
        <v>-57886.676488341996</v>
      </c>
    </row>
    <row r="666" spans="1:4">
      <c r="A666" s="312">
        <v>0.46766914112581359</v>
      </c>
      <c r="B666" s="314">
        <v>1.0205070578968225</v>
      </c>
      <c r="C666" s="313">
        <v>654</v>
      </c>
      <c r="D666" s="311">
        <v>-94104.943209732184</v>
      </c>
    </row>
    <row r="667" spans="1:4">
      <c r="A667" s="312">
        <v>0.10126027334492327</v>
      </c>
      <c r="B667" s="314">
        <v>0.97571945470112931</v>
      </c>
      <c r="C667" s="313">
        <v>655</v>
      </c>
      <c r="D667" s="311">
        <v>211428.47131167562</v>
      </c>
    </row>
    <row r="668" spans="1:4">
      <c r="A668" s="312">
        <v>0.41468648116560103</v>
      </c>
      <c r="B668" s="314">
        <v>1.0142157010428541</v>
      </c>
      <c r="C668" s="313">
        <v>656</v>
      </c>
      <c r="D668" s="311">
        <v>115966.76934168767</v>
      </c>
    </row>
    <row r="669" spans="1:4">
      <c r="A669" s="312">
        <v>0.1386781242209959</v>
      </c>
      <c r="B669" s="314">
        <v>0.9818012483687335</v>
      </c>
      <c r="C669" s="313">
        <v>657</v>
      </c>
      <c r="D669" s="311">
        <v>237831.83165339939</v>
      </c>
    </row>
    <row r="670" spans="1:4">
      <c r="A670" s="312">
        <v>0.34944457719345112</v>
      </c>
      <c r="B670" s="314">
        <v>1.0068479975047282</v>
      </c>
      <c r="C670" s="313">
        <v>658</v>
      </c>
      <c r="D670" s="311">
        <v>123185.00449467613</v>
      </c>
    </row>
    <row r="671" spans="1:4">
      <c r="A671" s="312">
        <v>0.58770160100490065</v>
      </c>
      <c r="B671" s="314">
        <v>1.0360377274342705</v>
      </c>
      <c r="C671" s="313">
        <v>659</v>
      </c>
      <c r="D671" s="311">
        <v>120651.57038647239</v>
      </c>
    </row>
    <row r="672" spans="1:4">
      <c r="A672" s="312">
        <v>0.94144252346899682</v>
      </c>
      <c r="B672" s="314">
        <v>1.1070516529919183</v>
      </c>
      <c r="C672" s="313">
        <v>660</v>
      </c>
      <c r="D672" s="311">
        <v>111328.52402704372</v>
      </c>
    </row>
    <row r="673" spans="1:4">
      <c r="A673" s="312">
        <v>0.8644730449758099</v>
      </c>
      <c r="B673" s="314">
        <v>1.0846616568677931</v>
      </c>
      <c r="C673" s="313">
        <v>661</v>
      </c>
      <c r="D673" s="311">
        <v>36773.404971129959</v>
      </c>
    </row>
    <row r="674" spans="1:4">
      <c r="A674" s="312">
        <v>0.3985727832969328</v>
      </c>
      <c r="B674" s="314">
        <v>1.0123593180555015</v>
      </c>
      <c r="C674" s="313">
        <v>662</v>
      </c>
      <c r="D674" s="311">
        <v>205219.11077348958</v>
      </c>
    </row>
    <row r="675" spans="1:4">
      <c r="A675" s="312">
        <v>0.57871102715924705</v>
      </c>
      <c r="B675" s="314">
        <v>1.034801898260068</v>
      </c>
      <c r="C675" s="313">
        <v>663</v>
      </c>
      <c r="D675" s="311">
        <v>98451.581147343153</v>
      </c>
    </row>
    <row r="676" spans="1:4">
      <c r="A676" s="312">
        <v>7.4953344751091944E-3</v>
      </c>
      <c r="B676" s="314">
        <v>0.94971808697153792</v>
      </c>
      <c r="C676" s="313">
        <v>664</v>
      </c>
      <c r="D676" s="311">
        <v>246656.99965080572</v>
      </c>
    </row>
    <row r="677" spans="1:4">
      <c r="A677" s="312">
        <v>0.8609366643386831</v>
      </c>
      <c r="B677" s="314">
        <v>1.0838146914086555</v>
      </c>
      <c r="C677" s="313">
        <v>665</v>
      </c>
      <c r="D677" s="311">
        <v>86323.446963113733</v>
      </c>
    </row>
    <row r="678" spans="1:4">
      <c r="A678" s="312">
        <v>0.35912044601134718</v>
      </c>
      <c r="B678" s="314">
        <v>1.0079165528619094</v>
      </c>
      <c r="C678" s="313">
        <v>666</v>
      </c>
      <c r="D678" s="311">
        <v>31625.222031900659</v>
      </c>
    </row>
    <row r="679" spans="1:4">
      <c r="A679" s="312">
        <v>0.33861528883336645</v>
      </c>
      <c r="B679" s="314">
        <v>1.0056614452000125</v>
      </c>
      <c r="C679" s="313">
        <v>667</v>
      </c>
      <c r="D679" s="311">
        <v>177095.76924103824</v>
      </c>
    </row>
    <row r="680" spans="1:4">
      <c r="A680" s="312">
        <v>0.16367485621101152</v>
      </c>
      <c r="B680" s="314">
        <v>0.98541258843381141</v>
      </c>
      <c r="C680" s="313">
        <v>668</v>
      </c>
      <c r="D680" s="311">
        <v>-98018.532342054415</v>
      </c>
    </row>
    <row r="681" spans="1:4">
      <c r="A681" s="312">
        <v>5.442629051197756E-2</v>
      </c>
      <c r="B681" s="314">
        <v>0.96618723468506962</v>
      </c>
      <c r="C681" s="313">
        <v>669</v>
      </c>
      <c r="D681" s="311">
        <v>181249.75292973826</v>
      </c>
    </row>
    <row r="682" spans="1:4">
      <c r="A682" s="312">
        <v>0.9119922351324683</v>
      </c>
      <c r="B682" s="314">
        <v>1.0973478908938374</v>
      </c>
      <c r="C682" s="313">
        <v>670</v>
      </c>
      <c r="D682" s="311">
        <v>114368.75307581434</v>
      </c>
    </row>
    <row r="683" spans="1:4">
      <c r="A683" s="312">
        <v>0.28319289348662058</v>
      </c>
      <c r="B683" s="314">
        <v>0.99973466713669223</v>
      </c>
      <c r="C683" s="313">
        <v>671</v>
      </c>
      <c r="D683" s="311">
        <v>156165.14930584631</v>
      </c>
    </row>
    <row r="684" spans="1:4">
      <c r="A684" s="312">
        <v>0.59144082628122152</v>
      </c>
      <c r="B684" s="314">
        <v>1.0365556789780046</v>
      </c>
      <c r="C684" s="313">
        <v>672</v>
      </c>
      <c r="D684" s="311">
        <v>127143.2927068281</v>
      </c>
    </row>
    <row r="685" spans="1:4">
      <c r="A685" s="312">
        <v>0.71832494640643707</v>
      </c>
      <c r="B685" s="314">
        <v>1.0558046487973147</v>
      </c>
      <c r="C685" s="313">
        <v>673</v>
      </c>
      <c r="D685" s="311">
        <v>168148.01133810007</v>
      </c>
    </row>
    <row r="686" spans="1:4">
      <c r="A686" s="312">
        <v>0.34452292022853759</v>
      </c>
      <c r="B686" s="314">
        <v>1.0063075227689318</v>
      </c>
      <c r="C686" s="313">
        <v>674</v>
      </c>
      <c r="D686" s="311">
        <v>158787.28263228503</v>
      </c>
    </row>
    <row r="687" spans="1:4">
      <c r="A687" s="312">
        <v>0.14038228361190597</v>
      </c>
      <c r="B687" s="314">
        <v>0.98205730345029285</v>
      </c>
      <c r="C687" s="313">
        <v>675</v>
      </c>
      <c r="D687" s="311">
        <v>53195.719967239071</v>
      </c>
    </row>
    <row r="688" spans="1:4">
      <c r="A688" s="312">
        <v>0.86546652282352854</v>
      </c>
      <c r="B688" s="314">
        <v>1.0849015781215945</v>
      </c>
      <c r="C688" s="313">
        <v>676</v>
      </c>
      <c r="D688" s="311">
        <v>151210.90533948364</v>
      </c>
    </row>
    <row r="689" spans="1:4">
      <c r="A689" s="312">
        <v>5.2400743140828876E-2</v>
      </c>
      <c r="B689" s="314">
        <v>0.96569531793098584</v>
      </c>
      <c r="C689" s="313">
        <v>677</v>
      </c>
      <c r="D689" s="311">
        <v>265415.32027493906</v>
      </c>
    </row>
    <row r="690" spans="1:4">
      <c r="A690" s="312">
        <v>0.73118685156374374</v>
      </c>
      <c r="B690" s="314">
        <v>1.0579803598369235</v>
      </c>
      <c r="C690" s="313">
        <v>678</v>
      </c>
      <c r="D690" s="311">
        <v>104878.84113531234</v>
      </c>
    </row>
    <row r="691" spans="1:4">
      <c r="A691" s="312">
        <v>0.38830330815588965</v>
      </c>
      <c r="B691" s="314">
        <v>1.0111891726374003</v>
      </c>
      <c r="C691" s="313">
        <v>679</v>
      </c>
      <c r="D691" s="311">
        <v>23643.13629931747</v>
      </c>
    </row>
    <row r="692" spans="1:4">
      <c r="A692" s="312">
        <v>0.52466381673636142</v>
      </c>
      <c r="B692" s="314">
        <v>1.0276354227204432</v>
      </c>
      <c r="C692" s="313">
        <v>680</v>
      </c>
      <c r="D692" s="311">
        <v>-61517.447726848535</v>
      </c>
    </row>
    <row r="693" spans="1:4">
      <c r="A693" s="312">
        <v>0.32359107448711244</v>
      </c>
      <c r="B693" s="314">
        <v>1.0040312322664331</v>
      </c>
      <c r="C693" s="313">
        <v>681</v>
      </c>
      <c r="D693" s="311">
        <v>187873.14958308591</v>
      </c>
    </row>
    <row r="694" spans="1:4">
      <c r="A694" s="312">
        <v>0.186643623488986</v>
      </c>
      <c r="B694" s="314">
        <v>0.98849442912295415</v>
      </c>
      <c r="C694" s="313">
        <v>682</v>
      </c>
      <c r="D694" s="311">
        <v>39705.343844289891</v>
      </c>
    </row>
    <row r="695" spans="1:4">
      <c r="A695" s="312">
        <v>0.98094639859941757</v>
      </c>
      <c r="B695" s="314">
        <v>1.1255012562746913</v>
      </c>
      <c r="C695" s="313">
        <v>683</v>
      </c>
      <c r="D695" s="311">
        <v>165849.87016682327</v>
      </c>
    </row>
    <row r="696" spans="1:4">
      <c r="A696" s="312">
        <v>0.59511897283702053</v>
      </c>
      <c r="B696" s="314">
        <v>1.0370674876059429</v>
      </c>
      <c r="C696" s="313">
        <v>684</v>
      </c>
      <c r="D696" s="311">
        <v>115599.52946517174</v>
      </c>
    </row>
    <row r="697" spans="1:4">
      <c r="A697" s="312">
        <v>0.32696283453273522</v>
      </c>
      <c r="B697" s="314">
        <v>1.0043954989973907</v>
      </c>
      <c r="C697" s="313">
        <v>685</v>
      </c>
      <c r="D697" s="311">
        <v>90202.758585436968</v>
      </c>
    </row>
    <row r="698" spans="1:4">
      <c r="A698" s="312">
        <v>0.62486997317339887</v>
      </c>
      <c r="B698" s="314">
        <v>1.0412958333593512</v>
      </c>
      <c r="C698" s="313">
        <v>686</v>
      </c>
      <c r="D698" s="311">
        <v>129487.35982869565</v>
      </c>
    </row>
    <row r="699" spans="1:4">
      <c r="A699" s="312">
        <v>0.2750737164020699</v>
      </c>
      <c r="B699" s="314">
        <v>0.99887213964742638</v>
      </c>
      <c r="C699" s="313">
        <v>687</v>
      </c>
      <c r="D699" s="311">
        <v>44568.614959766623</v>
      </c>
    </row>
    <row r="700" spans="1:4">
      <c r="A700" s="312">
        <v>0.76626794109331775</v>
      </c>
      <c r="B700" s="314">
        <v>1.0641946397038011</v>
      </c>
      <c r="C700" s="313">
        <v>688</v>
      </c>
      <c r="D700" s="311">
        <v>150943.07524120505</v>
      </c>
    </row>
    <row r="701" spans="1:4">
      <c r="A701" s="312">
        <v>0.29709204438396886</v>
      </c>
      <c r="B701" s="314">
        <v>1.0011994603440397</v>
      </c>
      <c r="C701" s="313">
        <v>689</v>
      </c>
      <c r="D701" s="311">
        <v>134387.03560020146</v>
      </c>
    </row>
    <row r="702" spans="1:4">
      <c r="A702" s="312">
        <v>0.9730582332086043</v>
      </c>
      <c r="B702" s="314">
        <v>1.1208681333600305</v>
      </c>
      <c r="C702" s="313">
        <v>690</v>
      </c>
      <c r="D702" s="311">
        <v>925.21624386822805</v>
      </c>
    </row>
    <row r="703" spans="1:4">
      <c r="A703" s="312">
        <v>0.40144342267926114</v>
      </c>
      <c r="B703" s="314">
        <v>1.0126881935680574</v>
      </c>
      <c r="C703" s="313">
        <v>691</v>
      </c>
      <c r="D703" s="311">
        <v>55246.58983013453</v>
      </c>
    </row>
    <row r="704" spans="1:4">
      <c r="A704" s="312">
        <v>0.22088679326299054</v>
      </c>
      <c r="B704" s="314">
        <v>0.99275579205275644</v>
      </c>
      <c r="C704" s="313">
        <v>692</v>
      </c>
      <c r="D704" s="311">
        <v>160831.83929423522</v>
      </c>
    </row>
    <row r="705" spans="1:4">
      <c r="A705" s="312">
        <v>0.48409849654224546</v>
      </c>
      <c r="B705" s="314">
        <v>1.0225209924775092</v>
      </c>
      <c r="C705" s="313">
        <v>693</v>
      </c>
      <c r="D705" s="311">
        <v>110318.46152630518</v>
      </c>
    </row>
    <row r="706" spans="1:4">
      <c r="A706" s="312">
        <v>0.49482660974132753</v>
      </c>
      <c r="B706" s="314">
        <v>1.0238534114882683</v>
      </c>
      <c r="C706" s="313">
        <v>694</v>
      </c>
      <c r="D706" s="311">
        <v>125723.80720814504</v>
      </c>
    </row>
    <row r="707" spans="1:4">
      <c r="A707" s="312">
        <v>0.31688274479619005</v>
      </c>
      <c r="B707" s="314">
        <v>1.0033091906801246</v>
      </c>
      <c r="C707" s="313">
        <v>695</v>
      </c>
      <c r="D707" s="311">
        <v>-47733.722985958681</v>
      </c>
    </row>
    <row r="708" spans="1:4">
      <c r="A708" s="312">
        <v>0.14771038888945709</v>
      </c>
      <c r="B708" s="314">
        <v>0.98314105816976627</v>
      </c>
      <c r="C708" s="313">
        <v>696</v>
      </c>
      <c r="D708" s="311">
        <v>176751.05107069574</v>
      </c>
    </row>
    <row r="709" spans="1:4">
      <c r="A709" s="312">
        <v>0.68684704105101368</v>
      </c>
      <c r="B709" s="314">
        <v>1.0506807259043187</v>
      </c>
      <c r="C709" s="313">
        <v>697</v>
      </c>
      <c r="D709" s="311">
        <v>229204.38732464798</v>
      </c>
    </row>
    <row r="710" spans="1:4">
      <c r="A710" s="312">
        <v>0.61125856087329955</v>
      </c>
      <c r="B710" s="314">
        <v>1.0393412663523973</v>
      </c>
      <c r="C710" s="313">
        <v>698</v>
      </c>
      <c r="D710" s="311">
        <v>171641.93238143576</v>
      </c>
    </row>
    <row r="711" spans="1:4">
      <c r="A711" s="312">
        <v>0.25442207199508049</v>
      </c>
      <c r="B711" s="314">
        <v>0.99661906134101841</v>
      </c>
      <c r="C711" s="313">
        <v>699</v>
      </c>
      <c r="D711" s="311">
        <v>8572.4700367297046</v>
      </c>
    </row>
    <row r="712" spans="1:4">
      <c r="A712" s="312">
        <v>0.58568652226538132</v>
      </c>
      <c r="B712" s="314">
        <v>1.0357595756807578</v>
      </c>
      <c r="C712" s="313">
        <v>700</v>
      </c>
      <c r="D712" s="311">
        <v>146340.59756015101</v>
      </c>
    </row>
    <row r="713" spans="1:4">
      <c r="A713" s="312">
        <v>0.54068389633717329</v>
      </c>
      <c r="B713" s="314">
        <v>1.0297150995952566</v>
      </c>
      <c r="C713" s="313">
        <v>701</v>
      </c>
      <c r="D713" s="311">
        <v>217289.55902231787</v>
      </c>
    </row>
    <row r="714" spans="1:4">
      <c r="A714" s="312">
        <v>0.26490600661877994</v>
      </c>
      <c r="B714" s="314">
        <v>0.9977738321681765</v>
      </c>
      <c r="C714" s="313">
        <v>702</v>
      </c>
      <c r="D714" s="311">
        <v>106782.23917532642</v>
      </c>
    </row>
    <row r="715" spans="1:4">
      <c r="A715" s="312">
        <v>0.97316813593180629</v>
      </c>
      <c r="B715" s="314">
        <v>1.1209276124450003</v>
      </c>
      <c r="C715" s="313">
        <v>703</v>
      </c>
      <c r="D715" s="311">
        <v>95502.422765856143</v>
      </c>
    </row>
    <row r="716" spans="1:4">
      <c r="A716" s="312">
        <v>0.53150722391250971</v>
      </c>
      <c r="B716" s="314">
        <v>1.0285194565094642</v>
      </c>
      <c r="C716" s="313">
        <v>704</v>
      </c>
      <c r="D716" s="311">
        <v>184584.7292192718</v>
      </c>
    </row>
    <row r="717" spans="1:4">
      <c r="A717" s="312">
        <v>0.21000884805830133</v>
      </c>
      <c r="B717" s="314">
        <v>0.99144036824843496</v>
      </c>
      <c r="C717" s="313">
        <v>705</v>
      </c>
      <c r="D717" s="311">
        <v>-48202.024776945589</v>
      </c>
    </row>
    <row r="718" spans="1:4">
      <c r="A718" s="312">
        <v>0.56231015940764673</v>
      </c>
      <c r="B718" s="314">
        <v>1.0325809641554695</v>
      </c>
      <c r="C718" s="313">
        <v>706</v>
      </c>
      <c r="D718" s="311">
        <v>150309.89167739823</v>
      </c>
    </row>
    <row r="719" spans="1:4">
      <c r="A719" s="312">
        <v>0.62087951497711913</v>
      </c>
      <c r="B719" s="314">
        <v>1.0407191907139193</v>
      </c>
      <c r="C719" s="313">
        <v>707</v>
      </c>
      <c r="D719" s="311">
        <v>43149.329535518773</v>
      </c>
    </row>
    <row r="720" spans="1:4">
      <c r="A720" s="312">
        <v>0.52433432704699945</v>
      </c>
      <c r="B720" s="314">
        <v>1.0275930202234385</v>
      </c>
      <c r="C720" s="313">
        <v>708</v>
      </c>
      <c r="D720" s="311">
        <v>244778.30632762122</v>
      </c>
    </row>
    <row r="721" spans="1:4">
      <c r="A721" s="312">
        <v>0.60684702132312673</v>
      </c>
      <c r="B721" s="314">
        <v>1.0387151455573513</v>
      </c>
      <c r="C721" s="313">
        <v>709</v>
      </c>
      <c r="D721" s="311">
        <v>215450.76214618469</v>
      </c>
    </row>
    <row r="722" spans="1:4">
      <c r="A722" s="312">
        <v>6.7410535319793685E-2</v>
      </c>
      <c r="B722" s="314">
        <v>0.96914400015491009</v>
      </c>
      <c r="C722" s="313">
        <v>710</v>
      </c>
      <c r="D722" s="311">
        <v>119430.77887216001</v>
      </c>
    </row>
    <row r="723" spans="1:4">
      <c r="A723" s="312">
        <v>0.51718266455711193</v>
      </c>
      <c r="B723" s="314">
        <v>1.0266762550582778</v>
      </c>
      <c r="C723" s="313">
        <v>711</v>
      </c>
      <c r="D723" s="311">
        <v>64308.85983175342</v>
      </c>
    </row>
    <row r="724" spans="1:4">
      <c r="A724" s="312">
        <v>0.25128655119396348</v>
      </c>
      <c r="B724" s="314">
        <v>0.99626909049419532</v>
      </c>
      <c r="C724" s="313">
        <v>712</v>
      </c>
      <c r="D724" s="311">
        <v>185358.84860053007</v>
      </c>
    </row>
    <row r="725" spans="1:4">
      <c r="A725" s="312">
        <v>0.94127578480978702</v>
      </c>
      <c r="B725" s="314">
        <v>1.1069905501256792</v>
      </c>
      <c r="C725" s="313">
        <v>713</v>
      </c>
      <c r="D725" s="311">
        <v>239303.24780859635</v>
      </c>
    </row>
    <row r="726" spans="1:4">
      <c r="A726" s="312">
        <v>0.24130767062474689</v>
      </c>
      <c r="B726" s="314">
        <v>0.99514051731596109</v>
      </c>
      <c r="C726" s="313">
        <v>714</v>
      </c>
      <c r="D726" s="311">
        <v>-221.77927409973927</v>
      </c>
    </row>
    <row r="727" spans="1:4">
      <c r="A727" s="312">
        <v>2.422986725388987E-3</v>
      </c>
      <c r="B727" s="314">
        <v>0.94552536267948994</v>
      </c>
      <c r="C727" s="313">
        <v>715</v>
      </c>
      <c r="D727" s="311">
        <v>-30579.840302410768</v>
      </c>
    </row>
    <row r="728" spans="1:4">
      <c r="A728" s="312">
        <v>0.55794119659638697</v>
      </c>
      <c r="B728" s="314">
        <v>1.0319963885840191</v>
      </c>
      <c r="C728" s="313">
        <v>716</v>
      </c>
      <c r="D728" s="311">
        <v>122709.58414634364</v>
      </c>
    </row>
    <row r="729" spans="1:4">
      <c r="A729" s="312">
        <v>1.9677269496397587E-2</v>
      </c>
      <c r="B729" s="314">
        <v>0.9557459072667982</v>
      </c>
      <c r="C729" s="313">
        <v>717</v>
      </c>
      <c r="D729" s="311">
        <v>114321.17453541094</v>
      </c>
    </row>
    <row r="730" spans="1:4">
      <c r="A730" s="312">
        <v>0.3177151846907218</v>
      </c>
      <c r="B730" s="314">
        <v>1.003398595906307</v>
      </c>
      <c r="C730" s="313">
        <v>718</v>
      </c>
      <c r="D730" s="311">
        <v>243375.88879126869</v>
      </c>
    </row>
    <row r="731" spans="1:4">
      <c r="A731" s="312">
        <v>0.41060699283272972</v>
      </c>
      <c r="B731" s="314">
        <v>1.0137433314447728</v>
      </c>
      <c r="C731" s="313">
        <v>719</v>
      </c>
      <c r="D731" s="311">
        <v>181853.97157304245</v>
      </c>
    </row>
    <row r="732" spans="1:4">
      <c r="A732" s="312">
        <v>0.25107290127873838</v>
      </c>
      <c r="B732" s="314">
        <v>0.99624516473539837</v>
      </c>
      <c r="C732" s="313">
        <v>720</v>
      </c>
      <c r="D732" s="311">
        <v>146597.57590233488</v>
      </c>
    </row>
    <row r="733" spans="1:4">
      <c r="A733" s="312">
        <v>0.71015382698762208</v>
      </c>
      <c r="B733" s="314">
        <v>1.0544481583124119</v>
      </c>
      <c r="C733" s="313">
        <v>721</v>
      </c>
      <c r="D733" s="311">
        <v>190132.88327596849</v>
      </c>
    </row>
    <row r="734" spans="1:4">
      <c r="A734" s="312">
        <v>0.42829852179156502</v>
      </c>
      <c r="B734" s="314">
        <v>1.0158038876734288</v>
      </c>
      <c r="C734" s="313">
        <v>722</v>
      </c>
      <c r="D734" s="311">
        <v>43357.82565534953</v>
      </c>
    </row>
    <row r="735" spans="1:4">
      <c r="A735" s="312">
        <v>0.33215954628965705</v>
      </c>
      <c r="B735" s="314">
        <v>1.0049587152157158</v>
      </c>
      <c r="C735" s="313">
        <v>723</v>
      </c>
      <c r="D735" s="311">
        <v>125142.52479635016</v>
      </c>
    </row>
    <row r="736" spans="1:4">
      <c r="A736" s="312">
        <v>0.11147397556530614</v>
      </c>
      <c r="B736" s="314">
        <v>0.97747762121750603</v>
      </c>
      <c r="C736" s="313">
        <v>724</v>
      </c>
      <c r="D736" s="311">
        <v>46773.908672415419</v>
      </c>
    </row>
    <row r="737" spans="1:4">
      <c r="A737" s="312">
        <v>0.64073193722209354</v>
      </c>
      <c r="B737" s="314">
        <v>1.0436188739601613</v>
      </c>
      <c r="C737" s="313">
        <v>725</v>
      </c>
      <c r="D737" s="311">
        <v>151502.24325548369</v>
      </c>
    </row>
    <row r="738" spans="1:4">
      <c r="A738" s="312">
        <v>0.13084279025228729</v>
      </c>
      <c r="B738" s="314">
        <v>0.98060319146543551</v>
      </c>
      <c r="C738" s="313">
        <v>726</v>
      </c>
      <c r="D738" s="311">
        <v>135285.92906759819</v>
      </c>
    </row>
    <row r="739" spans="1:4">
      <c r="A739" s="312">
        <v>0.16546263226734315</v>
      </c>
      <c r="B739" s="314">
        <v>0.98565992955063031</v>
      </c>
      <c r="C739" s="313">
        <v>727</v>
      </c>
      <c r="D739" s="311">
        <v>148711.69795027515</v>
      </c>
    </row>
    <row r="740" spans="1:4">
      <c r="A740" s="312">
        <v>0.40741345553384378</v>
      </c>
      <c r="B740" s="314">
        <v>1.0133746870060898</v>
      </c>
      <c r="C740" s="313">
        <v>728</v>
      </c>
      <c r="D740" s="311">
        <v>126934.53402429633</v>
      </c>
    </row>
    <row r="741" spans="1:4">
      <c r="A741" s="312">
        <v>0.28340099148942977</v>
      </c>
      <c r="B741" s="314">
        <v>0.99975661045245801</v>
      </c>
      <c r="C741" s="313">
        <v>729</v>
      </c>
      <c r="D741" s="311">
        <v>152544.98624352971</v>
      </c>
    </row>
    <row r="742" spans="1:4">
      <c r="A742" s="312">
        <v>0.23517169924845482</v>
      </c>
      <c r="B742" s="314">
        <v>0.99443494659252019</v>
      </c>
      <c r="C742" s="313">
        <v>730</v>
      </c>
      <c r="D742" s="311">
        <v>226348.58154704329</v>
      </c>
    </row>
    <row r="743" spans="1:4">
      <c r="A743" s="312">
        <v>0.91495090484005248</v>
      </c>
      <c r="B743" s="314">
        <v>1.0982404936505539</v>
      </c>
      <c r="C743" s="313">
        <v>731</v>
      </c>
      <c r="D743" s="311">
        <v>78958.445409466513</v>
      </c>
    </row>
    <row r="744" spans="1:4">
      <c r="A744" s="312">
        <v>0.34935446377194679</v>
      </c>
      <c r="B744" s="314">
        <v>1.006838083307104</v>
      </c>
      <c r="C744" s="313">
        <v>732</v>
      </c>
      <c r="D744" s="311">
        <v>189882.39045183011</v>
      </c>
    </row>
    <row r="745" spans="1:4">
      <c r="A745" s="312">
        <v>0.9699507118618016</v>
      </c>
      <c r="B745" s="314">
        <v>1.1192339054094731</v>
      </c>
      <c r="C745" s="313">
        <v>733</v>
      </c>
      <c r="D745" s="311">
        <v>12113.141377355205</v>
      </c>
    </row>
    <row r="746" spans="1:4">
      <c r="A746" s="312">
        <v>0.11404670761853952</v>
      </c>
      <c r="B746" s="314">
        <v>0.97790763136881009</v>
      </c>
      <c r="C746" s="313">
        <v>734</v>
      </c>
      <c r="D746" s="311">
        <v>155734.48547394457</v>
      </c>
    </row>
    <row r="747" spans="1:4">
      <c r="A747" s="312">
        <v>0.27521160123439947</v>
      </c>
      <c r="B747" s="314">
        <v>0.99888689307098333</v>
      </c>
      <c r="C747" s="313">
        <v>735</v>
      </c>
      <c r="D747" s="311">
        <v>145977.93495116476</v>
      </c>
    </row>
    <row r="748" spans="1:4">
      <c r="A748" s="312">
        <v>0.58988908834597353</v>
      </c>
      <c r="B748" s="314">
        <v>1.0363404481924117</v>
      </c>
      <c r="C748" s="313">
        <v>736</v>
      </c>
      <c r="D748" s="311">
        <v>133763.09428300452</v>
      </c>
    </row>
    <row r="749" spans="1:4">
      <c r="A749" s="312">
        <v>0.72931423493538294</v>
      </c>
      <c r="B749" s="314">
        <v>1.0576604006964756</v>
      </c>
      <c r="C749" s="313">
        <v>737</v>
      </c>
      <c r="D749" s="311">
        <v>96476.294666516129</v>
      </c>
    </row>
    <row r="750" spans="1:4">
      <c r="A750" s="312">
        <v>0.78409031428217035</v>
      </c>
      <c r="B750" s="314">
        <v>1.0675308839618634</v>
      </c>
      <c r="C750" s="313">
        <v>738</v>
      </c>
      <c r="D750" s="311">
        <v>55393.136035645148</v>
      </c>
    </row>
    <row r="751" spans="1:4">
      <c r="A751" s="312">
        <v>5.2496282880293954E-2</v>
      </c>
      <c r="B751" s="314">
        <v>0.96571873177844703</v>
      </c>
      <c r="C751" s="313">
        <v>739</v>
      </c>
      <c r="D751" s="311">
        <v>-63049.390544424998</v>
      </c>
    </row>
    <row r="752" spans="1:4">
      <c r="A752" s="312">
        <v>0.43181474207098525</v>
      </c>
      <c r="B752" s="314">
        <v>1.0162172072919542</v>
      </c>
      <c r="C752" s="313">
        <v>740</v>
      </c>
      <c r="D752" s="311">
        <v>148059.03570140363</v>
      </c>
    </row>
    <row r="753" spans="1:4">
      <c r="A753" s="312">
        <v>0.18781968904546931</v>
      </c>
      <c r="B753" s="314">
        <v>0.98864697402688995</v>
      </c>
      <c r="C753" s="313">
        <v>741</v>
      </c>
      <c r="D753" s="311">
        <v>173098.23127289722</v>
      </c>
    </row>
    <row r="754" spans="1:4">
      <c r="A754" s="312">
        <v>0.49092338322811557</v>
      </c>
      <c r="B754" s="314">
        <v>1.02336701287455</v>
      </c>
      <c r="C754" s="313">
        <v>742</v>
      </c>
      <c r="D754" s="311">
        <v>207239.12993534468</v>
      </c>
    </row>
    <row r="755" spans="1:4">
      <c r="A755" s="312">
        <v>0.70557777368621</v>
      </c>
      <c r="B755" s="314">
        <v>1.0536968321970435</v>
      </c>
      <c r="C755" s="313">
        <v>743</v>
      </c>
      <c r="D755" s="311">
        <v>209846.32933848072</v>
      </c>
    </row>
    <row r="756" spans="1:4">
      <c r="A756" s="312">
        <v>0.58249030643670829</v>
      </c>
      <c r="B756" s="314">
        <v>1.035319769152466</v>
      </c>
      <c r="C756" s="313">
        <v>744</v>
      </c>
      <c r="D756" s="311">
        <v>197616.44582371763</v>
      </c>
    </row>
    <row r="757" spans="1:4">
      <c r="A757" s="312">
        <v>0.67024935794721596</v>
      </c>
      <c r="B757" s="314">
        <v>1.0480826549371369</v>
      </c>
      <c r="C757" s="313">
        <v>745</v>
      </c>
      <c r="D757" s="311">
        <v>-74061.104028502246</v>
      </c>
    </row>
    <row r="758" spans="1:4">
      <c r="A758" s="312">
        <v>0.76219262399952792</v>
      </c>
      <c r="B758" s="314">
        <v>1.0634498275910735</v>
      </c>
      <c r="C758" s="313">
        <v>746</v>
      </c>
      <c r="D758" s="311">
        <v>138037.68640136532</v>
      </c>
    </row>
    <row r="759" spans="1:4">
      <c r="A759" s="312">
        <v>0.91375037219628208</v>
      </c>
      <c r="B759" s="314">
        <v>1.0978764614035355</v>
      </c>
      <c r="C759" s="313">
        <v>747</v>
      </c>
      <c r="D759" s="311">
        <v>86262.050025588134</v>
      </c>
    </row>
    <row r="760" spans="1:4">
      <c r="A760" s="312">
        <v>0.95021757675160523</v>
      </c>
      <c r="B760" s="314">
        <v>1.1104001725720372</v>
      </c>
      <c r="C760" s="313">
        <v>748</v>
      </c>
      <c r="D760" s="311">
        <v>125776.9688552015</v>
      </c>
    </row>
    <row r="761" spans="1:4">
      <c r="A761" s="312">
        <v>0.80858335294402139</v>
      </c>
      <c r="B761" s="314">
        <v>1.072349343967592</v>
      </c>
      <c r="C761" s="313">
        <v>749</v>
      </c>
      <c r="D761" s="311">
        <v>189568.88539035805</v>
      </c>
    </row>
    <row r="762" spans="1:4">
      <c r="A762" s="312">
        <v>0.85149712615500373</v>
      </c>
      <c r="B762" s="314">
        <v>1.0816052595142185</v>
      </c>
      <c r="C762" s="313">
        <v>750</v>
      </c>
      <c r="D762" s="311">
        <v>75723.465635312255</v>
      </c>
    </row>
    <row r="763" spans="1:4">
      <c r="A763" s="312">
        <v>0.70010054074113881</v>
      </c>
      <c r="B763" s="314">
        <v>1.0528051803507299</v>
      </c>
      <c r="C763" s="313">
        <v>751</v>
      </c>
      <c r="D763" s="311">
        <v>-24186.315787741449</v>
      </c>
    </row>
    <row r="764" spans="1:4">
      <c r="A764" s="312">
        <v>0.38333054631616614</v>
      </c>
      <c r="B764" s="314">
        <v>1.0106260864040879</v>
      </c>
      <c r="C764" s="313">
        <v>752</v>
      </c>
      <c r="D764" s="311">
        <v>179623.70658775046</v>
      </c>
    </row>
    <row r="765" spans="1:4">
      <c r="A765" s="312">
        <v>0.14304578882489349</v>
      </c>
      <c r="B765" s="314">
        <v>0.98245441012655399</v>
      </c>
      <c r="C765" s="313">
        <v>753</v>
      </c>
      <c r="D765" s="311">
        <v>271721.3752185544</v>
      </c>
    </row>
    <row r="766" spans="1:4">
      <c r="A766" s="312">
        <v>0.49388101204777402</v>
      </c>
      <c r="B766" s="314">
        <v>1.0237354043268854</v>
      </c>
      <c r="C766" s="313">
        <v>754</v>
      </c>
      <c r="D766" s="311">
        <v>272727.7822499359</v>
      </c>
    </row>
    <row r="767" spans="1:4">
      <c r="A767" s="312">
        <v>0.57417949321131201</v>
      </c>
      <c r="B767" s="314">
        <v>1.034183999534418</v>
      </c>
      <c r="C767" s="313">
        <v>755</v>
      </c>
      <c r="D767" s="311">
        <v>129609.60225784592</v>
      </c>
    </row>
    <row r="768" spans="1:4">
      <c r="A768" s="312">
        <v>0.34542597701786892</v>
      </c>
      <c r="B768" s="314">
        <v>1.0064065401073672</v>
      </c>
      <c r="C768" s="313">
        <v>756</v>
      </c>
      <c r="D768" s="311">
        <v>-80255.635388714261</v>
      </c>
    </row>
    <row r="769" spans="1:4">
      <c r="A769" s="312">
        <v>0.86568991075930479</v>
      </c>
      <c r="B769" s="314">
        <v>1.0849556473544251</v>
      </c>
      <c r="C769" s="313">
        <v>757</v>
      </c>
      <c r="D769" s="311">
        <v>230428.44219532353</v>
      </c>
    </row>
    <row r="770" spans="1:4">
      <c r="A770" s="312">
        <v>0.41160299824097324</v>
      </c>
      <c r="B770" s="314">
        <v>1.0138585090598411</v>
      </c>
      <c r="C770" s="313">
        <v>758</v>
      </c>
      <c r="D770" s="311">
        <v>129039.27359208884</v>
      </c>
    </row>
    <row r="771" spans="1:4">
      <c r="A771" s="312">
        <v>0.89849266153030449</v>
      </c>
      <c r="B771" s="314">
        <v>1.0934537254826153</v>
      </c>
      <c r="C771" s="313">
        <v>759</v>
      </c>
      <c r="D771" s="311">
        <v>161177.56425064616</v>
      </c>
    </row>
    <row r="772" spans="1:4">
      <c r="A772" s="312">
        <v>1.8752550022958725E-2</v>
      </c>
      <c r="B772" s="314">
        <v>0.95537147131179312</v>
      </c>
      <c r="C772" s="313">
        <v>760</v>
      </c>
      <c r="D772" s="311">
        <v>193704.5170676813</v>
      </c>
    </row>
    <row r="773" spans="1:4">
      <c r="A773" s="312">
        <v>0.90807039637821529</v>
      </c>
      <c r="B773" s="314">
        <v>1.096187524549727</v>
      </c>
      <c r="C773" s="313">
        <v>761</v>
      </c>
      <c r="D773" s="311">
        <v>43592.177559996257</v>
      </c>
    </row>
    <row r="774" spans="1:4">
      <c r="A774" s="312">
        <v>0.84236442218546836</v>
      </c>
      <c r="B774" s="314">
        <v>1.0795335491091131</v>
      </c>
      <c r="C774" s="313">
        <v>762</v>
      </c>
      <c r="D774" s="311">
        <v>225187.44729858218</v>
      </c>
    </row>
    <row r="775" spans="1:4">
      <c r="A775" s="312">
        <v>0.3173150960927914</v>
      </c>
      <c r="B775" s="314">
        <v>1.0033556190197623</v>
      </c>
      <c r="C775" s="313">
        <v>763</v>
      </c>
      <c r="D775" s="311">
        <v>175838.09239415685</v>
      </c>
    </row>
    <row r="776" spans="1:4">
      <c r="A776" s="312">
        <v>0.86996988756596882</v>
      </c>
      <c r="B776" s="314">
        <v>1.0860004020194503</v>
      </c>
      <c r="C776" s="313">
        <v>764</v>
      </c>
      <c r="D776" s="311">
        <v>73878.51394236437</v>
      </c>
    </row>
    <row r="777" spans="1:4">
      <c r="A777" s="312">
        <v>0.41366967879264227</v>
      </c>
      <c r="B777" s="314">
        <v>1.014097810473739</v>
      </c>
      <c r="C777" s="313">
        <v>765</v>
      </c>
      <c r="D777" s="311">
        <v>50949.624744126806</v>
      </c>
    </row>
    <row r="778" spans="1:4">
      <c r="A778" s="312">
        <v>0.2594658119412333</v>
      </c>
      <c r="B778" s="314">
        <v>0.99717752382238611</v>
      </c>
      <c r="C778" s="313">
        <v>766</v>
      </c>
      <c r="D778" s="311">
        <v>191781.77057538205</v>
      </c>
    </row>
    <row r="779" spans="1:4">
      <c r="A779" s="312">
        <v>0.9751783593154022</v>
      </c>
      <c r="B779" s="314">
        <v>1.1220378527011097</v>
      </c>
      <c r="C779" s="313">
        <v>767</v>
      </c>
      <c r="D779" s="311">
        <v>56913.204346374841</v>
      </c>
    </row>
    <row r="780" spans="1:4">
      <c r="A780" s="312">
        <v>0.46970474498048598</v>
      </c>
      <c r="B780" s="314">
        <v>1.020754881975702</v>
      </c>
      <c r="C780" s="313">
        <v>768</v>
      </c>
      <c r="D780" s="311">
        <v>173840.3187493959</v>
      </c>
    </row>
    <row r="781" spans="1:4">
      <c r="A781" s="312">
        <v>0.70533697102812343</v>
      </c>
      <c r="B781" s="314">
        <v>1.0536574579294582</v>
      </c>
      <c r="C781" s="313">
        <v>769</v>
      </c>
      <c r="D781" s="311">
        <v>35674.083601442166</v>
      </c>
    </row>
    <row r="782" spans="1:4">
      <c r="A782" s="312">
        <v>0.95200262978592809</v>
      </c>
      <c r="B782" s="314">
        <v>1.1111166210091861</v>
      </c>
      <c r="C782" s="313">
        <v>770</v>
      </c>
      <c r="D782" s="311">
        <v>142473.28053807397</v>
      </c>
    </row>
    <row r="783" spans="1:4">
      <c r="A783" s="312">
        <v>0.46144738516733708</v>
      </c>
      <c r="B783" s="314">
        <v>1.0197525149293512</v>
      </c>
      <c r="C783" s="313">
        <v>771</v>
      </c>
      <c r="D783" s="311">
        <v>162744.2702363953</v>
      </c>
    </row>
    <row r="784" spans="1:4">
      <c r="A784" s="312">
        <v>0.55286578242798712</v>
      </c>
      <c r="B784" s="314">
        <v>1.0313209038898661</v>
      </c>
      <c r="C784" s="313">
        <v>772</v>
      </c>
      <c r="D784" s="311">
        <v>-61309.447223478463</v>
      </c>
    </row>
    <row r="785" spans="1:4">
      <c r="A785" s="312">
        <v>0.21727646750807461</v>
      </c>
      <c r="B785" s="314">
        <v>0.99232287731577595</v>
      </c>
      <c r="C785" s="313">
        <v>773</v>
      </c>
      <c r="D785" s="311">
        <v>75160.205765754683</v>
      </c>
    </row>
    <row r="786" spans="1:4">
      <c r="A786" s="312">
        <v>0.56504878705357542</v>
      </c>
      <c r="B786" s="314">
        <v>1.0329488863452705</v>
      </c>
      <c r="C786" s="313">
        <v>774</v>
      </c>
      <c r="D786" s="311">
        <v>183712.17815359868</v>
      </c>
    </row>
    <row r="787" spans="1:4">
      <c r="A787" s="312">
        <v>0.28784985341538405</v>
      </c>
      <c r="B787" s="314">
        <v>1.0002244024635008</v>
      </c>
      <c r="C787" s="313">
        <v>775</v>
      </c>
      <c r="D787" s="311">
        <v>46080.933877515839</v>
      </c>
    </row>
    <row r="788" spans="1:4">
      <c r="A788" s="312">
        <v>0.30658289445056508</v>
      </c>
      <c r="B788" s="314">
        <v>1.002207446653063</v>
      </c>
      <c r="C788" s="313">
        <v>776</v>
      </c>
      <c r="D788" s="311">
        <v>48340.574662967818</v>
      </c>
    </row>
    <row r="789" spans="1:4">
      <c r="A789" s="312">
        <v>0.29664109774932768</v>
      </c>
      <c r="B789" s="314">
        <v>1.0011517369234824</v>
      </c>
      <c r="C789" s="313">
        <v>777</v>
      </c>
      <c r="D789" s="311">
        <v>-977.73428924032487</v>
      </c>
    </row>
    <row r="790" spans="1:4">
      <c r="A790" s="312">
        <v>0.619509946733525</v>
      </c>
      <c r="B790" s="314">
        <v>1.0405219808459525</v>
      </c>
      <c r="C790" s="313">
        <v>778</v>
      </c>
      <c r="D790" s="311">
        <v>-49257.540449633729</v>
      </c>
    </row>
    <row r="791" spans="1:4">
      <c r="A791" s="312">
        <v>0.98522019075326517</v>
      </c>
      <c r="B791" s="314">
        <v>1.1284230680755547</v>
      </c>
      <c r="C791" s="313">
        <v>779</v>
      </c>
      <c r="D791" s="311">
        <v>45588.492384524317</v>
      </c>
    </row>
    <row r="792" spans="1:4">
      <c r="A792" s="312">
        <v>0.25952639440728908</v>
      </c>
      <c r="B792" s="314">
        <v>0.99718419860006646</v>
      </c>
      <c r="C792" s="313">
        <v>780</v>
      </c>
      <c r="D792" s="311">
        <v>103961.27369177341</v>
      </c>
    </row>
    <row r="793" spans="1:4">
      <c r="A793" s="312">
        <v>4.3387323149563395E-2</v>
      </c>
      <c r="B793" s="314">
        <v>0.96338119483012996</v>
      </c>
      <c r="C793" s="313">
        <v>781</v>
      </c>
      <c r="D793" s="311">
        <v>115109.57510324428</v>
      </c>
    </row>
    <row r="794" spans="1:4">
      <c r="A794" s="312">
        <v>0.81910607527934631</v>
      </c>
      <c r="B794" s="314">
        <v>1.0745138514116623</v>
      </c>
      <c r="C794" s="313">
        <v>782</v>
      </c>
      <c r="D794" s="311">
        <v>220843.88826937275</v>
      </c>
    </row>
    <row r="795" spans="1:4">
      <c r="A795" s="312">
        <v>6.9575998789648708E-2</v>
      </c>
      <c r="B795" s="314">
        <v>0.96960840395478232</v>
      </c>
      <c r="C795" s="313">
        <v>783</v>
      </c>
      <c r="D795" s="311">
        <v>780.89841613708995</v>
      </c>
    </row>
    <row r="796" spans="1:4">
      <c r="A796" s="312">
        <v>0.95681463874284289</v>
      </c>
      <c r="B796" s="314">
        <v>1.1131172278753283</v>
      </c>
      <c r="C796" s="313">
        <v>784</v>
      </c>
      <c r="D796" s="311">
        <v>97158.533583453391</v>
      </c>
    </row>
    <row r="797" spans="1:4">
      <c r="A797" s="312">
        <v>0.62298997028759207</v>
      </c>
      <c r="B797" s="314">
        <v>1.0410237827049367</v>
      </c>
      <c r="C797" s="313">
        <v>785</v>
      </c>
      <c r="D797" s="311">
        <v>211906.0943810544</v>
      </c>
    </row>
    <row r="798" spans="1:4">
      <c r="A798" s="312">
        <v>0.33511831942817039</v>
      </c>
      <c r="B798" s="314">
        <v>1.0052803643660866</v>
      </c>
      <c r="C798" s="313">
        <v>786</v>
      </c>
      <c r="D798" s="311">
        <v>-369.40946719329804</v>
      </c>
    </row>
    <row r="799" spans="1:4">
      <c r="A799" s="312">
        <v>0.74553076957285236</v>
      </c>
      <c r="B799" s="314">
        <v>1.0604691072397066</v>
      </c>
      <c r="C799" s="313">
        <v>787</v>
      </c>
      <c r="D799" s="311">
        <v>115210.47874150076</v>
      </c>
    </row>
    <row r="800" spans="1:4">
      <c r="A800" s="312">
        <v>0.9665510021890853</v>
      </c>
      <c r="B800" s="314">
        <v>1.117540125831362</v>
      </c>
      <c r="C800" s="313">
        <v>788</v>
      </c>
      <c r="D800" s="311">
        <v>18479.826472744113</v>
      </c>
    </row>
    <row r="801" spans="1:4">
      <c r="A801" s="312">
        <v>8.367193608006851E-2</v>
      </c>
      <c r="B801" s="314">
        <v>0.97246946865301098</v>
      </c>
      <c r="C801" s="313">
        <v>789</v>
      </c>
      <c r="D801" s="311">
        <v>198784.74222982232</v>
      </c>
    </row>
    <row r="802" spans="1:4">
      <c r="A802" s="312">
        <v>9.0699733882394495E-2</v>
      </c>
      <c r="B802" s="314">
        <v>0.97380557124082012</v>
      </c>
      <c r="C802" s="313">
        <v>790</v>
      </c>
      <c r="D802" s="311">
        <v>86946.733159870375</v>
      </c>
    </row>
    <row r="803" spans="1:4">
      <c r="A803" s="312">
        <v>3.5146661714381189E-2</v>
      </c>
      <c r="B803" s="314">
        <v>0.9610439525185076</v>
      </c>
      <c r="C803" s="313">
        <v>791</v>
      </c>
      <c r="D803" s="311">
        <v>135077.60427300935</v>
      </c>
    </row>
    <row r="804" spans="1:4">
      <c r="A804" s="312">
        <v>0.15791453765386798</v>
      </c>
      <c r="B804" s="314">
        <v>0.98460631316796687</v>
      </c>
      <c r="C804" s="313">
        <v>792</v>
      </c>
      <c r="D804" s="311">
        <v>142598.6396866031</v>
      </c>
    </row>
    <row r="805" spans="1:4">
      <c r="A805" s="312">
        <v>1.9959382273290416E-2</v>
      </c>
      <c r="B805" s="314">
        <v>0.95585838001321255</v>
      </c>
      <c r="C805" s="313">
        <v>793</v>
      </c>
      <c r="D805" s="311">
        <v>135412.68918571947</v>
      </c>
    </row>
    <row r="806" spans="1:4">
      <c r="A806" s="312">
        <v>0.87187846294067761</v>
      </c>
      <c r="B806" s="314">
        <v>1.0864718297338207</v>
      </c>
      <c r="C806" s="313">
        <v>794</v>
      </c>
      <c r="D806" s="311">
        <v>70740.196111810859</v>
      </c>
    </row>
    <row r="807" spans="1:4">
      <c r="A807" s="312">
        <v>0.34056219638476892</v>
      </c>
      <c r="B807" s="314">
        <v>1.0058740453149406</v>
      </c>
      <c r="C807" s="313">
        <v>795</v>
      </c>
      <c r="D807" s="311">
        <v>158858.67625430133</v>
      </c>
    </row>
    <row r="808" spans="1:4">
      <c r="A808" s="312">
        <v>0.96325775512771938</v>
      </c>
      <c r="B808" s="314">
        <v>1.1159797014493282</v>
      </c>
      <c r="C808" s="313">
        <v>796</v>
      </c>
      <c r="D808" s="311">
        <v>105815.55333372136</v>
      </c>
    </row>
    <row r="809" spans="1:4">
      <c r="A809" s="312">
        <v>0.15702926329379874</v>
      </c>
      <c r="B809" s="314">
        <v>0.98448110517401588</v>
      </c>
      <c r="C809" s="313">
        <v>797</v>
      </c>
      <c r="D809" s="311">
        <v>202360.56899941433</v>
      </c>
    </row>
    <row r="810" spans="1:4">
      <c r="A810" s="312">
        <v>0.45266919646400405</v>
      </c>
      <c r="B810" s="314">
        <v>1.0186953149678812</v>
      </c>
      <c r="C810" s="313">
        <v>798</v>
      </c>
      <c r="D810" s="311">
        <v>40211.615126862191</v>
      </c>
    </row>
    <row r="811" spans="1:4">
      <c r="A811" s="312">
        <v>0.21009084909733333</v>
      </c>
      <c r="B811" s="314">
        <v>0.99145041009191659</v>
      </c>
      <c r="C811" s="313">
        <v>799</v>
      </c>
      <c r="D811" s="311">
        <v>113537.4746941051</v>
      </c>
    </row>
    <row r="812" spans="1:4">
      <c r="A812" s="312">
        <v>0.84341837449705526</v>
      </c>
      <c r="B812" s="314">
        <v>1.0797695137184515</v>
      </c>
      <c r="C812" s="313">
        <v>800</v>
      </c>
      <c r="D812" s="311">
        <v>-73120.710910326336</v>
      </c>
    </row>
    <row r="813" spans="1:4">
      <c r="A813" s="312">
        <v>3.1148522210708518E-2</v>
      </c>
      <c r="B813" s="314">
        <v>0.95981089043569034</v>
      </c>
      <c r="C813" s="313">
        <v>801</v>
      </c>
      <c r="D813" s="311">
        <v>136286.30102960789</v>
      </c>
    </row>
    <row r="814" spans="1:4">
      <c r="A814" s="312">
        <v>0.94664885868544701</v>
      </c>
      <c r="B814" s="314">
        <v>1.1090053546007723</v>
      </c>
      <c r="C814" s="313">
        <v>802</v>
      </c>
      <c r="D814" s="311">
        <v>239289.7438042094</v>
      </c>
    </row>
    <row r="815" spans="1:4">
      <c r="A815" s="312">
        <v>0.13794837880423061</v>
      </c>
      <c r="B815" s="314">
        <v>0.98169112103234091</v>
      </c>
      <c r="C815" s="313">
        <v>803</v>
      </c>
      <c r="D815" s="311">
        <v>235750.69506232999</v>
      </c>
    </row>
    <row r="816" spans="1:4">
      <c r="A816" s="312">
        <v>0.16710169451618384</v>
      </c>
      <c r="B816" s="314">
        <v>0.98588552441570121</v>
      </c>
      <c r="C816" s="313">
        <v>804</v>
      </c>
      <c r="D816" s="311">
        <v>154455.87642278173</v>
      </c>
    </row>
    <row r="817" spans="1:4">
      <c r="A817" s="312">
        <v>0.53406280065761291</v>
      </c>
      <c r="B817" s="314">
        <v>1.0288512411153741</v>
      </c>
      <c r="C817" s="313">
        <v>805</v>
      </c>
      <c r="D817" s="311">
        <v>-44578.259481352754</v>
      </c>
    </row>
    <row r="818" spans="1:4">
      <c r="A818" s="312">
        <v>0.18641998087935874</v>
      </c>
      <c r="B818" s="314">
        <v>0.98846536659388762</v>
      </c>
      <c r="C818" s="313">
        <v>806</v>
      </c>
      <c r="D818" s="311">
        <v>214462.79493941716</v>
      </c>
    </row>
    <row r="819" spans="1:4">
      <c r="A819" s="312">
        <v>0.50465345197441858</v>
      </c>
      <c r="B819" s="314">
        <v>1.0250863647842805</v>
      </c>
      <c r="C819" s="313">
        <v>807</v>
      </c>
      <c r="D819" s="311">
        <v>241327.04527470563</v>
      </c>
    </row>
    <row r="820" spans="1:4">
      <c r="A820" s="312">
        <v>0.96066773372821812</v>
      </c>
      <c r="B820" s="314">
        <v>1.1148010456467647</v>
      </c>
      <c r="C820" s="313">
        <v>808</v>
      </c>
      <c r="D820" s="311">
        <v>142248.49489162629</v>
      </c>
    </row>
    <row r="821" spans="1:4">
      <c r="A821" s="312">
        <v>0.73308855051459576</v>
      </c>
      <c r="B821" s="314">
        <v>1.058306430657378</v>
      </c>
      <c r="C821" s="313">
        <v>809</v>
      </c>
      <c r="D821" s="311">
        <v>188853.44179430581</v>
      </c>
    </row>
    <row r="822" spans="1:4">
      <c r="A822" s="312">
        <v>0.50399407904339488</v>
      </c>
      <c r="B822" s="314">
        <v>1.0250032540018219</v>
      </c>
      <c r="C822" s="313">
        <v>810</v>
      </c>
      <c r="D822" s="311">
        <v>71105.034724435303</v>
      </c>
    </row>
    <row r="823" spans="1:4">
      <c r="A823" s="312">
        <v>0.5619327641048526</v>
      </c>
      <c r="B823" s="314">
        <v>1.0325303531515602</v>
      </c>
      <c r="C823" s="313">
        <v>811</v>
      </c>
      <c r="D823" s="311">
        <v>87030.304007907864</v>
      </c>
    </row>
    <row r="824" spans="1:4">
      <c r="A824" s="312">
        <v>0.60204313586388103</v>
      </c>
      <c r="B824" s="314">
        <v>1.0380373221993697</v>
      </c>
      <c r="C824" s="313">
        <v>812</v>
      </c>
      <c r="D824" s="311">
        <v>177331.48370719026</v>
      </c>
    </row>
    <row r="825" spans="1:4">
      <c r="A825" s="312">
        <v>0.26468829927528847</v>
      </c>
      <c r="B825" s="314">
        <v>0.99775008719360203</v>
      </c>
      <c r="C825" s="313">
        <v>813</v>
      </c>
      <c r="D825" s="311">
        <v>43550.258289652411</v>
      </c>
    </row>
    <row r="826" spans="1:4">
      <c r="A826" s="312">
        <v>0.57331703042418769</v>
      </c>
      <c r="B826" s="314">
        <v>1.0340667711929057</v>
      </c>
      <c r="C826" s="313">
        <v>814</v>
      </c>
      <c r="D826" s="311">
        <v>10888.258894210216</v>
      </c>
    </row>
    <row r="827" spans="1:4">
      <c r="A827" s="312">
        <v>0.20409343036395899</v>
      </c>
      <c r="B827" s="314">
        <v>0.99071072098270618</v>
      </c>
      <c r="C827" s="313">
        <v>815</v>
      </c>
      <c r="D827" s="311">
        <v>39342.313409437658</v>
      </c>
    </row>
    <row r="828" spans="1:4">
      <c r="A828" s="312">
        <v>0.51092453692696327</v>
      </c>
      <c r="B828" s="314">
        <v>1.0258795863413248</v>
      </c>
      <c r="C828" s="313">
        <v>816</v>
      </c>
      <c r="D828" s="311">
        <v>130092.06285711494</v>
      </c>
    </row>
    <row r="829" spans="1:4">
      <c r="A829" s="312">
        <v>0.81038640924077543</v>
      </c>
      <c r="B829" s="314">
        <v>1.072715925903744</v>
      </c>
      <c r="C829" s="313">
        <v>817</v>
      </c>
      <c r="D829" s="311">
        <v>191910.65428008582</v>
      </c>
    </row>
    <row r="830" spans="1:4">
      <c r="A830" s="312">
        <v>0.2091118689527699</v>
      </c>
      <c r="B830" s="314">
        <v>0.99133039595410211</v>
      </c>
      <c r="C830" s="313">
        <v>818</v>
      </c>
      <c r="D830" s="311">
        <v>97215.55499757058</v>
      </c>
    </row>
    <row r="831" spans="1:4">
      <c r="A831" s="312">
        <v>0.46948339045527876</v>
      </c>
      <c r="B831" s="314">
        <v>1.0207279102023228</v>
      </c>
      <c r="C831" s="313">
        <v>819</v>
      </c>
      <c r="D831" s="311">
        <v>171749.39790930878</v>
      </c>
    </row>
    <row r="832" spans="1:4">
      <c r="A832" s="312">
        <v>0.74424662291583021</v>
      </c>
      <c r="B832" s="314">
        <v>1.0602434883802219</v>
      </c>
      <c r="C832" s="313">
        <v>820</v>
      </c>
      <c r="D832" s="311">
        <v>172648.46205671714</v>
      </c>
    </row>
    <row r="833" spans="1:4">
      <c r="A833" s="312">
        <v>0.12270746157216139</v>
      </c>
      <c r="B833" s="314">
        <v>0.9793206563501835</v>
      </c>
      <c r="C833" s="313">
        <v>821</v>
      </c>
      <c r="D833" s="311">
        <v>35516.561138596386</v>
      </c>
    </row>
    <row r="834" spans="1:4">
      <c r="A834" s="312">
        <v>0.41476200323845436</v>
      </c>
      <c r="B834" s="314">
        <v>1.0142244613415632</v>
      </c>
      <c r="C834" s="313">
        <v>822</v>
      </c>
      <c r="D834" s="311">
        <v>2267.1793473868165</v>
      </c>
    </row>
    <row r="835" spans="1:4">
      <c r="A835" s="312">
        <v>0.20460669716304636</v>
      </c>
      <c r="B835" s="314">
        <v>0.99077444617378296</v>
      </c>
      <c r="C835" s="313">
        <v>823</v>
      </c>
      <c r="D835" s="311">
        <v>65497.568715756759</v>
      </c>
    </row>
    <row r="836" spans="1:4">
      <c r="A836" s="312">
        <v>0.60050405643077076</v>
      </c>
      <c r="B836" s="314">
        <v>1.0378210259343101</v>
      </c>
      <c r="C836" s="313">
        <v>824</v>
      </c>
      <c r="D836" s="311">
        <v>91340.294498041738</v>
      </c>
    </row>
    <row r="837" spans="1:4">
      <c r="A837" s="312">
        <v>0.48035714811342001</v>
      </c>
      <c r="B837" s="314">
        <v>1.0220595848278298</v>
      </c>
      <c r="C837" s="313">
        <v>825</v>
      </c>
      <c r="D837" s="311">
        <v>134874.99905977072</v>
      </c>
    </row>
    <row r="838" spans="1:4">
      <c r="A838" s="312">
        <v>0.52424489009639397</v>
      </c>
      <c r="B838" s="314">
        <v>1.0275815129894035</v>
      </c>
      <c r="C838" s="313">
        <v>826</v>
      </c>
      <c r="D838" s="311">
        <v>88604.310618978227</v>
      </c>
    </row>
    <row r="839" spans="1:4">
      <c r="A839" s="312">
        <v>0.1220565014157563</v>
      </c>
      <c r="B839" s="314">
        <v>0.97921622008606291</v>
      </c>
      <c r="C839" s="313">
        <v>827</v>
      </c>
      <c r="D839" s="311">
        <v>238303.88597259857</v>
      </c>
    </row>
    <row r="840" spans="1:4">
      <c r="A840" s="312">
        <v>0.70282653734510558</v>
      </c>
      <c r="B840" s="314">
        <v>1.0532479247063444</v>
      </c>
      <c r="C840" s="313">
        <v>828</v>
      </c>
      <c r="D840" s="311">
        <v>34380.391751703108</v>
      </c>
    </row>
    <row r="841" spans="1:4">
      <c r="A841" s="312">
        <v>0.6399686770785985</v>
      </c>
      <c r="B841" s="314">
        <v>1.0435059312824224</v>
      </c>
      <c r="C841" s="313">
        <v>829</v>
      </c>
      <c r="D841" s="311">
        <v>5410.7602848354727</v>
      </c>
    </row>
    <row r="842" spans="1:4">
      <c r="A842" s="312">
        <v>0.99800931604857557</v>
      </c>
      <c r="B842" s="314">
        <v>1.1420812536049023</v>
      </c>
      <c r="C842" s="313">
        <v>830</v>
      </c>
      <c r="D842" s="311">
        <v>192673.65869463282</v>
      </c>
    </row>
    <row r="843" spans="1:4">
      <c r="A843" s="312">
        <v>0.47758305230407361</v>
      </c>
      <c r="B843" s="314">
        <v>1.021718536598534</v>
      </c>
      <c r="C843" s="313">
        <v>831</v>
      </c>
      <c r="D843" s="311">
        <v>149563.9742278948</v>
      </c>
    </row>
    <row r="844" spans="1:4">
      <c r="A844" s="312">
        <v>0.68985212831609088</v>
      </c>
      <c r="B844" s="314">
        <v>1.0511584198930271</v>
      </c>
      <c r="C844" s="313">
        <v>832</v>
      </c>
      <c r="D844" s="311">
        <v>261688.63174065226</v>
      </c>
    </row>
    <row r="845" spans="1:4">
      <c r="A845" s="312">
        <v>0.98283302100096126</v>
      </c>
      <c r="B845" s="314">
        <v>1.1267457565491861</v>
      </c>
      <c r="C845" s="313">
        <v>833</v>
      </c>
      <c r="D845" s="311">
        <v>223530.32593195653</v>
      </c>
    </row>
    <row r="846" spans="1:4">
      <c r="A846" s="312">
        <v>0.9392301188564357</v>
      </c>
      <c r="B846" s="314">
        <v>1.1062478428414977</v>
      </c>
      <c r="C846" s="313">
        <v>834</v>
      </c>
      <c r="D846" s="311">
        <v>35303.79284654907</v>
      </c>
    </row>
    <row r="847" spans="1:4">
      <c r="A847" s="312">
        <v>5.3301259353172425E-2</v>
      </c>
      <c r="B847" s="314">
        <v>0.96591516675327349</v>
      </c>
      <c r="C847" s="313">
        <v>835</v>
      </c>
      <c r="D847" s="311">
        <v>-40776.635495536728</v>
      </c>
    </row>
    <row r="848" spans="1:4">
      <c r="A848" s="312">
        <v>0.32841863415542438</v>
      </c>
      <c r="B848" s="314">
        <v>1.0045530577010842</v>
      </c>
      <c r="C848" s="313">
        <v>836</v>
      </c>
      <c r="D848" s="311">
        <v>225794.43131052703</v>
      </c>
    </row>
    <row r="849" spans="1:4">
      <c r="A849" s="312">
        <v>0.80259901887886376</v>
      </c>
      <c r="B849" s="314">
        <v>1.0711448739439484</v>
      </c>
      <c r="C849" s="313">
        <v>837</v>
      </c>
      <c r="D849" s="311">
        <v>198083.24032456707</v>
      </c>
    </row>
    <row r="850" spans="1:4">
      <c r="A850" s="312">
        <v>7.8839487350942261E-2</v>
      </c>
      <c r="B850" s="314">
        <v>0.97151789238863961</v>
      </c>
      <c r="C850" s="313">
        <v>838</v>
      </c>
      <c r="D850" s="311">
        <v>146400.74529804895</v>
      </c>
    </row>
    <row r="851" spans="1:4">
      <c r="A851" s="312">
        <v>0.12375603308646255</v>
      </c>
      <c r="B851" s="314">
        <v>0.97948830227914874</v>
      </c>
      <c r="C851" s="313">
        <v>839</v>
      </c>
      <c r="D851" s="311">
        <v>27880.819870521082</v>
      </c>
    </row>
    <row r="852" spans="1:4">
      <c r="A852" s="312">
        <v>0.31629408869631803</v>
      </c>
      <c r="B852" s="314">
        <v>1.0032460010559645</v>
      </c>
      <c r="C852" s="313">
        <v>840</v>
      </c>
      <c r="D852" s="311">
        <v>167513.8190746184</v>
      </c>
    </row>
    <row r="853" spans="1:4">
      <c r="A853" s="312">
        <v>4.3053488563215003E-2</v>
      </c>
      <c r="B853" s="314">
        <v>0.96329107030379901</v>
      </c>
      <c r="C853" s="313">
        <v>841</v>
      </c>
      <c r="D853" s="311">
        <v>130107.76130046626</v>
      </c>
    </row>
    <row r="854" spans="1:4">
      <c r="A854" s="312">
        <v>0.56956485273803459</v>
      </c>
      <c r="B854" s="314">
        <v>1.0335581383747583</v>
      </c>
      <c r="C854" s="313">
        <v>842</v>
      </c>
      <c r="D854" s="311">
        <v>-44044.046114266152</v>
      </c>
    </row>
    <row r="855" spans="1:4">
      <c r="A855" s="312">
        <v>0.93950044077322181</v>
      </c>
      <c r="B855" s="314">
        <v>1.1063452623917687</v>
      </c>
      <c r="C855" s="313">
        <v>843</v>
      </c>
      <c r="D855" s="311">
        <v>217818.7598116817</v>
      </c>
    </row>
    <row r="856" spans="1:4">
      <c r="A856" s="312">
        <v>0.91430894831817289</v>
      </c>
      <c r="B856" s="314">
        <v>1.0980455186920555</v>
      </c>
      <c r="C856" s="313">
        <v>844</v>
      </c>
      <c r="D856" s="311">
        <v>42718.505435721017</v>
      </c>
    </row>
    <row r="857" spans="1:4">
      <c r="A857" s="312">
        <v>0.38787715613080043</v>
      </c>
      <c r="B857" s="314">
        <v>1.0111408282399761</v>
      </c>
      <c r="C857" s="313">
        <v>845</v>
      </c>
      <c r="D857" s="311">
        <v>24515.219351778505</v>
      </c>
    </row>
    <row r="858" spans="1:4">
      <c r="A858" s="312">
        <v>9.5079159114231704E-2</v>
      </c>
      <c r="B858" s="314">
        <v>0.97461209911056124</v>
      </c>
      <c r="C858" s="313">
        <v>846</v>
      </c>
      <c r="D858" s="311">
        <v>95684.613957856782</v>
      </c>
    </row>
    <row r="859" spans="1:4">
      <c r="A859" s="312">
        <v>0.44897320382844319</v>
      </c>
      <c r="B859" s="314">
        <v>1.018252726482086</v>
      </c>
      <c r="C859" s="313">
        <v>847</v>
      </c>
      <c r="D859" s="311">
        <v>126166.94988648035</v>
      </c>
    </row>
    <row r="860" spans="1:4">
      <c r="A860" s="312">
        <v>0.48766665328205094</v>
      </c>
      <c r="B860" s="314">
        <v>1.0229626022715539</v>
      </c>
      <c r="C860" s="313">
        <v>848</v>
      </c>
      <c r="D860" s="311">
        <v>235956.02568253828</v>
      </c>
    </row>
    <row r="861" spans="1:4">
      <c r="A861" s="312">
        <v>0.98728638880281572</v>
      </c>
      <c r="B861" s="314">
        <v>1.1299880347613906</v>
      </c>
      <c r="C861" s="313">
        <v>849</v>
      </c>
      <c r="D861" s="311">
        <v>259653.52731909067</v>
      </c>
    </row>
    <row r="862" spans="1:4">
      <c r="A862" s="312">
        <v>0.60838119400813107</v>
      </c>
      <c r="B862" s="314">
        <v>1.0389324872487733</v>
      </c>
      <c r="C862" s="313">
        <v>850</v>
      </c>
      <c r="D862" s="311">
        <v>51992.831139362417</v>
      </c>
    </row>
    <row r="863" spans="1:4">
      <c r="A863" s="312">
        <v>0.52067738195033275</v>
      </c>
      <c r="B863" s="314">
        <v>1.0271233851843056</v>
      </c>
      <c r="C863" s="313">
        <v>851</v>
      </c>
      <c r="D863" s="311">
        <v>207665.65600602678</v>
      </c>
    </row>
    <row r="864" spans="1:4">
      <c r="A864" s="312">
        <v>0.53352485710584319</v>
      </c>
      <c r="B864" s="314">
        <v>1.0287813256912701</v>
      </c>
      <c r="C864" s="313">
        <v>852</v>
      </c>
      <c r="D864" s="311">
        <v>254283.87910506176</v>
      </c>
    </row>
    <row r="865" spans="1:4">
      <c r="A865" s="312">
        <v>0.53822260543241796</v>
      </c>
      <c r="B865" s="314">
        <v>1.0293932508983066</v>
      </c>
      <c r="C865" s="313">
        <v>853</v>
      </c>
      <c r="D865" s="311">
        <v>-27988.790101501858</v>
      </c>
    </row>
    <row r="866" spans="1:4">
      <c r="A866" s="312">
        <v>0.13341440085717504</v>
      </c>
      <c r="B866" s="314">
        <v>0.98100026159429232</v>
      </c>
      <c r="C866" s="313">
        <v>854</v>
      </c>
      <c r="D866" s="311">
        <v>53990.86313835578</v>
      </c>
    </row>
    <row r="867" spans="1:4">
      <c r="A867" s="312">
        <v>0.21344516632821264</v>
      </c>
      <c r="B867" s="314">
        <v>0.99185951306882347</v>
      </c>
      <c r="C867" s="313">
        <v>855</v>
      </c>
      <c r="D867" s="311">
        <v>198900.74756240728</v>
      </c>
    </row>
    <row r="868" spans="1:4">
      <c r="A868" s="312">
        <v>0.91497760255867777</v>
      </c>
      <c r="B868" s="314">
        <v>1.0982486181884807</v>
      </c>
      <c r="C868" s="313">
        <v>856</v>
      </c>
      <c r="D868" s="311">
        <v>154020.13556458289</v>
      </c>
    </row>
    <row r="869" spans="1:4">
      <c r="A869" s="312">
        <v>0.21814309276709409</v>
      </c>
      <c r="B869" s="314">
        <v>0.99242712054714988</v>
      </c>
      <c r="C869" s="313">
        <v>857</v>
      </c>
      <c r="D869" s="311">
        <v>167308.29966314393</v>
      </c>
    </row>
    <row r="870" spans="1:4">
      <c r="A870" s="312">
        <v>0.51362168937264818</v>
      </c>
      <c r="B870" s="314">
        <v>1.0262223090182985</v>
      </c>
      <c r="C870" s="313">
        <v>858</v>
      </c>
      <c r="D870" s="311">
        <v>84719.982729093637</v>
      </c>
    </row>
    <row r="871" spans="1:4">
      <c r="A871" s="312">
        <v>0.11963737545632713</v>
      </c>
      <c r="B871" s="314">
        <v>0.97882564784713477</v>
      </c>
      <c r="C871" s="313">
        <v>859</v>
      </c>
      <c r="D871" s="311">
        <v>158128.67556004948</v>
      </c>
    </row>
    <row r="872" spans="1:4">
      <c r="A872" s="312">
        <v>0.86929586022998784</v>
      </c>
      <c r="B872" s="314">
        <v>1.0858347414658416</v>
      </c>
      <c r="C872" s="313">
        <v>860</v>
      </c>
      <c r="D872" s="311">
        <v>278185.45291579468</v>
      </c>
    </row>
    <row r="873" spans="1:4">
      <c r="A873" s="312">
        <v>0.99094236707629069</v>
      </c>
      <c r="B873" s="314">
        <v>1.1331087171269663</v>
      </c>
      <c r="C873" s="313">
        <v>861</v>
      </c>
      <c r="D873" s="311">
        <v>147742.85282894108</v>
      </c>
    </row>
    <row r="874" spans="1:4">
      <c r="A874" s="312">
        <v>0.47943315664830832</v>
      </c>
      <c r="B874" s="314">
        <v>1.0219458881348267</v>
      </c>
      <c r="C874" s="313">
        <v>862</v>
      </c>
      <c r="D874" s="311">
        <v>211741.94227797422</v>
      </c>
    </row>
    <row r="875" spans="1:4">
      <c r="A875" s="312">
        <v>0.78192815986323116</v>
      </c>
      <c r="B875" s="314">
        <v>1.0671189830883558</v>
      </c>
      <c r="C875" s="313">
        <v>863</v>
      </c>
      <c r="D875" s="311">
        <v>-63214.608828263357</v>
      </c>
    </row>
    <row r="876" spans="1:4">
      <c r="A876" s="312">
        <v>0.39331859600866415</v>
      </c>
      <c r="B876" s="314">
        <v>1.0117593973330299</v>
      </c>
      <c r="C876" s="313">
        <v>864</v>
      </c>
      <c r="D876" s="311">
        <v>135085.97574946121</v>
      </c>
    </row>
    <row r="877" spans="1:4">
      <c r="A877" s="312">
        <v>5.9869732984522916E-2</v>
      </c>
      <c r="B877" s="314">
        <v>0.96746559002834254</v>
      </c>
      <c r="C877" s="313">
        <v>865</v>
      </c>
      <c r="D877" s="311">
        <v>47061.874056713423</v>
      </c>
    </row>
    <row r="878" spans="1:4">
      <c r="A878" s="312">
        <v>0.82819957382741016</v>
      </c>
      <c r="B878" s="314">
        <v>1.0764356511315665</v>
      </c>
      <c r="C878" s="313">
        <v>866</v>
      </c>
      <c r="D878" s="311">
        <v>222625.41975227976</v>
      </c>
    </row>
    <row r="879" spans="1:4">
      <c r="A879" s="312">
        <v>0.78323932032585397</v>
      </c>
      <c r="B879" s="314">
        <v>1.0673685204674659</v>
      </c>
      <c r="C879" s="313">
        <v>867</v>
      </c>
      <c r="D879" s="311">
        <v>249539.07522432902</v>
      </c>
    </row>
    <row r="880" spans="1:4">
      <c r="A880" s="312">
        <v>0.47503827556110578</v>
      </c>
      <c r="B880" s="314">
        <v>1.0214064763690442</v>
      </c>
      <c r="C880" s="313">
        <v>868</v>
      </c>
      <c r="D880" s="311">
        <v>93257.652214859147</v>
      </c>
    </row>
    <row r="881" spans="1:4">
      <c r="A881" s="312">
        <v>0.36243322822741275</v>
      </c>
      <c r="B881" s="314">
        <v>1.0082842517190256</v>
      </c>
      <c r="C881" s="313">
        <v>869</v>
      </c>
      <c r="D881" s="311">
        <v>33976.263238363899</v>
      </c>
    </row>
    <row r="882" spans="1:4">
      <c r="A882" s="312">
        <v>0.47117046447095812</v>
      </c>
      <c r="B882" s="314">
        <v>1.0209336202988368</v>
      </c>
      <c r="C882" s="313">
        <v>870</v>
      </c>
      <c r="D882" s="311">
        <v>108204.31887739431</v>
      </c>
    </row>
    <row r="883" spans="1:4">
      <c r="A883" s="312">
        <v>0.84282005595996334</v>
      </c>
      <c r="B883" s="314">
        <v>1.0796354617917436</v>
      </c>
      <c r="C883" s="313">
        <v>871</v>
      </c>
      <c r="D883" s="311">
        <v>247012.14719154779</v>
      </c>
    </row>
    <row r="884" spans="1:4">
      <c r="A884" s="312">
        <v>0.32892658257652052</v>
      </c>
      <c r="B884" s="314">
        <v>1.0046080722707083</v>
      </c>
      <c r="C884" s="313">
        <v>872</v>
      </c>
      <c r="D884" s="311">
        <v>98433.822263319977</v>
      </c>
    </row>
    <row r="885" spans="1:4">
      <c r="A885" s="312">
        <v>0.71864421208500862</v>
      </c>
      <c r="B885" s="314">
        <v>1.0558580469752075</v>
      </c>
      <c r="C885" s="313">
        <v>873</v>
      </c>
      <c r="D885" s="311">
        <v>237613.96533551393</v>
      </c>
    </row>
    <row r="886" spans="1:4">
      <c r="A886" s="312">
        <v>0.55063052058148199</v>
      </c>
      <c r="B886" s="314">
        <v>1.0310246302729706</v>
      </c>
      <c r="C886" s="313">
        <v>874</v>
      </c>
      <c r="D886" s="311">
        <v>220617.65931543754</v>
      </c>
    </row>
    <row r="887" spans="1:4">
      <c r="A887" s="312">
        <v>0.68952308454817557</v>
      </c>
      <c r="B887" s="314">
        <v>1.051106002018664</v>
      </c>
      <c r="C887" s="313">
        <v>875</v>
      </c>
      <c r="D887" s="311">
        <v>157849.17958050221</v>
      </c>
    </row>
    <row r="888" spans="1:4">
      <c r="A888" s="312">
        <v>0.44700299857755832</v>
      </c>
      <c r="B888" s="314">
        <v>1.0180174043867642</v>
      </c>
      <c r="C888" s="313">
        <v>876</v>
      </c>
      <c r="D888" s="311">
        <v>51244.95491675823</v>
      </c>
    </row>
    <row r="889" spans="1:4">
      <c r="A889" s="312">
        <v>0.75486061196484011</v>
      </c>
      <c r="B889" s="314">
        <v>1.0621257106822051</v>
      </c>
      <c r="C889" s="313">
        <v>877</v>
      </c>
      <c r="D889" s="311">
        <v>155343.95671365759</v>
      </c>
    </row>
    <row r="890" spans="1:4">
      <c r="A890" s="312">
        <v>0.55493933723152378</v>
      </c>
      <c r="B890" s="314">
        <v>1.0315964068230739</v>
      </c>
      <c r="C890" s="313">
        <v>878</v>
      </c>
      <c r="D890" s="311">
        <v>80518.978086981457</v>
      </c>
    </row>
    <row r="891" spans="1:4">
      <c r="A891" s="312">
        <v>0.77499982481428198</v>
      </c>
      <c r="B891" s="314">
        <v>1.065812676023346</v>
      </c>
      <c r="C891" s="313">
        <v>879</v>
      </c>
      <c r="D891" s="311">
        <v>-10080.171875552973</v>
      </c>
    </row>
    <row r="892" spans="1:4">
      <c r="A892" s="312">
        <v>0.19314445871612929</v>
      </c>
      <c r="B892" s="314">
        <v>0.9893317360309084</v>
      </c>
      <c r="C892" s="313">
        <v>880</v>
      </c>
      <c r="D892" s="311">
        <v>61028.715074682841</v>
      </c>
    </row>
    <row r="893" spans="1:4">
      <c r="A893" s="312">
        <v>4.6472535441033469E-2</v>
      </c>
      <c r="B893" s="314">
        <v>0.96419822197098415</v>
      </c>
      <c r="C893" s="313">
        <v>881</v>
      </c>
      <c r="D893" s="311">
        <v>-30152.400720109697</v>
      </c>
    </row>
    <row r="894" spans="1:4">
      <c r="A894" s="312">
        <v>0.76673518875835056</v>
      </c>
      <c r="B894" s="314">
        <v>1.0642804482389696</v>
      </c>
      <c r="C894" s="313">
        <v>882</v>
      </c>
      <c r="D894" s="311">
        <v>189752.94484017184</v>
      </c>
    </row>
    <row r="895" spans="1:4">
      <c r="A895" s="312">
        <v>0.8476356375904136</v>
      </c>
      <c r="B895" s="314">
        <v>1.0807217392257717</v>
      </c>
      <c r="C895" s="313">
        <v>883</v>
      </c>
      <c r="D895" s="311">
        <v>150495.3715044721</v>
      </c>
    </row>
    <row r="896" spans="1:4">
      <c r="A896" s="312">
        <v>0.88912834718756117</v>
      </c>
      <c r="B896" s="314">
        <v>1.0909029860010522</v>
      </c>
      <c r="C896" s="313">
        <v>884</v>
      </c>
      <c r="D896" s="311">
        <v>260578.83501588041</v>
      </c>
    </row>
    <row r="897" spans="1:4">
      <c r="A897" s="312">
        <v>0.73059463353679355</v>
      </c>
      <c r="B897" s="314">
        <v>1.0578790520913348</v>
      </c>
      <c r="C897" s="313">
        <v>885</v>
      </c>
      <c r="D897" s="311">
        <v>120415.16317539709</v>
      </c>
    </row>
    <row r="898" spans="1:4">
      <c r="A898" s="312">
        <v>0.50307078029426489</v>
      </c>
      <c r="B898" s="314">
        <v>1.0248869694207248</v>
      </c>
      <c r="C898" s="313">
        <v>886</v>
      </c>
      <c r="D898" s="311">
        <v>265403.40811721236</v>
      </c>
    </row>
    <row r="899" spans="1:4">
      <c r="A899" s="312">
        <v>0.95003728280078925</v>
      </c>
      <c r="B899" s="314">
        <v>1.1103285292461302</v>
      </c>
      <c r="C899" s="313">
        <v>887</v>
      </c>
      <c r="D899" s="311">
        <v>159428.04903681623</v>
      </c>
    </row>
    <row r="900" spans="1:4">
      <c r="A900" s="312">
        <v>0.17058901806282345</v>
      </c>
      <c r="B900" s="314">
        <v>0.98636185530790987</v>
      </c>
      <c r="C900" s="313">
        <v>888</v>
      </c>
      <c r="D900" s="311">
        <v>184362.9699394817</v>
      </c>
    </row>
    <row r="901" spans="1:4">
      <c r="A901" s="312">
        <v>0.86326110686930446</v>
      </c>
      <c r="B901" s="314">
        <v>1.0843701658266842</v>
      </c>
      <c r="C901" s="313">
        <v>889</v>
      </c>
      <c r="D901" s="311">
        <v>92413.721880671801</v>
      </c>
    </row>
    <row r="902" spans="1:4">
      <c r="A902" s="312">
        <v>0.84990941309644852</v>
      </c>
      <c r="B902" s="314">
        <v>1.0812406116413047</v>
      </c>
      <c r="C902" s="313">
        <v>890</v>
      </c>
      <c r="D902" s="311">
        <v>200186.27625913639</v>
      </c>
    </row>
    <row r="903" spans="1:4">
      <c r="A903" s="312">
        <v>0.15587499750739997</v>
      </c>
      <c r="B903" s="314">
        <v>0.98431732131563499</v>
      </c>
      <c r="C903" s="313">
        <v>891</v>
      </c>
      <c r="D903" s="311">
        <v>133986.2557327929</v>
      </c>
    </row>
    <row r="904" spans="1:4">
      <c r="A904" s="312">
        <v>0.75993038697163362</v>
      </c>
      <c r="B904" s="314">
        <v>1.0630391305793603</v>
      </c>
      <c r="C904" s="313">
        <v>892</v>
      </c>
      <c r="D904" s="311">
        <v>223774.47219771659</v>
      </c>
    </row>
    <row r="905" spans="1:4">
      <c r="A905" s="312">
        <v>0.66815511149610918</v>
      </c>
      <c r="B905" s="314">
        <v>1.0477595286206456</v>
      </c>
      <c r="C905" s="313">
        <v>893</v>
      </c>
      <c r="D905" s="311">
        <v>213959.65406277007</v>
      </c>
    </row>
    <row r="906" spans="1:4">
      <c r="A906" s="312">
        <v>0.96893067846894299</v>
      </c>
      <c r="B906" s="314">
        <v>1.118716080357022</v>
      </c>
      <c r="C906" s="313">
        <v>894</v>
      </c>
      <c r="D906" s="311">
        <v>104725.89833141211</v>
      </c>
    </row>
    <row r="907" spans="1:4">
      <c r="A907" s="312">
        <v>0.81958592643511763</v>
      </c>
      <c r="B907" s="314">
        <v>1.0746140376642057</v>
      </c>
      <c r="C907" s="313">
        <v>895</v>
      </c>
      <c r="D907" s="311">
        <v>-5955.4834287220147</v>
      </c>
    </row>
    <row r="908" spans="1:4">
      <c r="A908" s="312">
        <v>0.29857629263846452</v>
      </c>
      <c r="B908" s="314">
        <v>1.0013566456854246</v>
      </c>
      <c r="C908" s="313">
        <v>896</v>
      </c>
      <c r="D908" s="311">
        <v>95944.884499074891</v>
      </c>
    </row>
    <row r="909" spans="1:4">
      <c r="A909" s="312">
        <v>0.39503283722519211</v>
      </c>
      <c r="B909" s="314">
        <v>1.0119548420718552</v>
      </c>
      <c r="C909" s="313">
        <v>897</v>
      </c>
      <c r="D909" s="311">
        <v>158492.95995204081</v>
      </c>
    </row>
    <row r="910" spans="1:4">
      <c r="A910" s="312">
        <v>0.65223264746669007</v>
      </c>
      <c r="B910" s="314">
        <v>1.0453354329068367</v>
      </c>
      <c r="C910" s="313">
        <v>898</v>
      </c>
      <c r="D910" s="311">
        <v>96431.291792602977</v>
      </c>
    </row>
    <row r="911" spans="1:4">
      <c r="A911" s="312">
        <v>0.45055530146114942</v>
      </c>
      <c r="B911" s="314">
        <v>1.0184419975677124</v>
      </c>
      <c r="C911" s="313">
        <v>899</v>
      </c>
      <c r="D911" s="311">
        <v>58461.546270550927</v>
      </c>
    </row>
    <row r="912" spans="1:4">
      <c r="A912" s="312">
        <v>0.18924075922649908</v>
      </c>
      <c r="B912" s="314">
        <v>0.98883066215252347</v>
      </c>
      <c r="C912" s="313">
        <v>900</v>
      </c>
      <c r="D912" s="311">
        <v>187492.54605717468</v>
      </c>
    </row>
    <row r="913" spans="1:4">
      <c r="A913" s="312">
        <v>0.72571432646221856</v>
      </c>
      <c r="B913" s="314">
        <v>1.0570484065954751</v>
      </c>
      <c r="C913" s="313">
        <v>901</v>
      </c>
      <c r="D913" s="311">
        <v>14624.812498412794</v>
      </c>
    </row>
    <row r="914" spans="1:4">
      <c r="A914" s="312">
        <v>0.70764169086787643</v>
      </c>
      <c r="B914" s="314">
        <v>1.0540349712777519</v>
      </c>
      <c r="C914" s="313">
        <v>902</v>
      </c>
      <c r="D914" s="311">
        <v>69846.082410437288</v>
      </c>
    </row>
    <row r="915" spans="1:4">
      <c r="A915" s="312">
        <v>0.44053423521167068</v>
      </c>
      <c r="B915" s="314">
        <v>1.0172477058923937</v>
      </c>
      <c r="C915" s="313">
        <v>903</v>
      </c>
      <c r="D915" s="311">
        <v>121286.12205469795</v>
      </c>
    </row>
    <row r="916" spans="1:4">
      <c r="A916" s="312">
        <v>0.98002443527023553</v>
      </c>
      <c r="B916" s="314">
        <v>1.1249155369005517</v>
      </c>
      <c r="C916" s="313">
        <v>904</v>
      </c>
      <c r="D916" s="311">
        <v>8968.7984975827858</v>
      </c>
    </row>
    <row r="917" spans="1:4">
      <c r="A917" s="312">
        <v>0.95201313321170833</v>
      </c>
      <c r="B917" s="314">
        <v>1.111120875732198</v>
      </c>
      <c r="C917" s="313">
        <v>905</v>
      </c>
      <c r="D917" s="311">
        <v>64525.530757310335</v>
      </c>
    </row>
    <row r="918" spans="1:4">
      <c r="A918" s="312">
        <v>0.74176325256830067</v>
      </c>
      <c r="B918" s="314">
        <v>1.0598087723550758</v>
      </c>
      <c r="C918" s="313">
        <v>906</v>
      </c>
      <c r="D918" s="311">
        <v>-87502.410895583918</v>
      </c>
    </row>
    <row r="919" spans="1:4">
      <c r="A919" s="312">
        <v>0.12921720801519954</v>
      </c>
      <c r="B919" s="314">
        <v>0.98035017745923192</v>
      </c>
      <c r="C919" s="313">
        <v>907</v>
      </c>
      <c r="D919" s="311">
        <v>108084.49267501733</v>
      </c>
    </row>
    <row r="920" spans="1:4">
      <c r="A920" s="312">
        <v>0.67128488287203691</v>
      </c>
      <c r="B920" s="314">
        <v>1.0482428076766519</v>
      </c>
      <c r="C920" s="313">
        <v>908</v>
      </c>
      <c r="D920" s="311">
        <v>164826.74435417214</v>
      </c>
    </row>
    <row r="921" spans="1:4">
      <c r="A921" s="312">
        <v>7.4270000705022987E-2</v>
      </c>
      <c r="B921" s="314">
        <v>0.97059088113937364</v>
      </c>
      <c r="C921" s="313">
        <v>909</v>
      </c>
      <c r="D921" s="311">
        <v>70564.03657662496</v>
      </c>
    </row>
    <row r="922" spans="1:4">
      <c r="A922" s="312">
        <v>0.54468900627518735</v>
      </c>
      <c r="B922" s="314">
        <v>1.0302406734223526</v>
      </c>
      <c r="C922" s="313">
        <v>910</v>
      </c>
      <c r="D922" s="311">
        <v>143170.40804346721</v>
      </c>
    </row>
    <row r="923" spans="1:4">
      <c r="A923" s="312">
        <v>0.2499709112109586</v>
      </c>
      <c r="B923" s="314">
        <v>0.99612159549815094</v>
      </c>
      <c r="C923" s="313">
        <v>911</v>
      </c>
      <c r="D923" s="311">
        <v>197407.40528348903</v>
      </c>
    </row>
    <row r="924" spans="1:4">
      <c r="A924" s="312">
        <v>0.94565827071327557</v>
      </c>
      <c r="B924" s="314">
        <v>1.1086265245292128</v>
      </c>
      <c r="C924" s="313">
        <v>912</v>
      </c>
      <c r="D924" s="311">
        <v>125716.08970320225</v>
      </c>
    </row>
    <row r="925" spans="1:4">
      <c r="A925" s="312">
        <v>0.81963755121151682</v>
      </c>
      <c r="B925" s="314">
        <v>1.0746248241339549</v>
      </c>
      <c r="C925" s="313">
        <v>913</v>
      </c>
      <c r="D925" s="311">
        <v>66264.879144139821</v>
      </c>
    </row>
    <row r="926" spans="1:4">
      <c r="A926" s="312">
        <v>0.56190672343547465</v>
      </c>
      <c r="B926" s="314">
        <v>1.0325268617437051</v>
      </c>
      <c r="C926" s="313">
        <v>914</v>
      </c>
      <c r="D926" s="311">
        <v>219337.95628896356</v>
      </c>
    </row>
    <row r="927" spans="1:4">
      <c r="A927" s="312">
        <v>0.73552614818318229</v>
      </c>
      <c r="B927" s="314">
        <v>1.058726091722608</v>
      </c>
      <c r="C927" s="313">
        <v>915</v>
      </c>
      <c r="D927" s="311">
        <v>214183.68330661347</v>
      </c>
    </row>
    <row r="928" spans="1:4">
      <c r="A928" s="312">
        <v>0.16760238754319723</v>
      </c>
      <c r="B928" s="314">
        <v>0.98595421724982679</v>
      </c>
      <c r="C928" s="313">
        <v>916</v>
      </c>
      <c r="D928" s="311">
        <v>164430.31363422959</v>
      </c>
    </row>
    <row r="929" spans="1:4">
      <c r="A929" s="312">
        <v>0.706967769250055</v>
      </c>
      <c r="B929" s="314">
        <v>1.0539244293869494</v>
      </c>
      <c r="C929" s="313">
        <v>917</v>
      </c>
      <c r="D929" s="311">
        <v>178437.48749578674</v>
      </c>
    </row>
    <row r="930" spans="1:4">
      <c r="A930" s="312">
        <v>0.62574863912904155</v>
      </c>
      <c r="B930" s="314">
        <v>1.0414232167199857</v>
      </c>
      <c r="C930" s="313">
        <v>918</v>
      </c>
      <c r="D930" s="311">
        <v>147532.64181561396</v>
      </c>
    </row>
    <row r="931" spans="1:4">
      <c r="A931" s="312">
        <v>0.74541588733030939</v>
      </c>
      <c r="B931" s="314">
        <v>1.0604488997884713</v>
      </c>
      <c r="C931" s="313">
        <v>919</v>
      </c>
      <c r="D931" s="311">
        <v>175937.34918202367</v>
      </c>
    </row>
    <row r="932" spans="1:4">
      <c r="A932" s="312">
        <v>0.92567765661367896</v>
      </c>
      <c r="B932" s="314">
        <v>1.1016145288679637</v>
      </c>
      <c r="C932" s="313">
        <v>920</v>
      </c>
      <c r="D932" s="311">
        <v>26881.002538500354</v>
      </c>
    </row>
    <row r="933" spans="1:4">
      <c r="A933" s="312">
        <v>0.98222074805604176</v>
      </c>
      <c r="B933" s="314">
        <v>1.1263346997434072</v>
      </c>
      <c r="C933" s="313">
        <v>921</v>
      </c>
      <c r="D933" s="311">
        <v>26961.326962856343</v>
      </c>
    </row>
    <row r="934" spans="1:4">
      <c r="A934" s="312">
        <v>0.63084293478778086</v>
      </c>
      <c r="B934" s="314">
        <v>1.0421647202712168</v>
      </c>
      <c r="C934" s="313">
        <v>922</v>
      </c>
      <c r="D934" s="311">
        <v>82055.667046717135</v>
      </c>
    </row>
    <row r="935" spans="1:4">
      <c r="A935" s="312">
        <v>0.45764694411747542</v>
      </c>
      <c r="B935" s="314">
        <v>1.0192937596734588</v>
      </c>
      <c r="C935" s="313">
        <v>923</v>
      </c>
      <c r="D935" s="311">
        <v>-35221.431194171077</v>
      </c>
    </row>
    <row r="936" spans="1:4">
      <c r="A936" s="312">
        <v>4.6846729793823094E-2</v>
      </c>
      <c r="B936" s="314">
        <v>0.96429544803872047</v>
      </c>
      <c r="C936" s="313">
        <v>924</v>
      </c>
      <c r="D936" s="311">
        <v>181550.05886437721</v>
      </c>
    </row>
    <row r="937" spans="1:4">
      <c r="A937" s="312">
        <v>0.57078544390810038</v>
      </c>
      <c r="B937" s="314">
        <v>1.0337233535188821</v>
      </c>
      <c r="C937" s="313">
        <v>925</v>
      </c>
      <c r="D937" s="311">
        <v>28877.420948537299</v>
      </c>
    </row>
    <row r="938" spans="1:4">
      <c r="A938" s="312">
        <v>0.59892529415131934</v>
      </c>
      <c r="B938" s="314">
        <v>1.0375995852577338</v>
      </c>
      <c r="C938" s="313">
        <v>926</v>
      </c>
      <c r="D938" s="311">
        <v>139229.89039071114</v>
      </c>
    </row>
    <row r="939" spans="1:4">
      <c r="A939" s="312">
        <v>0.72484963178050554</v>
      </c>
      <c r="B939" s="314">
        <v>1.0569020053979996</v>
      </c>
      <c r="C939" s="313">
        <v>927</v>
      </c>
      <c r="D939" s="311">
        <v>78227.659777348163</v>
      </c>
    </row>
    <row r="940" spans="1:4">
      <c r="A940" s="312">
        <v>0.81599708635764623</v>
      </c>
      <c r="B940" s="314">
        <v>1.073867931988326</v>
      </c>
      <c r="C940" s="313">
        <v>928</v>
      </c>
      <c r="D940" s="311">
        <v>35927.791398960864</v>
      </c>
    </row>
    <row r="941" spans="1:4">
      <c r="A941" s="312">
        <v>0.24900065364929702</v>
      </c>
      <c r="B941" s="314">
        <v>0.99601257212431094</v>
      </c>
      <c r="C941" s="313">
        <v>929</v>
      </c>
      <c r="D941" s="311">
        <v>189399.56676496193</v>
      </c>
    </row>
    <row r="942" spans="1:4">
      <c r="A942" s="312">
        <v>0.52548624682404244</v>
      </c>
      <c r="B942" s="314">
        <v>1.0277413265856254</v>
      </c>
      <c r="C942" s="313">
        <v>930</v>
      </c>
      <c r="D942" s="311">
        <v>274450.46957062301</v>
      </c>
    </row>
    <row r="943" spans="1:4">
      <c r="A943" s="312">
        <v>0.8720986727435649</v>
      </c>
      <c r="B943" s="314">
        <v>1.0865264479599754</v>
      </c>
      <c r="C943" s="313">
        <v>931</v>
      </c>
      <c r="D943" s="311">
        <v>256513.08409898635</v>
      </c>
    </row>
    <row r="944" spans="1:4">
      <c r="A944" s="312">
        <v>0.49462191833109237</v>
      </c>
      <c r="B944" s="314">
        <v>1.0238278573829762</v>
      </c>
      <c r="C944" s="313">
        <v>932</v>
      </c>
      <c r="D944" s="311">
        <v>192728.33869543672</v>
      </c>
    </row>
    <row r="945" spans="1:4">
      <c r="A945" s="312">
        <v>0.90552990664488975</v>
      </c>
      <c r="B945" s="314">
        <v>1.095449033549478</v>
      </c>
      <c r="C945" s="313">
        <v>933</v>
      </c>
      <c r="D945" s="311">
        <v>68552.354902364314</v>
      </c>
    </row>
    <row r="946" spans="1:4">
      <c r="A946" s="312">
        <v>0.79599471978590353</v>
      </c>
      <c r="B946" s="314">
        <v>1.0698366272743964</v>
      </c>
      <c r="C946" s="313">
        <v>934</v>
      </c>
      <c r="D946" s="311">
        <v>173375.35990373045</v>
      </c>
    </row>
    <row r="947" spans="1:4">
      <c r="A947" s="312">
        <v>0.25893940206712152</v>
      </c>
      <c r="B947" s="314">
        <v>0.99711949287279888</v>
      </c>
      <c r="C947" s="313">
        <v>935</v>
      </c>
      <c r="D947" s="311">
        <v>238746.30898266146</v>
      </c>
    </row>
    <row r="948" spans="1:4">
      <c r="A948" s="312">
        <v>0.83265073108242738</v>
      </c>
      <c r="B948" s="314">
        <v>1.0773948901873736</v>
      </c>
      <c r="C948" s="313">
        <v>936</v>
      </c>
      <c r="D948" s="311">
        <v>192379.99038373143</v>
      </c>
    </row>
    <row r="949" spans="1:4">
      <c r="A949" s="312">
        <v>0.76747061556158713</v>
      </c>
      <c r="B949" s="314">
        <v>1.0644156812855883</v>
      </c>
      <c r="C949" s="313">
        <v>937</v>
      </c>
      <c r="D949" s="311">
        <v>176390.47042904771</v>
      </c>
    </row>
    <row r="950" spans="1:4">
      <c r="A950" s="312">
        <v>0.37900506208315332</v>
      </c>
      <c r="B950" s="314">
        <v>1.0101381376343763</v>
      </c>
      <c r="C950" s="313">
        <v>938</v>
      </c>
      <c r="D950" s="311">
        <v>265972.77990233176</v>
      </c>
    </row>
    <row r="951" spans="1:4">
      <c r="A951" s="312">
        <v>0.84389432711253454</v>
      </c>
      <c r="B951" s="314">
        <v>1.0798763328400804</v>
      </c>
      <c r="C951" s="313">
        <v>939</v>
      </c>
      <c r="D951" s="311">
        <v>-43660.82021849975</v>
      </c>
    </row>
    <row r="952" spans="1:4">
      <c r="A952" s="312">
        <v>0.48067989273682343</v>
      </c>
      <c r="B952" s="314">
        <v>1.0220993222113735</v>
      </c>
      <c r="C952" s="313">
        <v>940</v>
      </c>
      <c r="D952" s="311">
        <v>24187.913944017608</v>
      </c>
    </row>
    <row r="953" spans="1:4">
      <c r="A953" s="312">
        <v>0.77710500170877594</v>
      </c>
      <c r="B953" s="314">
        <v>1.0662074439692071</v>
      </c>
      <c r="C953" s="313">
        <v>941</v>
      </c>
      <c r="D953" s="311">
        <v>135870.89901001961</v>
      </c>
    </row>
    <row r="954" spans="1:4">
      <c r="A954" s="312">
        <v>0.45863965858350364</v>
      </c>
      <c r="B954" s="314">
        <v>1.0194134357806299</v>
      </c>
      <c r="C954" s="313">
        <v>942</v>
      </c>
      <c r="D954" s="311">
        <v>161376.56491432223</v>
      </c>
    </row>
    <row r="955" spans="1:4">
      <c r="A955" s="312">
        <v>0.39576956980799038</v>
      </c>
      <c r="B955" s="314">
        <v>1.0120389237826541</v>
      </c>
      <c r="C955" s="313">
        <v>943</v>
      </c>
      <c r="D955" s="311">
        <v>91813.549329311587</v>
      </c>
    </row>
    <row r="956" spans="1:4">
      <c r="A956" s="312">
        <v>0.48568163582904034</v>
      </c>
      <c r="B956" s="314">
        <v>1.0227167392333727</v>
      </c>
      <c r="C956" s="313">
        <v>944</v>
      </c>
      <c r="D956" s="311">
        <v>130363.34812300815</v>
      </c>
    </row>
    <row r="957" spans="1:4">
      <c r="A957" s="312">
        <v>0.62797291913898423</v>
      </c>
      <c r="B957" s="314">
        <v>1.0417463485737224</v>
      </c>
      <c r="C957" s="313">
        <v>945</v>
      </c>
      <c r="D957" s="311">
        <v>62584.88302486157</v>
      </c>
    </row>
    <row r="958" spans="1:4">
      <c r="A958" s="312">
        <v>0.35631357803766206</v>
      </c>
      <c r="B958" s="314">
        <v>1.0076057504959781</v>
      </c>
      <c r="C958" s="313">
        <v>946</v>
      </c>
      <c r="D958" s="311">
        <v>123826.61528369901</v>
      </c>
    </row>
    <row r="959" spans="1:4">
      <c r="A959" s="312">
        <v>0.63456579230578969</v>
      </c>
      <c r="B959" s="314">
        <v>1.0427098441497653</v>
      </c>
      <c r="C959" s="313">
        <v>947</v>
      </c>
      <c r="D959" s="311">
        <v>-3924.743628066266</v>
      </c>
    </row>
    <row r="960" spans="1:4">
      <c r="A960" s="312">
        <v>0.46213185060646478</v>
      </c>
      <c r="B960" s="314">
        <v>1.0198353092966592</v>
      </c>
      <c r="C960" s="313">
        <v>948</v>
      </c>
      <c r="D960" s="311">
        <v>174051.61011527758</v>
      </c>
    </row>
    <row r="961" spans="1:4">
      <c r="A961" s="312">
        <v>0.26579033596126533</v>
      </c>
      <c r="B961" s="314">
        <v>0.99787018431897323</v>
      </c>
      <c r="C961" s="313">
        <v>949</v>
      </c>
      <c r="D961" s="311">
        <v>146319.11441105953</v>
      </c>
    </row>
    <row r="962" spans="1:4">
      <c r="A962" s="312">
        <v>1.8301770554642882E-2</v>
      </c>
      <c r="B962" s="314">
        <v>0.95518559544398896</v>
      </c>
      <c r="C962" s="313">
        <v>950</v>
      </c>
      <c r="D962" s="311">
        <v>183766.18156525888</v>
      </c>
    </row>
    <row r="963" spans="1:4">
      <c r="A963" s="312">
        <v>0.13747129914230727</v>
      </c>
      <c r="B963" s="314">
        <v>0.98161896645993352</v>
      </c>
      <c r="C963" s="313">
        <v>951</v>
      </c>
      <c r="D963" s="311">
        <v>202999.59878003434</v>
      </c>
    </row>
    <row r="964" spans="1:4">
      <c r="A964" s="312">
        <v>0.92395027798697416</v>
      </c>
      <c r="B964" s="314">
        <v>1.1010554779019111</v>
      </c>
      <c r="C964" s="313">
        <v>952</v>
      </c>
      <c r="D964" s="311">
        <v>130125.95674237446</v>
      </c>
    </row>
    <row r="965" spans="1:4">
      <c r="A965" s="312">
        <v>0.4002430644721241</v>
      </c>
      <c r="B965" s="314">
        <v>1.0125505785056623</v>
      </c>
      <c r="C965" s="313">
        <v>953</v>
      </c>
      <c r="D965" s="311">
        <v>149004.3698820984</v>
      </c>
    </row>
    <row r="966" spans="1:4">
      <c r="A966" s="312">
        <v>0.18463657776201536</v>
      </c>
      <c r="B966" s="314">
        <v>0.98823298539175641</v>
      </c>
      <c r="C966" s="313">
        <v>954</v>
      </c>
      <c r="D966" s="311">
        <v>65416.021748773521</v>
      </c>
    </row>
    <row r="967" spans="1:4">
      <c r="A967" s="312">
        <v>0.9769417420071701</v>
      </c>
      <c r="B967" s="314">
        <v>1.1230493946863127</v>
      </c>
      <c r="C967" s="313">
        <v>955</v>
      </c>
      <c r="D967" s="311">
        <v>-85832.576614099322</v>
      </c>
    </row>
    <row r="968" spans="1:4">
      <c r="A968" s="312">
        <v>0.83451828741841449</v>
      </c>
      <c r="B968" s="314">
        <v>1.077801149965391</v>
      </c>
      <c r="C968" s="313">
        <v>956</v>
      </c>
      <c r="D968" s="311">
        <v>173215.38610104006</v>
      </c>
    </row>
    <row r="969" spans="1:4">
      <c r="A969" s="312">
        <v>0.35022780895605932</v>
      </c>
      <c r="B969" s="314">
        <v>1.0069341968956798</v>
      </c>
      <c r="C969" s="313">
        <v>957</v>
      </c>
      <c r="D969" s="311">
        <v>166523.01106800325</v>
      </c>
    </row>
    <row r="970" spans="1:4">
      <c r="A970" s="312">
        <v>0.98927932626326165</v>
      </c>
      <c r="B970" s="314">
        <v>1.1316233511567735</v>
      </c>
      <c r="C970" s="313">
        <v>958</v>
      </c>
      <c r="D970" s="311">
        <v>116699.78730137972</v>
      </c>
    </row>
    <row r="971" spans="1:4">
      <c r="A971" s="312">
        <v>0.88024024987111871</v>
      </c>
      <c r="B971" s="314">
        <v>1.0885798719550361</v>
      </c>
      <c r="C971" s="313">
        <v>959</v>
      </c>
      <c r="D971" s="311">
        <v>267965.66326596285</v>
      </c>
    </row>
    <row r="972" spans="1:4">
      <c r="A972" s="312">
        <v>0.62311695224228514</v>
      </c>
      <c r="B972" s="314">
        <v>1.0410421365647802</v>
      </c>
      <c r="C972" s="313">
        <v>960</v>
      </c>
      <c r="D972" s="311">
        <v>112446.52050255425</v>
      </c>
    </row>
    <row r="973" spans="1:4">
      <c r="A973" s="312">
        <v>0.15347083679468321</v>
      </c>
      <c r="B973" s="314">
        <v>0.98397422590123684</v>
      </c>
      <c r="C973" s="313">
        <v>961</v>
      </c>
      <c r="D973" s="311">
        <v>188858.66858849674</v>
      </c>
    </row>
    <row r="974" spans="1:4">
      <c r="A974" s="312">
        <v>0.65027351830730185</v>
      </c>
      <c r="B974" s="314">
        <v>1.0450410357648285</v>
      </c>
      <c r="C974" s="313">
        <v>962</v>
      </c>
      <c r="D974" s="311">
        <v>212710.25704588811</v>
      </c>
    </row>
    <row r="975" spans="1:4">
      <c r="A975" s="312">
        <v>2.770374104532769E-2</v>
      </c>
      <c r="B975" s="314">
        <v>0.95868333849104936</v>
      </c>
      <c r="C975" s="313">
        <v>963</v>
      </c>
      <c r="D975" s="311">
        <v>262775.77769103111</v>
      </c>
    </row>
    <row r="976" spans="1:4">
      <c r="A976" s="312">
        <v>0.7803441606856929</v>
      </c>
      <c r="B976" s="314">
        <v>1.0668185180559959</v>
      </c>
      <c r="C976" s="313">
        <v>964</v>
      </c>
      <c r="D976" s="311">
        <v>117035.47074789461</v>
      </c>
    </row>
    <row r="977" spans="1:4">
      <c r="A977" s="312">
        <v>0.18569681912705738</v>
      </c>
      <c r="B977" s="314">
        <v>0.98837127164961569</v>
      </c>
      <c r="C977" s="313">
        <v>965</v>
      </c>
      <c r="D977" s="311">
        <v>3468.1271654609591</v>
      </c>
    </row>
    <row r="978" spans="1:4">
      <c r="A978" s="312">
        <v>0.29745645204496829</v>
      </c>
      <c r="B978" s="314">
        <v>1.001238036579966</v>
      </c>
      <c r="C978" s="313">
        <v>966</v>
      </c>
      <c r="D978" s="311">
        <v>76820.868572899839</v>
      </c>
    </row>
    <row r="979" spans="1:4">
      <c r="A979" s="312">
        <v>0.99097234964842462</v>
      </c>
      <c r="B979" s="314">
        <v>1.1331366970591574</v>
      </c>
      <c r="C979" s="313">
        <v>967</v>
      </c>
      <c r="D979" s="311">
        <v>236500.67246808601</v>
      </c>
    </row>
    <row r="980" spans="1:4">
      <c r="A980" s="312">
        <v>0.52347232666733112</v>
      </c>
      <c r="B980" s="314">
        <v>1.0274821575851947</v>
      </c>
      <c r="C980" s="313">
        <v>968</v>
      </c>
      <c r="D980" s="311">
        <v>37365.752345948014</v>
      </c>
    </row>
    <row r="981" spans="1:4">
      <c r="A981" s="312">
        <v>0.66814815059961319</v>
      </c>
      <c r="B981" s="314">
        <v>1.0477584563100097</v>
      </c>
      <c r="C981" s="313">
        <v>969</v>
      </c>
      <c r="D981" s="311">
        <v>267237.32234034338</v>
      </c>
    </row>
    <row r="982" spans="1:4">
      <c r="A982" s="312">
        <v>0.36258549006922902</v>
      </c>
      <c r="B982" s="314">
        <v>1.0083011748008499</v>
      </c>
      <c r="C982" s="313">
        <v>970</v>
      </c>
      <c r="D982" s="311">
        <v>2685.8320568345953</v>
      </c>
    </row>
    <row r="983" spans="1:4">
      <c r="A983" s="312">
        <v>0.99126528401038694</v>
      </c>
      <c r="B983" s="314">
        <v>1.1334125483068431</v>
      </c>
      <c r="C983" s="313">
        <v>971</v>
      </c>
      <c r="D983" s="311">
        <v>173781.3226281784</v>
      </c>
    </row>
    <row r="984" spans="1:4">
      <c r="A984" s="312">
        <v>0.58645920441684862</v>
      </c>
      <c r="B984" s="314">
        <v>1.035866152869233</v>
      </c>
      <c r="C984" s="313">
        <v>972</v>
      </c>
      <c r="D984" s="311">
        <v>178055.30922590499</v>
      </c>
    </row>
    <row r="985" spans="1:4">
      <c r="A985" s="312">
        <v>0.34973260308362364</v>
      </c>
      <c r="B985" s="314">
        <v>1.0068796904598587</v>
      </c>
      <c r="C985" s="313">
        <v>973</v>
      </c>
      <c r="D985" s="311">
        <v>244280.17449232494</v>
      </c>
    </row>
    <row r="986" spans="1:4">
      <c r="A986" s="312">
        <v>0.46710296736381229</v>
      </c>
      <c r="B986" s="314">
        <v>1.020438213473108</v>
      </c>
      <c r="C986" s="313">
        <v>974</v>
      </c>
      <c r="D986" s="311">
        <v>59245.169031630503</v>
      </c>
    </row>
    <row r="987" spans="1:4">
      <c r="A987" s="312">
        <v>1.2119240918142538E-2</v>
      </c>
      <c r="B987" s="314">
        <v>0.95235728269356146</v>
      </c>
      <c r="C987" s="313">
        <v>975</v>
      </c>
      <c r="D987" s="311">
        <v>109471.98917459301</v>
      </c>
    </row>
    <row r="988" spans="1:4">
      <c r="A988" s="312">
        <v>5.9620462942825747E-2</v>
      </c>
      <c r="B988" s="314">
        <v>0.96740835334491293</v>
      </c>
      <c r="C988" s="313">
        <v>976</v>
      </c>
      <c r="D988" s="311">
        <v>75560.270205712877</v>
      </c>
    </row>
    <row r="989" spans="1:4">
      <c r="A989" s="312">
        <v>0.9282343625446754</v>
      </c>
      <c r="B989" s="314">
        <v>1.1024540477028515</v>
      </c>
      <c r="C989" s="313">
        <v>977</v>
      </c>
      <c r="D989" s="311">
        <v>6266.5534561770037</v>
      </c>
    </row>
    <row r="990" spans="1:4">
      <c r="A990" s="312">
        <v>0.78105017431608559</v>
      </c>
      <c r="B990" s="314">
        <v>1.0669523058174202</v>
      </c>
      <c r="C990" s="313">
        <v>978</v>
      </c>
      <c r="D990" s="311">
        <v>296052.08433973533</v>
      </c>
    </row>
    <row r="991" spans="1:4">
      <c r="A991" s="312">
        <v>0.32478779448467154</v>
      </c>
      <c r="B991" s="314">
        <v>1.0041604152716661</v>
      </c>
      <c r="C991" s="313">
        <v>979</v>
      </c>
      <c r="D991" s="311">
        <v>206276.76231091144</v>
      </c>
    </row>
    <row r="992" spans="1:4">
      <c r="A992" s="312">
        <v>0.17397251375910783</v>
      </c>
      <c r="B992" s="314">
        <v>0.9868193728424971</v>
      </c>
      <c r="C992" s="313">
        <v>980</v>
      </c>
      <c r="D992" s="311">
        <v>177935.67257715971</v>
      </c>
    </row>
    <row r="993" spans="1:4">
      <c r="A993" s="312">
        <v>3.5245968468403666E-3</v>
      </c>
      <c r="B993" s="314">
        <v>0.94666407685056142</v>
      </c>
      <c r="C993" s="313">
        <v>981</v>
      </c>
      <c r="D993" s="311">
        <v>78956.512022462208</v>
      </c>
    </row>
    <row r="994" spans="1:4">
      <c r="A994" s="312">
        <v>0.7342087164780563</v>
      </c>
      <c r="B994" s="314">
        <v>1.0584990413659985</v>
      </c>
      <c r="C994" s="313">
        <v>982</v>
      </c>
      <c r="D994" s="311">
        <v>131098.99136030325</v>
      </c>
    </row>
    <row r="995" spans="1:4">
      <c r="A995" s="312">
        <v>0.88333164720089252</v>
      </c>
      <c r="B995" s="314">
        <v>1.0893777836666136</v>
      </c>
      <c r="C995" s="313">
        <v>983</v>
      </c>
      <c r="D995" s="311">
        <v>79291.506402250612</v>
      </c>
    </row>
    <row r="996" spans="1:4">
      <c r="A996" s="312">
        <v>1.7609185584820941E-2</v>
      </c>
      <c r="B996" s="314">
        <v>0.95489549389475703</v>
      </c>
      <c r="C996" s="313">
        <v>984</v>
      </c>
      <c r="D996" s="311">
        <v>165329.77691052621</v>
      </c>
    </row>
    <row r="997" spans="1:4">
      <c r="A997" s="312">
        <v>0.14529558204988802</v>
      </c>
      <c r="B997" s="314">
        <v>0.98278696453160219</v>
      </c>
      <c r="C997" s="313">
        <v>985</v>
      </c>
      <c r="D997" s="311">
        <v>176759.39044336788</v>
      </c>
    </row>
    <row r="998" spans="1:4">
      <c r="A998" s="312">
        <v>9.178466789228179E-2</v>
      </c>
      <c r="B998" s="314">
        <v>0.97400715829708129</v>
      </c>
      <c r="C998" s="313">
        <v>986</v>
      </c>
      <c r="D998" s="311">
        <v>266297.07507082773</v>
      </c>
    </row>
    <row r="999" spans="1:4">
      <c r="A999" s="312">
        <v>0.18508686263837881</v>
      </c>
      <c r="B999" s="314">
        <v>0.98829176398976926</v>
      </c>
      <c r="C999" s="313">
        <v>987</v>
      </c>
      <c r="D999" s="311">
        <v>127398.46345389099</v>
      </c>
    </row>
    <row r="1000" spans="1:4">
      <c r="A1000" s="312">
        <v>0.37748174443642279</v>
      </c>
      <c r="B1000" s="314">
        <v>1.0099667002093691</v>
      </c>
      <c r="C1000" s="313">
        <v>988</v>
      </c>
      <c r="D1000" s="311">
        <v>69333.615479181055</v>
      </c>
    </row>
    <row r="1001" spans="1:4">
      <c r="A1001" s="312">
        <v>0.23752499410766337</v>
      </c>
      <c r="B1001" s="314">
        <v>0.99470662597671833</v>
      </c>
      <c r="C1001" s="313">
        <v>989</v>
      </c>
      <c r="D1001" s="311">
        <v>165264.71181383124</v>
      </c>
    </row>
    <row r="1002" spans="1:4">
      <c r="A1002" s="312">
        <v>0.11975007279867111</v>
      </c>
      <c r="B1002" s="314">
        <v>0.97884393024995353</v>
      </c>
      <c r="C1002" s="313">
        <v>990</v>
      </c>
      <c r="D1002" s="311">
        <v>214682.35142891784</v>
      </c>
    </row>
    <row r="1003" spans="1:4">
      <c r="A1003" s="312">
        <v>0.89367221528978291</v>
      </c>
      <c r="B1003" s="314">
        <v>1.0921266450050471</v>
      </c>
      <c r="C1003" s="313">
        <v>991</v>
      </c>
      <c r="D1003" s="311">
        <v>-6345.1568041234277</v>
      </c>
    </row>
    <row r="1004" spans="1:4">
      <c r="A1004" s="312">
        <v>0.25068718872252693</v>
      </c>
      <c r="B1004" s="314">
        <v>0.9962019446096293</v>
      </c>
      <c r="C1004" s="313">
        <v>992</v>
      </c>
      <c r="D1004" s="311">
        <v>220264.28334012767</v>
      </c>
    </row>
    <row r="1005" spans="1:4">
      <c r="A1005" s="312">
        <v>0.51982657268290722</v>
      </c>
      <c r="B1005" s="314">
        <v>1.0270143790498725</v>
      </c>
      <c r="C1005" s="313">
        <v>993</v>
      </c>
      <c r="D1005" s="311">
        <v>62094.636679836549</v>
      </c>
    </row>
    <row r="1006" spans="1:4">
      <c r="A1006" s="312">
        <v>0.8492509274491431</v>
      </c>
      <c r="B1006" s="314">
        <v>1.0810899442363309</v>
      </c>
      <c r="C1006" s="313">
        <v>994</v>
      </c>
      <c r="D1006" s="311">
        <v>72814.082214426948</v>
      </c>
    </row>
    <row r="1007" spans="1:4">
      <c r="A1007" s="312">
        <v>9.2348176174209762E-2</v>
      </c>
      <c r="B1007" s="314">
        <v>0.97411139134944569</v>
      </c>
      <c r="C1007" s="313">
        <v>995</v>
      </c>
      <c r="D1007" s="311">
        <v>153702.85775238601</v>
      </c>
    </row>
    <row r="1008" spans="1:4">
      <c r="A1008" s="312">
        <v>0.71756614246743033</v>
      </c>
      <c r="B1008" s="314">
        <v>1.0556778577836787</v>
      </c>
      <c r="C1008" s="313">
        <v>996</v>
      </c>
      <c r="D1008" s="311">
        <v>69572.875968554057</v>
      </c>
    </row>
    <row r="1009" spans="1:4">
      <c r="A1009" s="312">
        <v>6.7368664073180873E-2</v>
      </c>
      <c r="B1009" s="314">
        <v>0.96913494752564477</v>
      </c>
      <c r="C1009" s="313">
        <v>997</v>
      </c>
      <c r="D1009" s="311">
        <v>167807.43550652126</v>
      </c>
    </row>
    <row r="1010" spans="1:4">
      <c r="A1010" s="312">
        <v>0.61311940506728602</v>
      </c>
      <c r="B1010" s="314">
        <v>1.0396064370518801</v>
      </c>
      <c r="C1010" s="313">
        <v>998</v>
      </c>
      <c r="D1010" s="311">
        <v>-22389.955046860268</v>
      </c>
    </row>
    <row r="1011" spans="1:4">
      <c r="A1011" s="312">
        <v>0.65342277471090415</v>
      </c>
      <c r="B1011" s="314">
        <v>1.0455146776020356</v>
      </c>
      <c r="C1011" s="313">
        <v>999</v>
      </c>
      <c r="D1011" s="311">
        <v>-24955.180243051378</v>
      </c>
    </row>
    <row r="1012" spans="1:4">
      <c r="A1012" s="312">
        <v>0.84807253098400637</v>
      </c>
      <c r="B1012" s="314">
        <v>1.0808211356409791</v>
      </c>
      <c r="C1012" s="313">
        <v>1000</v>
      </c>
      <c r="D1012" s="311">
        <v>161313.30854431679</v>
      </c>
    </row>
  </sheetData>
  <hyperlinks>
    <hyperlink ref="F1" location="Index!A1" display="Back to Index" xr:uid="{134B9675-B953-472C-BA35-C26F907EB1B5}"/>
    <hyperlink ref="F3" location="'QM Simulation Summary Stats'!A1" display="Go to Simulation Summary" xr:uid="{1FC474FB-2F9A-4F78-9B1A-89694206DC9C}"/>
    <hyperlink ref="F2" location="'QM Parameters for Simulation'!A1" display="Go to Parameters for Simulations" xr:uid="{C29A43AB-EF84-4F8F-B273-56B98B7A9D73}"/>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7D55-AB41-432B-82C1-67FD77FC61D3}">
  <sheetPr>
    <tabColor rgb="FFDEDCE8"/>
  </sheetPr>
  <dimension ref="A1:F1012"/>
  <sheetViews>
    <sheetView topLeftCell="D2" workbookViewId="0">
      <selection activeCell="E2" sqref="E2:E7"/>
    </sheetView>
  </sheetViews>
  <sheetFormatPr defaultColWidth="9.125" defaultRowHeight="12.95"/>
  <cols>
    <col min="1" max="1" width="25.625" style="307" customWidth="1"/>
    <col min="2" max="2" width="13.5" style="313" customWidth="1"/>
    <col min="3" max="3" width="25.625" style="307" customWidth="1"/>
    <col min="4" max="4" width="15.625" style="311" customWidth="1"/>
    <col min="5" max="12" width="15.625" style="307" customWidth="1"/>
    <col min="13" max="16384" width="9.125" style="307"/>
  </cols>
  <sheetData>
    <row r="1" spans="1:6" ht="55.5" customHeight="1">
      <c r="A1" s="329" t="s">
        <v>1219</v>
      </c>
      <c r="B1" s="336">
        <v>3</v>
      </c>
      <c r="C1" s="337" t="s">
        <v>1220</v>
      </c>
      <c r="D1" s="330" t="s">
        <v>1221</v>
      </c>
      <c r="E1" s="338"/>
      <c r="F1" s="308" t="s">
        <v>41</v>
      </c>
    </row>
    <row r="2" spans="1:6" ht="15.95">
      <c r="A2" s="339" t="s">
        <v>1169</v>
      </c>
      <c r="B2" s="117" t="s">
        <v>1171</v>
      </c>
      <c r="C2" s="338" t="s">
        <v>1171</v>
      </c>
      <c r="D2" s="337" t="s">
        <v>1222</v>
      </c>
      <c r="E2" s="340">
        <v>318764.80664532562</v>
      </c>
      <c r="F2" s="44" t="s">
        <v>1223</v>
      </c>
    </row>
    <row r="3" spans="1:6" ht="15.95">
      <c r="A3" s="339" t="s">
        <v>1174</v>
      </c>
      <c r="B3" s="117" t="s">
        <v>1171</v>
      </c>
      <c r="C3" s="338"/>
      <c r="D3" s="337" t="s">
        <v>1224</v>
      </c>
      <c r="E3" s="340">
        <v>294515.84546647826</v>
      </c>
      <c r="F3" s="44" t="s">
        <v>1225</v>
      </c>
    </row>
    <row r="4" spans="1:6" ht="15.95">
      <c r="A4" s="339" t="s">
        <v>1171</v>
      </c>
      <c r="B4" s="341" t="s">
        <v>1171</v>
      </c>
      <c r="C4" s="338" t="s">
        <v>1171</v>
      </c>
      <c r="D4" s="337" t="s">
        <v>1226</v>
      </c>
      <c r="E4" s="340">
        <v>203681.26754446904</v>
      </c>
    </row>
    <row r="5" spans="1:6" ht="15.95">
      <c r="A5" s="339" t="s">
        <v>1171</v>
      </c>
      <c r="B5" s="341" t="s">
        <v>1171</v>
      </c>
      <c r="C5" s="338" t="s">
        <v>1171</v>
      </c>
      <c r="D5" s="337" t="s">
        <v>1227</v>
      </c>
      <c r="E5" s="340">
        <v>22780.806246181019</v>
      </c>
    </row>
    <row r="6" spans="1:6" ht="15.95">
      <c r="A6" s="339" t="s">
        <v>1171</v>
      </c>
      <c r="B6" s="341" t="s">
        <v>1171</v>
      </c>
      <c r="C6" s="338" t="s">
        <v>1171</v>
      </c>
      <c r="D6" s="337" t="s">
        <v>1228</v>
      </c>
      <c r="E6" s="340">
        <v>694927.89882554114</v>
      </c>
    </row>
    <row r="7" spans="1:6" ht="15.95">
      <c r="A7" s="339"/>
      <c r="B7" s="339"/>
      <c r="C7" s="339"/>
      <c r="D7" s="337" t="s">
        <v>1229</v>
      </c>
      <c r="E7" s="1029">
        <v>0.03</v>
      </c>
    </row>
    <row r="8" spans="1:6" ht="15.95">
      <c r="A8" s="339"/>
      <c r="B8" s="339"/>
      <c r="C8" s="339"/>
      <c r="D8" s="342"/>
      <c r="E8" s="338"/>
    </row>
    <row r="9" spans="1:6" ht="15.95">
      <c r="A9" s="339"/>
      <c r="B9" s="339"/>
      <c r="C9" s="339"/>
      <c r="D9" s="342"/>
      <c r="E9" s="338"/>
    </row>
    <row r="10" spans="1:6" ht="15.95">
      <c r="A10" s="339"/>
      <c r="B10" s="339"/>
      <c r="C10" s="339"/>
      <c r="D10" s="342"/>
      <c r="E10" s="338"/>
    </row>
    <row r="11" spans="1:6" ht="15.95">
      <c r="A11" s="343" t="s">
        <v>1230</v>
      </c>
      <c r="B11" s="343" t="s">
        <v>1231</v>
      </c>
      <c r="C11" s="336" t="s">
        <v>1232</v>
      </c>
      <c r="D11" s="1030" t="s">
        <v>1233</v>
      </c>
      <c r="E11" s="336"/>
      <c r="F11" s="317" t="s">
        <v>1234</v>
      </c>
    </row>
    <row r="12" spans="1:6" ht="15.95">
      <c r="A12" s="345">
        <v>0.3293096128846732</v>
      </c>
      <c r="B12" s="346"/>
      <c r="C12" s="346">
        <v>0</v>
      </c>
      <c r="D12" s="342">
        <v>819578.13601626176</v>
      </c>
      <c r="E12" s="338"/>
    </row>
    <row r="13" spans="1:6" ht="15.95">
      <c r="A13" s="345">
        <v>0.49842630824733525</v>
      </c>
      <c r="B13" s="347" t="s">
        <v>1240</v>
      </c>
      <c r="C13" s="346">
        <v>1</v>
      </c>
      <c r="D13" s="342">
        <v>451579.11408503377</v>
      </c>
      <c r="E13" s="338"/>
    </row>
    <row r="14" spans="1:6" ht="15.95">
      <c r="A14" s="345">
        <v>0.85749122264791966</v>
      </c>
      <c r="B14" s="347" t="s">
        <v>1240</v>
      </c>
      <c r="C14" s="346">
        <v>2</v>
      </c>
      <c r="D14" s="342">
        <v>50170.499729565112</v>
      </c>
      <c r="E14" s="338"/>
    </row>
    <row r="15" spans="1:6" ht="15.95">
      <c r="A15" s="345">
        <v>0.73064505142691494</v>
      </c>
      <c r="B15" s="347" t="s">
        <v>1240</v>
      </c>
      <c r="C15" s="346">
        <v>3</v>
      </c>
      <c r="D15" s="342">
        <v>121316.3971235808</v>
      </c>
      <c r="E15" s="338"/>
    </row>
    <row r="16" spans="1:6" ht="15.95">
      <c r="A16" s="345">
        <v>0.38276623601878501</v>
      </c>
      <c r="B16" s="347" t="s">
        <v>1240</v>
      </c>
      <c r="C16" s="346">
        <v>4</v>
      </c>
      <c r="D16" s="342">
        <v>86639.099633255042</v>
      </c>
      <c r="E16" s="338"/>
    </row>
    <row r="17" spans="1:5" ht="15.95">
      <c r="A17" s="345">
        <v>0.23614520017744967</v>
      </c>
      <c r="B17" s="347" t="s">
        <v>1240</v>
      </c>
      <c r="C17" s="346">
        <v>5</v>
      </c>
      <c r="D17" s="342">
        <v>434810.7870822167</v>
      </c>
      <c r="E17" s="338"/>
    </row>
    <row r="18" spans="1:5" ht="15.95">
      <c r="A18" s="345">
        <v>0.4396964967788195</v>
      </c>
      <c r="B18" s="347" t="s">
        <v>1240</v>
      </c>
      <c r="C18" s="346">
        <v>6</v>
      </c>
      <c r="D18" s="342">
        <v>163071.08750014566</v>
      </c>
      <c r="E18" s="338"/>
    </row>
    <row r="19" spans="1:5" ht="15.95">
      <c r="A19" s="345">
        <v>0.11283656422922894</v>
      </c>
      <c r="B19" s="347" t="s">
        <v>1240</v>
      </c>
      <c r="C19" s="346">
        <v>7</v>
      </c>
      <c r="D19" s="342">
        <v>552993.26748762908</v>
      </c>
      <c r="E19" s="338"/>
    </row>
    <row r="20" spans="1:5" ht="15.95">
      <c r="A20" s="345">
        <v>0.9582972434724244</v>
      </c>
      <c r="B20" s="347" t="s">
        <v>1240</v>
      </c>
      <c r="C20" s="346">
        <v>8</v>
      </c>
      <c r="D20" s="342">
        <v>241239.71759663848</v>
      </c>
      <c r="E20" s="338"/>
    </row>
    <row r="21" spans="1:5" ht="15.95">
      <c r="A21" s="345">
        <v>9.7232689714632281E-2</v>
      </c>
      <c r="B21" s="347" t="s">
        <v>1240</v>
      </c>
      <c r="C21" s="346">
        <v>9</v>
      </c>
      <c r="D21" s="342">
        <v>303679.09000855335</v>
      </c>
      <c r="E21" s="338"/>
    </row>
    <row r="22" spans="1:5" ht="15.95">
      <c r="A22" s="345">
        <v>0.45088227481969567</v>
      </c>
      <c r="B22" s="347" t="s">
        <v>1240</v>
      </c>
      <c r="C22" s="346">
        <v>10</v>
      </c>
      <c r="D22" s="342">
        <v>415285.83575503714</v>
      </c>
      <c r="E22" s="338"/>
    </row>
    <row r="23" spans="1:5" ht="15.95">
      <c r="A23" s="345">
        <v>0.67672120851795459</v>
      </c>
      <c r="B23" s="347" t="s">
        <v>1240</v>
      </c>
      <c r="C23" s="346">
        <v>11</v>
      </c>
      <c r="D23" s="342">
        <v>221776.07984297816</v>
      </c>
    </row>
    <row r="24" spans="1:5" ht="15.95">
      <c r="A24" s="345">
        <v>0.9924020979396817</v>
      </c>
      <c r="B24" s="347" t="s">
        <v>1240</v>
      </c>
      <c r="C24" s="346">
        <v>12</v>
      </c>
      <c r="D24" s="342">
        <v>215603.57813072973</v>
      </c>
    </row>
    <row r="25" spans="1:5" ht="15.95">
      <c r="A25" s="345">
        <v>8.119641991190707E-2</v>
      </c>
      <c r="B25" s="347" t="s">
        <v>1240</v>
      </c>
      <c r="C25" s="346">
        <v>13</v>
      </c>
      <c r="D25" s="342">
        <v>133902.87213017978</v>
      </c>
    </row>
    <row r="26" spans="1:5" ht="15.95">
      <c r="A26" s="345">
        <v>0.38644826521560605</v>
      </c>
      <c r="B26" s="347" t="s">
        <v>1240</v>
      </c>
      <c r="C26" s="346">
        <v>14</v>
      </c>
      <c r="D26" s="342">
        <v>200002.60610951553</v>
      </c>
    </row>
    <row r="27" spans="1:5" ht="15.95">
      <c r="A27" s="345">
        <v>0.65795625275171798</v>
      </c>
      <c r="B27" s="347" t="s">
        <v>1240</v>
      </c>
      <c r="C27" s="346">
        <v>15</v>
      </c>
      <c r="D27" s="342">
        <v>349572.24993287609</v>
      </c>
    </row>
    <row r="28" spans="1:5" ht="15.95">
      <c r="A28" s="345">
        <v>0.9469254966378513</v>
      </c>
      <c r="B28" s="347" t="s">
        <v>1240</v>
      </c>
      <c r="C28" s="346">
        <v>16</v>
      </c>
      <c r="D28" s="342">
        <v>264803.31264446909</v>
      </c>
    </row>
    <row r="29" spans="1:5" ht="15.95">
      <c r="A29" s="345">
        <v>0.74107575685126614</v>
      </c>
      <c r="B29" s="347" t="s">
        <v>1240</v>
      </c>
      <c r="C29" s="346">
        <v>17</v>
      </c>
      <c r="D29" s="342">
        <v>336037.34931671224</v>
      </c>
    </row>
    <row r="30" spans="1:5" ht="15.95">
      <c r="A30" s="345">
        <v>0.6327945610857193</v>
      </c>
      <c r="B30" s="347" t="s">
        <v>1240</v>
      </c>
      <c r="C30" s="346">
        <v>18</v>
      </c>
      <c r="D30" s="342">
        <v>319414.08236879483</v>
      </c>
    </row>
    <row r="31" spans="1:5" ht="15.95">
      <c r="A31" s="345">
        <v>7.6209969780911657E-2</v>
      </c>
      <c r="B31" s="347" t="s">
        <v>1240</v>
      </c>
      <c r="C31" s="346">
        <v>19</v>
      </c>
      <c r="D31" s="342">
        <v>513963.1636670453</v>
      </c>
    </row>
    <row r="32" spans="1:5" ht="15.95">
      <c r="A32" s="345">
        <v>0.29297579593512268</v>
      </c>
      <c r="B32" s="347" t="s">
        <v>1240</v>
      </c>
      <c r="C32" s="346">
        <v>20</v>
      </c>
      <c r="D32" s="342">
        <v>682114.29466956877</v>
      </c>
    </row>
    <row r="33" spans="1:6" ht="15.95">
      <c r="A33" s="345">
        <v>0.77938134984400653</v>
      </c>
      <c r="B33" s="347" t="s">
        <v>1240</v>
      </c>
      <c r="C33" s="346">
        <v>21</v>
      </c>
      <c r="D33" s="342">
        <v>199462.99276954192</v>
      </c>
    </row>
    <row r="34" spans="1:6" ht="15.95">
      <c r="A34" s="345">
        <v>0.99372500175564782</v>
      </c>
      <c r="B34" s="347" t="s">
        <v>1240</v>
      </c>
      <c r="C34" s="346">
        <v>22</v>
      </c>
      <c r="D34" s="342">
        <v>355703.1931823194</v>
      </c>
    </row>
    <row r="35" spans="1:6" ht="15.95">
      <c r="A35" s="345">
        <v>3.208351368034501E-2</v>
      </c>
      <c r="B35" s="347" t="s">
        <v>1240</v>
      </c>
      <c r="C35" s="346">
        <v>23</v>
      </c>
      <c r="D35" s="342">
        <v>117953.44312509592</v>
      </c>
    </row>
    <row r="36" spans="1:6" ht="15.95">
      <c r="A36" s="345">
        <v>0.39148644724604165</v>
      </c>
      <c r="B36" s="347" t="s">
        <v>1240</v>
      </c>
      <c r="C36" s="346">
        <v>24</v>
      </c>
      <c r="D36" s="342">
        <v>206907.77368128905</v>
      </c>
    </row>
    <row r="37" spans="1:6" ht="15.95">
      <c r="A37" s="345">
        <v>0.76388160136915262</v>
      </c>
      <c r="B37" s="347" t="s">
        <v>1240</v>
      </c>
      <c r="C37" s="346">
        <v>25</v>
      </c>
      <c r="D37" s="342">
        <v>360715.93241319153</v>
      </c>
    </row>
    <row r="38" spans="1:6" ht="15.95">
      <c r="A38" s="345">
        <v>0.27945304551610983</v>
      </c>
      <c r="B38" s="347" t="s">
        <v>1240</v>
      </c>
      <c r="C38" s="346">
        <v>26</v>
      </c>
      <c r="D38" s="342">
        <v>281242.30728580849</v>
      </c>
    </row>
    <row r="39" spans="1:6" ht="15.95">
      <c r="A39" s="345">
        <v>0.2144539918413999</v>
      </c>
      <c r="B39" s="347" t="s">
        <v>1240</v>
      </c>
      <c r="C39" s="346">
        <v>27</v>
      </c>
      <c r="D39" s="342">
        <v>149113.0319333009</v>
      </c>
    </row>
    <row r="40" spans="1:6" ht="15.95">
      <c r="A40" s="345">
        <v>0.81951281545602717</v>
      </c>
      <c r="B40" s="347" t="s">
        <v>1240</v>
      </c>
      <c r="C40" s="346">
        <v>28</v>
      </c>
      <c r="D40" s="342">
        <v>708390.91980903293</v>
      </c>
    </row>
    <row r="41" spans="1:6" ht="15.95">
      <c r="A41" s="345">
        <v>0.71734149160805105</v>
      </c>
      <c r="B41" s="347" t="s">
        <v>1240</v>
      </c>
      <c r="C41" s="346">
        <v>29</v>
      </c>
      <c r="D41" s="342">
        <v>55943.814325604821</v>
      </c>
    </row>
    <row r="42" spans="1:6" ht="15.95">
      <c r="A42" s="345">
        <v>0.99447407713333846</v>
      </c>
      <c r="B42" s="347" t="s">
        <v>1240</v>
      </c>
      <c r="C42" s="346">
        <v>30</v>
      </c>
      <c r="D42" s="342">
        <v>78137.21330004232</v>
      </c>
    </row>
    <row r="43" spans="1:6" ht="15.95">
      <c r="A43" s="345">
        <v>0.56757404277614809</v>
      </c>
      <c r="B43" s="347" t="s">
        <v>1240</v>
      </c>
      <c r="C43" s="346">
        <v>31</v>
      </c>
      <c r="D43" s="342">
        <v>358717.58190941648</v>
      </c>
      <c r="F43" s="307" t="s">
        <v>1235</v>
      </c>
    </row>
    <row r="44" spans="1:6" ht="15.95">
      <c r="A44" s="345">
        <v>0.34143196614507942</v>
      </c>
      <c r="B44" s="347" t="s">
        <v>1240</v>
      </c>
      <c r="C44" s="346">
        <v>32</v>
      </c>
      <c r="D44" s="342">
        <v>467157.872160987</v>
      </c>
    </row>
    <row r="45" spans="1:6" ht="15.95">
      <c r="A45" s="345">
        <v>8.3068643405545095E-2</v>
      </c>
      <c r="B45" s="347" t="s">
        <v>1240</v>
      </c>
      <c r="C45" s="346">
        <v>33</v>
      </c>
      <c r="D45" s="342">
        <v>496723.50633726455</v>
      </c>
    </row>
    <row r="46" spans="1:6" ht="15.95">
      <c r="A46" s="345">
        <v>0.29196551621471778</v>
      </c>
      <c r="B46" s="347" t="s">
        <v>1240</v>
      </c>
      <c r="C46" s="346">
        <v>34</v>
      </c>
      <c r="D46" s="342">
        <v>334613.58804340195</v>
      </c>
    </row>
    <row r="47" spans="1:6" ht="15.95">
      <c r="A47" s="345">
        <v>0.38641582990222356</v>
      </c>
      <c r="B47" s="347" t="s">
        <v>1240</v>
      </c>
      <c r="C47" s="346">
        <v>35</v>
      </c>
      <c r="D47" s="342">
        <v>108632.94860403775</v>
      </c>
    </row>
    <row r="48" spans="1:6" ht="15.95">
      <c r="A48" s="345">
        <v>0.85121808428204748</v>
      </c>
      <c r="B48" s="347" t="s">
        <v>1240</v>
      </c>
      <c r="C48" s="346">
        <v>36</v>
      </c>
      <c r="D48" s="342">
        <v>438420.08723178064</v>
      </c>
    </row>
    <row r="49" spans="1:4" ht="15.95">
      <c r="A49" s="345">
        <v>0.62133450847649296</v>
      </c>
      <c r="B49" s="347" t="s">
        <v>1240</v>
      </c>
      <c r="C49" s="346">
        <v>37</v>
      </c>
      <c r="D49" s="342">
        <v>480467.95589230489</v>
      </c>
    </row>
    <row r="50" spans="1:4" ht="15.95">
      <c r="A50" s="345">
        <v>0.42503504250566737</v>
      </c>
      <c r="B50" s="347" t="s">
        <v>1240</v>
      </c>
      <c r="C50" s="346">
        <v>38</v>
      </c>
      <c r="D50" s="342">
        <v>414125.0986840059</v>
      </c>
    </row>
    <row r="51" spans="1:4" ht="15.95">
      <c r="A51" s="345">
        <v>0.61372656341513854</v>
      </c>
      <c r="B51" s="347" t="s">
        <v>1240</v>
      </c>
      <c r="C51" s="346">
        <v>39</v>
      </c>
      <c r="D51" s="342">
        <v>126724.24451369792</v>
      </c>
    </row>
    <row r="52" spans="1:4" ht="15.95">
      <c r="A52" s="345">
        <v>0.21071251887624132</v>
      </c>
      <c r="B52" s="347" t="s">
        <v>1240</v>
      </c>
      <c r="C52" s="346">
        <v>40</v>
      </c>
      <c r="D52" s="342">
        <v>363430.21762836818</v>
      </c>
    </row>
    <row r="53" spans="1:4" ht="15.95">
      <c r="A53" s="345">
        <v>0.75465270864748879</v>
      </c>
      <c r="B53" s="347" t="s">
        <v>1240</v>
      </c>
      <c r="C53" s="346">
        <v>41</v>
      </c>
      <c r="D53" s="342">
        <v>382342.51777176792</v>
      </c>
    </row>
    <row r="54" spans="1:4" ht="15.95">
      <c r="A54" s="345">
        <v>0.15260403661551125</v>
      </c>
      <c r="B54" s="347" t="s">
        <v>1240</v>
      </c>
      <c r="C54" s="346">
        <v>42</v>
      </c>
      <c r="D54" s="342">
        <v>358172.68523775064</v>
      </c>
    </row>
    <row r="55" spans="1:4" ht="15.95">
      <c r="A55" s="345">
        <v>0.71662151172920296</v>
      </c>
      <c r="B55" s="347" t="s">
        <v>1240</v>
      </c>
      <c r="C55" s="346">
        <v>43</v>
      </c>
      <c r="D55" s="342">
        <v>711979.14179370482</v>
      </c>
    </row>
    <row r="56" spans="1:4" ht="15.95">
      <c r="A56" s="345">
        <v>0.73168253033475861</v>
      </c>
      <c r="B56" s="347" t="s">
        <v>1240</v>
      </c>
      <c r="C56" s="346">
        <v>44</v>
      </c>
      <c r="D56" s="342">
        <v>550795.23000266263</v>
      </c>
    </row>
    <row r="57" spans="1:4" ht="15.95">
      <c r="A57" s="345">
        <v>0.11186136412906889</v>
      </c>
      <c r="B57" s="347" t="s">
        <v>1240</v>
      </c>
      <c r="C57" s="346">
        <v>45</v>
      </c>
      <c r="D57" s="342">
        <v>417000.89627675479</v>
      </c>
    </row>
    <row r="58" spans="1:4" ht="15.95">
      <c r="A58" s="345">
        <v>0.11586404703803355</v>
      </c>
      <c r="B58" s="347" t="s">
        <v>1240</v>
      </c>
      <c r="C58" s="346">
        <v>46</v>
      </c>
      <c r="D58" s="342">
        <v>129543.6891511858</v>
      </c>
    </row>
    <row r="59" spans="1:4" ht="15.95">
      <c r="A59" s="345">
        <v>0.19164776127253569</v>
      </c>
      <c r="B59" s="347" t="s">
        <v>1240</v>
      </c>
      <c r="C59" s="346">
        <v>47</v>
      </c>
      <c r="D59" s="342">
        <v>67162.32481787866</v>
      </c>
    </row>
    <row r="60" spans="1:4" ht="15.95">
      <c r="A60" s="345">
        <v>0.72372468328027084</v>
      </c>
      <c r="B60" s="347" t="s">
        <v>1240</v>
      </c>
      <c r="C60" s="346">
        <v>48</v>
      </c>
      <c r="D60" s="342">
        <v>69779.757848134032</v>
      </c>
    </row>
    <row r="61" spans="1:4" ht="15.95">
      <c r="A61" s="345">
        <v>0.77947858345877441</v>
      </c>
      <c r="B61" s="347" t="s">
        <v>1240</v>
      </c>
      <c r="C61" s="346">
        <v>49</v>
      </c>
      <c r="D61" s="342">
        <v>427500.89738143305</v>
      </c>
    </row>
    <row r="62" spans="1:4" ht="15.95">
      <c r="A62" s="345">
        <v>0.38972150975105924</v>
      </c>
      <c r="B62" s="347" t="s">
        <v>1240</v>
      </c>
      <c r="C62" s="346">
        <v>50</v>
      </c>
      <c r="D62" s="342">
        <v>199735.02678696555</v>
      </c>
    </row>
    <row r="63" spans="1:4" ht="15.95">
      <c r="A63" s="345">
        <v>0.33936111836250382</v>
      </c>
      <c r="B63" s="347" t="s">
        <v>1240</v>
      </c>
      <c r="C63" s="346">
        <v>51</v>
      </c>
      <c r="D63" s="342">
        <v>533870.13848823262</v>
      </c>
    </row>
    <row r="64" spans="1:4" ht="15.95">
      <c r="A64" s="345">
        <v>0.97853307635535625</v>
      </c>
      <c r="B64" s="347" t="s">
        <v>1240</v>
      </c>
      <c r="C64" s="346">
        <v>52</v>
      </c>
      <c r="D64" s="342">
        <v>477356.54715760169</v>
      </c>
    </row>
    <row r="65" spans="1:4" ht="15.95">
      <c r="A65" s="345">
        <v>0.93119610614867676</v>
      </c>
      <c r="B65" s="347" t="s">
        <v>1240</v>
      </c>
      <c r="C65" s="346">
        <v>53</v>
      </c>
      <c r="D65" s="342">
        <v>655364.26554257213</v>
      </c>
    </row>
    <row r="66" spans="1:4" ht="15.95">
      <c r="A66" s="345">
        <v>0.35975115725451801</v>
      </c>
      <c r="B66" s="347" t="s">
        <v>1240</v>
      </c>
      <c r="C66" s="346">
        <v>54</v>
      </c>
      <c r="D66" s="342">
        <v>521196.30242653377</v>
      </c>
    </row>
    <row r="67" spans="1:4" ht="15.95">
      <c r="A67" s="345">
        <v>0.90957482868030004</v>
      </c>
      <c r="B67" s="347" t="s">
        <v>1240</v>
      </c>
      <c r="C67" s="346">
        <v>55</v>
      </c>
      <c r="D67" s="342">
        <v>117496.11201758171</v>
      </c>
    </row>
    <row r="68" spans="1:4" ht="15.95">
      <c r="A68" s="345">
        <v>0.40147608810525814</v>
      </c>
      <c r="B68" s="347" t="s">
        <v>1240</v>
      </c>
      <c r="C68" s="346">
        <v>56</v>
      </c>
      <c r="D68" s="342">
        <v>177984.3021444052</v>
      </c>
    </row>
    <row r="69" spans="1:4" ht="15.95">
      <c r="A69" s="345">
        <v>0.94561849743318882</v>
      </c>
      <c r="B69" s="347" t="s">
        <v>1240</v>
      </c>
      <c r="C69" s="346">
        <v>57</v>
      </c>
      <c r="D69" s="342">
        <v>318969.43163580773</v>
      </c>
    </row>
    <row r="70" spans="1:4" ht="15.95">
      <c r="A70" s="345">
        <v>0.61316116768924578</v>
      </c>
      <c r="B70" s="347" t="s">
        <v>1240</v>
      </c>
      <c r="C70" s="346">
        <v>58</v>
      </c>
      <c r="D70" s="342">
        <v>294597.91553211119</v>
      </c>
    </row>
    <row r="71" spans="1:4" ht="15.95">
      <c r="A71" s="345">
        <v>9.958285123987376E-2</v>
      </c>
      <c r="B71" s="347" t="s">
        <v>1240</v>
      </c>
      <c r="C71" s="346">
        <v>59</v>
      </c>
      <c r="D71" s="342">
        <v>673349.73013588414</v>
      </c>
    </row>
    <row r="72" spans="1:4" ht="15.95">
      <c r="A72" s="345">
        <v>0.27183569887215397</v>
      </c>
      <c r="B72" s="347" t="s">
        <v>1240</v>
      </c>
      <c r="C72" s="346">
        <v>60</v>
      </c>
      <c r="D72" s="342">
        <v>272851.4590521215</v>
      </c>
    </row>
    <row r="73" spans="1:4" ht="15.95">
      <c r="A73" s="345">
        <v>0.42923761968217289</v>
      </c>
      <c r="B73" s="347" t="s">
        <v>1240</v>
      </c>
      <c r="C73" s="346">
        <v>61</v>
      </c>
      <c r="D73" s="342">
        <v>203313.112415293</v>
      </c>
    </row>
    <row r="74" spans="1:4" ht="15.95">
      <c r="A74" s="345">
        <v>0.87774103541450077</v>
      </c>
      <c r="B74" s="347" t="s">
        <v>1240</v>
      </c>
      <c r="C74" s="346">
        <v>62</v>
      </c>
      <c r="D74" s="342">
        <v>473467.4415691006</v>
      </c>
    </row>
    <row r="75" spans="1:4" ht="15.95">
      <c r="A75" s="345">
        <v>0.61052170441019193</v>
      </c>
      <c r="B75" s="347" t="s">
        <v>1240</v>
      </c>
      <c r="C75" s="346">
        <v>63</v>
      </c>
      <c r="D75" s="342">
        <v>191207.36550033907</v>
      </c>
    </row>
    <row r="76" spans="1:4" ht="15.95">
      <c r="A76" s="345">
        <v>0.39749769941725055</v>
      </c>
      <c r="B76" s="347" t="s">
        <v>1240</v>
      </c>
      <c r="C76" s="346">
        <v>64</v>
      </c>
      <c r="D76" s="342">
        <v>696.22855872055516</v>
      </c>
    </row>
    <row r="77" spans="1:4" ht="15.95">
      <c r="A77" s="345">
        <v>6.3193704906494563E-3</v>
      </c>
      <c r="B77" s="347" t="s">
        <v>1240</v>
      </c>
      <c r="C77" s="346">
        <v>65</v>
      </c>
      <c r="D77" s="342">
        <v>279430.85973142995</v>
      </c>
    </row>
    <row r="78" spans="1:4" ht="15.95">
      <c r="A78" s="345">
        <v>0.33165964943399073</v>
      </c>
      <c r="B78" s="347" t="s">
        <v>1240</v>
      </c>
      <c r="C78" s="346">
        <v>66</v>
      </c>
      <c r="D78" s="342">
        <v>19089.164634453831</v>
      </c>
    </row>
    <row r="79" spans="1:4" ht="15.95">
      <c r="A79" s="345">
        <v>0.77027364940303167</v>
      </c>
      <c r="B79" s="347" t="s">
        <v>1240</v>
      </c>
      <c r="C79" s="346">
        <v>67</v>
      </c>
      <c r="D79" s="342">
        <v>254525.74850452621</v>
      </c>
    </row>
    <row r="80" spans="1:4" ht="15.95">
      <c r="A80" s="345">
        <v>0.90103732453309815</v>
      </c>
      <c r="B80" s="347" t="s">
        <v>1240</v>
      </c>
      <c r="C80" s="346">
        <v>68</v>
      </c>
      <c r="D80" s="342">
        <v>24630.879791202489</v>
      </c>
    </row>
    <row r="81" spans="1:4" ht="15.95">
      <c r="A81" s="345">
        <v>0.49003041726125374</v>
      </c>
      <c r="B81" s="347" t="s">
        <v>1240</v>
      </c>
      <c r="C81" s="346">
        <v>69</v>
      </c>
      <c r="D81" s="342">
        <v>757076.53037318424</v>
      </c>
    </row>
    <row r="82" spans="1:4" ht="15.95">
      <c r="A82" s="345">
        <v>0.4908085082424708</v>
      </c>
      <c r="B82" s="347" t="s">
        <v>1240</v>
      </c>
      <c r="C82" s="346">
        <v>70</v>
      </c>
      <c r="D82" s="342">
        <v>74241.351769928122</v>
      </c>
    </row>
    <row r="83" spans="1:4" ht="15.95">
      <c r="A83" s="345">
        <v>0.14246565389350085</v>
      </c>
      <c r="B83" s="347" t="s">
        <v>1240</v>
      </c>
      <c r="C83" s="346">
        <v>71</v>
      </c>
      <c r="D83" s="342">
        <v>695934.54454444465</v>
      </c>
    </row>
    <row r="84" spans="1:4" ht="15.95">
      <c r="A84" s="345">
        <v>0.94471124860069322</v>
      </c>
      <c r="B84" s="347" t="s">
        <v>1240</v>
      </c>
      <c r="C84" s="346">
        <v>72</v>
      </c>
      <c r="D84" s="342">
        <v>523208.78517107898</v>
      </c>
    </row>
    <row r="85" spans="1:4" ht="15.95">
      <c r="A85" s="345">
        <v>0.5894602596420605</v>
      </c>
      <c r="B85" s="347" t="s">
        <v>1240</v>
      </c>
      <c r="C85" s="346">
        <v>73</v>
      </c>
      <c r="D85" s="342">
        <v>55902.919365883805</v>
      </c>
    </row>
    <row r="86" spans="1:4" ht="15.95">
      <c r="A86" s="345">
        <v>0.24472823070001426</v>
      </c>
      <c r="B86" s="347" t="s">
        <v>1240</v>
      </c>
      <c r="C86" s="346">
        <v>74</v>
      </c>
      <c r="D86" s="342">
        <v>399307.95489748428</v>
      </c>
    </row>
    <row r="87" spans="1:4" ht="15.95">
      <c r="A87" s="345">
        <v>0.25969388380663172</v>
      </c>
      <c r="B87" s="347" t="s">
        <v>1240</v>
      </c>
      <c r="C87" s="346">
        <v>75</v>
      </c>
      <c r="D87" s="342">
        <v>244682.46014659246</v>
      </c>
    </row>
    <row r="88" spans="1:4" ht="15.95">
      <c r="A88" s="345">
        <v>0.5663451139668525</v>
      </c>
      <c r="B88" s="347" t="s">
        <v>1240</v>
      </c>
      <c r="C88" s="346">
        <v>76</v>
      </c>
      <c r="D88" s="342">
        <v>368484.73911981797</v>
      </c>
    </row>
    <row r="89" spans="1:4" ht="15.95">
      <c r="A89" s="345">
        <v>0.12981967767893776</v>
      </c>
      <c r="B89" s="347" t="s">
        <v>1240</v>
      </c>
      <c r="C89" s="346">
        <v>77</v>
      </c>
      <c r="D89" s="342">
        <v>304267.50305957394</v>
      </c>
    </row>
    <row r="90" spans="1:4" ht="15.95">
      <c r="A90" s="345">
        <v>0.37397628843753095</v>
      </c>
      <c r="B90" s="347" t="s">
        <v>1240</v>
      </c>
      <c r="C90" s="346">
        <v>78</v>
      </c>
      <c r="D90" s="342">
        <v>552626.62207416585</v>
      </c>
    </row>
    <row r="91" spans="1:4" ht="15.95">
      <c r="A91" s="345">
        <v>0.25981294313151726</v>
      </c>
      <c r="B91" s="347" t="s">
        <v>1240</v>
      </c>
      <c r="C91" s="346">
        <v>79</v>
      </c>
      <c r="D91" s="342">
        <v>588839.53600889817</v>
      </c>
    </row>
    <row r="92" spans="1:4" ht="15.95">
      <c r="A92" s="345">
        <v>0.27430958382951942</v>
      </c>
      <c r="B92" s="347" t="s">
        <v>1240</v>
      </c>
      <c r="C92" s="346">
        <v>80</v>
      </c>
      <c r="D92" s="342">
        <v>368194.80691740708</v>
      </c>
    </row>
    <row r="93" spans="1:4" ht="15.95">
      <c r="A93" s="345">
        <v>0.45675166078765672</v>
      </c>
      <c r="B93" s="347" t="s">
        <v>1240</v>
      </c>
      <c r="C93" s="346">
        <v>81</v>
      </c>
      <c r="D93" s="342">
        <v>343275.33710431727</v>
      </c>
    </row>
    <row r="94" spans="1:4" ht="15.95">
      <c r="A94" s="345">
        <v>0.59673476480705268</v>
      </c>
      <c r="B94" s="347" t="s">
        <v>1240</v>
      </c>
      <c r="C94" s="346">
        <v>82</v>
      </c>
      <c r="D94" s="342">
        <v>310211.08504718239</v>
      </c>
    </row>
    <row r="95" spans="1:4" ht="15.95">
      <c r="A95" s="345">
        <v>0.28858296394331984</v>
      </c>
      <c r="B95" s="347" t="s">
        <v>1240</v>
      </c>
      <c r="C95" s="346">
        <v>83</v>
      </c>
      <c r="D95" s="342">
        <v>1856.3354344468098</v>
      </c>
    </row>
    <row r="96" spans="1:4" ht="15.95">
      <c r="A96" s="345">
        <v>0.24020025016738233</v>
      </c>
      <c r="B96" s="347" t="s">
        <v>1240</v>
      </c>
      <c r="C96" s="346">
        <v>84</v>
      </c>
      <c r="D96" s="342">
        <v>705960.95735759242</v>
      </c>
    </row>
    <row r="97" spans="1:4" ht="15.95">
      <c r="A97" s="345">
        <v>0.44615019516632637</v>
      </c>
      <c r="B97" s="347" t="s">
        <v>1240</v>
      </c>
      <c r="C97" s="346">
        <v>85</v>
      </c>
      <c r="D97" s="342">
        <v>-4988.6060501716565</v>
      </c>
    </row>
    <row r="98" spans="1:4" ht="15.95">
      <c r="A98" s="345">
        <v>0.59801712519723316</v>
      </c>
      <c r="B98" s="347" t="s">
        <v>1240</v>
      </c>
      <c r="C98" s="346">
        <v>86</v>
      </c>
      <c r="D98" s="342">
        <v>624611.24268744793</v>
      </c>
    </row>
    <row r="99" spans="1:4" ht="15.95">
      <c r="A99" s="345">
        <v>6.6554327064035079E-2</v>
      </c>
      <c r="B99" s="347" t="s">
        <v>1240</v>
      </c>
      <c r="C99" s="346">
        <v>87</v>
      </c>
      <c r="D99" s="342">
        <v>765857.30931570078</v>
      </c>
    </row>
    <row r="100" spans="1:4" ht="15.95">
      <c r="A100" s="345">
        <v>0.25696296832569843</v>
      </c>
      <c r="B100" s="347" t="s">
        <v>1240</v>
      </c>
      <c r="C100" s="346">
        <v>88</v>
      </c>
      <c r="D100" s="342">
        <v>-989.87968988879584</v>
      </c>
    </row>
    <row r="101" spans="1:4" ht="15.95">
      <c r="A101" s="345">
        <v>0.5405547949837245</v>
      </c>
      <c r="B101" s="347" t="s">
        <v>1240</v>
      </c>
      <c r="C101" s="346">
        <v>89</v>
      </c>
      <c r="D101" s="342">
        <v>424962.48541065771</v>
      </c>
    </row>
    <row r="102" spans="1:4" ht="15.95">
      <c r="A102" s="345">
        <v>0.8161852931510013</v>
      </c>
      <c r="B102" s="347" t="s">
        <v>1240</v>
      </c>
      <c r="C102" s="346">
        <v>90</v>
      </c>
      <c r="D102" s="342">
        <v>77136.350330529502</v>
      </c>
    </row>
    <row r="103" spans="1:4" ht="15.95">
      <c r="A103" s="345">
        <v>0.53338375226856072</v>
      </c>
      <c r="B103" s="347" t="s">
        <v>1240</v>
      </c>
      <c r="C103" s="346">
        <v>91</v>
      </c>
      <c r="D103" s="342">
        <v>675881.66720106266</v>
      </c>
    </row>
    <row r="104" spans="1:4" ht="15.95">
      <c r="A104" s="345">
        <v>0.21874917921453918</v>
      </c>
      <c r="B104" s="347" t="s">
        <v>1240</v>
      </c>
      <c r="C104" s="346">
        <v>92</v>
      </c>
      <c r="D104" s="342">
        <v>293752.89590463229</v>
      </c>
    </row>
    <row r="105" spans="1:4" ht="15.95">
      <c r="A105" s="345">
        <v>0.62013682462966724</v>
      </c>
      <c r="B105" s="347" t="s">
        <v>1240</v>
      </c>
      <c r="C105" s="346">
        <v>93</v>
      </c>
      <c r="D105" s="342">
        <v>403596.06058098259</v>
      </c>
    </row>
    <row r="106" spans="1:4" ht="15.95">
      <c r="A106" s="345">
        <v>0.27477527936381618</v>
      </c>
      <c r="B106" s="347" t="s">
        <v>1240</v>
      </c>
      <c r="C106" s="346">
        <v>94</v>
      </c>
      <c r="D106" s="342">
        <v>315140.07118363935</v>
      </c>
    </row>
    <row r="107" spans="1:4" ht="15.95">
      <c r="A107" s="345">
        <v>0.19528364352497873</v>
      </c>
      <c r="B107" s="347" t="s">
        <v>1240</v>
      </c>
      <c r="C107" s="346">
        <v>95</v>
      </c>
      <c r="D107" s="342">
        <v>438843.34171401034</v>
      </c>
    </row>
    <row r="108" spans="1:4" ht="15.95">
      <c r="A108" s="345">
        <v>0.64967603461058476</v>
      </c>
      <c r="B108" s="347" t="s">
        <v>1240</v>
      </c>
      <c r="C108" s="346">
        <v>96</v>
      </c>
      <c r="D108" s="342">
        <v>277044.23512822529</v>
      </c>
    </row>
    <row r="109" spans="1:4" ht="15.95">
      <c r="A109" s="345">
        <v>0.46277474523276374</v>
      </c>
      <c r="B109" s="347" t="s">
        <v>1240</v>
      </c>
      <c r="C109" s="346">
        <v>97</v>
      </c>
      <c r="D109" s="342">
        <v>452806.28035047674</v>
      </c>
    </row>
    <row r="110" spans="1:4" ht="15.95">
      <c r="A110" s="345">
        <v>0.88273660032309387</v>
      </c>
      <c r="B110" s="347" t="s">
        <v>1240</v>
      </c>
      <c r="C110" s="346">
        <v>98</v>
      </c>
      <c r="D110" s="342">
        <v>63159.740457397187</v>
      </c>
    </row>
    <row r="111" spans="1:4" ht="15.95">
      <c r="A111" s="345">
        <v>0.73124835828529733</v>
      </c>
      <c r="B111" s="347" t="s">
        <v>1240</v>
      </c>
      <c r="C111" s="346">
        <v>99</v>
      </c>
      <c r="D111" s="342">
        <v>517876.91163566872</v>
      </c>
    </row>
    <row r="112" spans="1:4" ht="15.95">
      <c r="A112" s="345">
        <v>0.47351466333047543</v>
      </c>
      <c r="B112" s="347" t="s">
        <v>1240</v>
      </c>
      <c r="C112" s="346">
        <v>100</v>
      </c>
      <c r="D112" s="342">
        <v>474972.43665703572</v>
      </c>
    </row>
    <row r="113" spans="1:4" ht="15.95">
      <c r="A113" s="345">
        <v>0.90012042485194976</v>
      </c>
      <c r="B113" s="347" t="s">
        <v>1240</v>
      </c>
      <c r="C113" s="346">
        <v>101</v>
      </c>
      <c r="D113" s="342">
        <v>192281.13004607614</v>
      </c>
    </row>
    <row r="114" spans="1:4" ht="15.95">
      <c r="A114" s="345">
        <v>0.88405749749597418</v>
      </c>
      <c r="B114" s="347" t="s">
        <v>1240</v>
      </c>
      <c r="C114" s="346">
        <v>102</v>
      </c>
      <c r="D114" s="342">
        <v>394408.68474284932</v>
      </c>
    </row>
    <row r="115" spans="1:4" ht="15.95">
      <c r="A115" s="345">
        <v>0.62367477099486679</v>
      </c>
      <c r="B115" s="347" t="s">
        <v>1240</v>
      </c>
      <c r="C115" s="346">
        <v>103</v>
      </c>
      <c r="D115" s="342">
        <v>23737.021309754113</v>
      </c>
    </row>
    <row r="116" spans="1:4" ht="15.95">
      <c r="A116" s="345">
        <v>0.1262378564294111</v>
      </c>
      <c r="B116" s="347" t="s">
        <v>1240</v>
      </c>
      <c r="C116" s="346">
        <v>104</v>
      </c>
      <c r="D116" s="342">
        <v>616643.7900913083</v>
      </c>
    </row>
    <row r="117" spans="1:4" ht="15.95">
      <c r="A117" s="345">
        <v>0.47878509953446824</v>
      </c>
      <c r="B117" s="347" t="s">
        <v>1240</v>
      </c>
      <c r="C117" s="346">
        <v>105</v>
      </c>
      <c r="D117" s="342">
        <v>389498.22316854587</v>
      </c>
    </row>
    <row r="118" spans="1:4" ht="15.95">
      <c r="A118" s="345">
        <v>0.91196430679998519</v>
      </c>
      <c r="B118" s="347" t="s">
        <v>1240</v>
      </c>
      <c r="C118" s="346">
        <v>106</v>
      </c>
      <c r="D118" s="342">
        <v>427527.34392933128</v>
      </c>
    </row>
    <row r="119" spans="1:4" ht="15.95">
      <c r="A119" s="345">
        <v>0.20077972801868826</v>
      </c>
      <c r="B119" s="347" t="s">
        <v>1240</v>
      </c>
      <c r="C119" s="346">
        <v>107</v>
      </c>
      <c r="D119" s="342">
        <v>312726.54064415046</v>
      </c>
    </row>
    <row r="120" spans="1:4" ht="15.95">
      <c r="A120" s="345">
        <v>0.14794287466034484</v>
      </c>
      <c r="B120" s="347" t="s">
        <v>1240</v>
      </c>
      <c r="C120" s="346">
        <v>108</v>
      </c>
      <c r="D120" s="342">
        <v>171764.16682789638</v>
      </c>
    </row>
    <row r="121" spans="1:4" ht="15.95">
      <c r="A121" s="345">
        <v>0.18706181188989812</v>
      </c>
      <c r="B121" s="347" t="s">
        <v>1240</v>
      </c>
      <c r="C121" s="346">
        <v>109</v>
      </c>
      <c r="D121" s="342">
        <v>-19961.986647470621</v>
      </c>
    </row>
    <row r="122" spans="1:4" ht="15.95">
      <c r="A122" s="345">
        <v>0.2707773172208261</v>
      </c>
      <c r="B122" s="347" t="s">
        <v>1240</v>
      </c>
      <c r="C122" s="346">
        <v>110</v>
      </c>
      <c r="D122" s="342">
        <v>511785.25802176353</v>
      </c>
    </row>
    <row r="123" spans="1:4" ht="15.95">
      <c r="A123" s="345">
        <v>0.27298137185590987</v>
      </c>
      <c r="B123" s="347" t="s">
        <v>1240</v>
      </c>
      <c r="C123" s="346">
        <v>111</v>
      </c>
      <c r="D123" s="342">
        <v>69955.927067853976</v>
      </c>
    </row>
    <row r="124" spans="1:4" ht="15.95">
      <c r="A124" s="345">
        <v>0.28524957013063157</v>
      </c>
      <c r="B124" s="347" t="s">
        <v>1240</v>
      </c>
      <c r="C124" s="346">
        <v>112</v>
      </c>
      <c r="D124" s="342">
        <v>103797.44734352059</v>
      </c>
    </row>
    <row r="125" spans="1:4" ht="15.95">
      <c r="A125" s="345">
        <v>0.84298744798576863</v>
      </c>
      <c r="B125" s="347" t="s">
        <v>1240</v>
      </c>
      <c r="C125" s="346">
        <v>113</v>
      </c>
      <c r="D125" s="342">
        <v>515560.37167962152</v>
      </c>
    </row>
    <row r="126" spans="1:4" ht="15.95">
      <c r="A126" s="345">
        <v>0.29652790694058684</v>
      </c>
      <c r="B126" s="347" t="s">
        <v>1240</v>
      </c>
      <c r="C126" s="346">
        <v>114</v>
      </c>
      <c r="D126" s="342">
        <v>437238.59982391307</v>
      </c>
    </row>
    <row r="127" spans="1:4" ht="15.95">
      <c r="A127" s="345">
        <v>0.51854278390174569</v>
      </c>
      <c r="B127" s="347" t="s">
        <v>1240</v>
      </c>
      <c r="C127" s="346">
        <v>115</v>
      </c>
      <c r="D127" s="342">
        <v>281508.63969686092</v>
      </c>
    </row>
    <row r="128" spans="1:4" ht="15.95">
      <c r="A128" s="345">
        <v>0.69360195471909369</v>
      </c>
      <c r="B128" s="347" t="s">
        <v>1240</v>
      </c>
      <c r="C128" s="346">
        <v>116</v>
      </c>
      <c r="D128" s="342">
        <v>-44785.089985452825</v>
      </c>
    </row>
    <row r="129" spans="1:4" ht="15.95">
      <c r="A129" s="345">
        <v>0.30600751659356806</v>
      </c>
      <c r="B129" s="347" t="s">
        <v>1240</v>
      </c>
      <c r="C129" s="346">
        <v>117</v>
      </c>
      <c r="D129" s="342">
        <v>16614.469645090867</v>
      </c>
    </row>
    <row r="130" spans="1:4" ht="15.95">
      <c r="A130" s="345">
        <v>2.5298044284960408E-2</v>
      </c>
      <c r="B130" s="347" t="s">
        <v>1240</v>
      </c>
      <c r="C130" s="346">
        <v>118</v>
      </c>
      <c r="D130" s="342">
        <v>599812.35340432636</v>
      </c>
    </row>
    <row r="131" spans="1:4" ht="15.95">
      <c r="A131" s="345">
        <v>0.68855434530974879</v>
      </c>
      <c r="B131" s="347" t="s">
        <v>1240</v>
      </c>
      <c r="C131" s="346">
        <v>119</v>
      </c>
      <c r="D131" s="342">
        <v>246556.06316654244</v>
      </c>
    </row>
    <row r="132" spans="1:4" ht="15.95">
      <c r="A132" s="345">
        <v>0.50764345368902009</v>
      </c>
      <c r="B132" s="347" t="s">
        <v>1240</v>
      </c>
      <c r="C132" s="346">
        <v>120</v>
      </c>
      <c r="D132" s="342">
        <v>555112.04820419056</v>
      </c>
    </row>
    <row r="133" spans="1:4" ht="15.95">
      <c r="A133" s="345">
        <v>0.18665006992254729</v>
      </c>
      <c r="B133" s="347" t="s">
        <v>1240</v>
      </c>
      <c r="C133" s="346">
        <v>121</v>
      </c>
      <c r="D133" s="342">
        <v>108386.63845172967</v>
      </c>
    </row>
    <row r="134" spans="1:4" ht="15.95">
      <c r="A134" s="345">
        <v>0.63600456174942621</v>
      </c>
      <c r="B134" s="347" t="s">
        <v>1240</v>
      </c>
      <c r="C134" s="346">
        <v>122</v>
      </c>
      <c r="D134" s="342">
        <v>417287.20372087089</v>
      </c>
    </row>
    <row r="135" spans="1:4" ht="15.95">
      <c r="A135" s="345">
        <v>0.1955051705779397</v>
      </c>
      <c r="B135" s="347" t="s">
        <v>1240</v>
      </c>
      <c r="C135" s="346">
        <v>123</v>
      </c>
      <c r="D135" s="342">
        <v>92622.228054917417</v>
      </c>
    </row>
    <row r="136" spans="1:4" ht="15.95">
      <c r="A136" s="345">
        <v>6.604678511150186E-2</v>
      </c>
      <c r="B136" s="347" t="s">
        <v>1240</v>
      </c>
      <c r="C136" s="346">
        <v>124</v>
      </c>
      <c r="D136" s="342">
        <v>426466.11260760203</v>
      </c>
    </row>
    <row r="137" spans="1:4" ht="15.95">
      <c r="A137" s="345">
        <v>0.48644167817363992</v>
      </c>
      <c r="B137" s="347" t="s">
        <v>1240</v>
      </c>
      <c r="C137" s="346">
        <v>125</v>
      </c>
      <c r="D137" s="342">
        <v>250527.13508922746</v>
      </c>
    </row>
    <row r="138" spans="1:4" ht="15.95">
      <c r="A138" s="345">
        <v>0.95968396384876786</v>
      </c>
      <c r="B138" s="347" t="s">
        <v>1240</v>
      </c>
      <c r="C138" s="346">
        <v>126</v>
      </c>
      <c r="D138" s="342">
        <v>289508.26060815505</v>
      </c>
    </row>
    <row r="139" spans="1:4" ht="15.95">
      <c r="A139" s="345">
        <v>0.12483154560820497</v>
      </c>
      <c r="B139" s="347" t="s">
        <v>1240</v>
      </c>
      <c r="C139" s="346">
        <v>127</v>
      </c>
      <c r="D139" s="342">
        <v>287357.02434503892</v>
      </c>
    </row>
    <row r="140" spans="1:4" ht="15.95">
      <c r="A140" s="345">
        <v>0.28709527599836981</v>
      </c>
      <c r="B140" s="347" t="s">
        <v>1240</v>
      </c>
      <c r="C140" s="346">
        <v>128</v>
      </c>
      <c r="D140" s="342">
        <v>438465.16471736482</v>
      </c>
    </row>
    <row r="141" spans="1:4" ht="15.95">
      <c r="A141" s="345">
        <v>0.52772814361074749</v>
      </c>
      <c r="B141" s="347" t="s">
        <v>1240</v>
      </c>
      <c r="C141" s="346">
        <v>129</v>
      </c>
      <c r="D141" s="342">
        <v>337172.51759637333</v>
      </c>
    </row>
    <row r="142" spans="1:4" ht="15.95">
      <c r="A142" s="345">
        <v>0.32356585705803798</v>
      </c>
      <c r="B142" s="347" t="s">
        <v>1240</v>
      </c>
      <c r="C142" s="346">
        <v>130</v>
      </c>
      <c r="D142" s="342">
        <v>171214.42013706663</v>
      </c>
    </row>
    <row r="143" spans="1:4" ht="15.95">
      <c r="A143" s="345">
        <v>5.6870760530800646E-2</v>
      </c>
      <c r="B143" s="347" t="s">
        <v>1240</v>
      </c>
      <c r="C143" s="346">
        <v>131</v>
      </c>
      <c r="D143" s="342">
        <v>280850.78168855235</v>
      </c>
    </row>
    <row r="144" spans="1:4" ht="15.95">
      <c r="A144" s="345">
        <v>4.1469075853229898E-2</v>
      </c>
      <c r="B144" s="347" t="s">
        <v>1240</v>
      </c>
      <c r="C144" s="346">
        <v>132</v>
      </c>
      <c r="D144" s="342">
        <v>168057.54068012442</v>
      </c>
    </row>
    <row r="145" spans="1:4" ht="15.95">
      <c r="A145" s="345">
        <v>0.15780928700799357</v>
      </c>
      <c r="B145" s="347" t="s">
        <v>1240</v>
      </c>
      <c r="C145" s="346">
        <v>133</v>
      </c>
      <c r="D145" s="342">
        <v>262364.91686318466</v>
      </c>
    </row>
    <row r="146" spans="1:4" ht="15.95">
      <c r="A146" s="345">
        <v>4.3456822741290035E-2</v>
      </c>
      <c r="B146" s="347" t="s">
        <v>1240</v>
      </c>
      <c r="C146" s="346">
        <v>134</v>
      </c>
      <c r="D146" s="342">
        <v>161984.65252700658</v>
      </c>
    </row>
    <row r="147" spans="1:4" ht="15.95">
      <c r="A147" s="345">
        <v>0.95342825329293113</v>
      </c>
      <c r="B147" s="347" t="s">
        <v>1240</v>
      </c>
      <c r="C147" s="346">
        <v>135</v>
      </c>
      <c r="D147" s="342">
        <v>773449.50009758025</v>
      </c>
    </row>
    <row r="148" spans="1:4" ht="15.95">
      <c r="A148" s="345">
        <v>0.54457010958231955</v>
      </c>
      <c r="B148" s="347" t="s">
        <v>1240</v>
      </c>
      <c r="C148" s="346">
        <v>136</v>
      </c>
      <c r="D148" s="342">
        <v>675230.19593426259</v>
      </c>
    </row>
    <row r="149" spans="1:4" ht="15.95">
      <c r="A149" s="345">
        <v>7.2955918510668294E-2</v>
      </c>
      <c r="B149" s="347" t="s">
        <v>1240</v>
      </c>
      <c r="C149" s="346">
        <v>137</v>
      </c>
      <c r="D149" s="342">
        <v>-3795.7589943592902</v>
      </c>
    </row>
    <row r="150" spans="1:4" ht="15.95">
      <c r="A150" s="345">
        <v>5.7620684338263284E-2</v>
      </c>
      <c r="B150" s="347" t="s">
        <v>1240</v>
      </c>
      <c r="C150" s="346">
        <v>138</v>
      </c>
      <c r="D150" s="342">
        <v>183417.23371549766</v>
      </c>
    </row>
    <row r="151" spans="1:4" ht="15.95">
      <c r="A151" s="345">
        <v>0.36687679831738629</v>
      </c>
      <c r="B151" s="347" t="s">
        <v>1240</v>
      </c>
      <c r="C151" s="346">
        <v>139</v>
      </c>
      <c r="D151" s="342">
        <v>-4555.8040703518782</v>
      </c>
    </row>
    <row r="152" spans="1:4" ht="15.95">
      <c r="A152" s="345">
        <v>8.6873992940392553E-2</v>
      </c>
      <c r="B152" s="347" t="s">
        <v>1240</v>
      </c>
      <c r="C152" s="346">
        <v>140</v>
      </c>
      <c r="D152" s="342">
        <v>97849.239121161168</v>
      </c>
    </row>
    <row r="153" spans="1:4" ht="15.95">
      <c r="A153" s="345">
        <v>2.6700177799227509E-2</v>
      </c>
      <c r="B153" s="347" t="s">
        <v>1240</v>
      </c>
      <c r="C153" s="346">
        <v>141</v>
      </c>
      <c r="D153" s="342">
        <v>454616.06184633286</v>
      </c>
    </row>
    <row r="154" spans="1:4" ht="15.95">
      <c r="A154" s="345">
        <v>0.59874252313120213</v>
      </c>
      <c r="B154" s="347" t="s">
        <v>1240</v>
      </c>
      <c r="C154" s="346">
        <v>142</v>
      </c>
      <c r="D154" s="342">
        <v>334855.47836996755</v>
      </c>
    </row>
    <row r="155" spans="1:4" ht="15.95">
      <c r="A155" s="345">
        <v>0.96510122497380979</v>
      </c>
      <c r="B155" s="347" t="s">
        <v>1240</v>
      </c>
      <c r="C155" s="346">
        <v>143</v>
      </c>
      <c r="D155" s="342">
        <v>290010.9603288935</v>
      </c>
    </row>
    <row r="156" spans="1:4" ht="15.95">
      <c r="A156" s="345">
        <v>0.70975383702983541</v>
      </c>
      <c r="B156" s="347" t="s">
        <v>1240</v>
      </c>
      <c r="C156" s="346">
        <v>144</v>
      </c>
      <c r="D156" s="342">
        <v>269954.85693944502</v>
      </c>
    </row>
    <row r="157" spans="1:4" ht="15.95">
      <c r="A157" s="345">
        <v>0.26304475729947208</v>
      </c>
      <c r="B157" s="347" t="s">
        <v>1240</v>
      </c>
      <c r="C157" s="346">
        <v>145</v>
      </c>
      <c r="D157" s="342">
        <v>327566.28172347602</v>
      </c>
    </row>
    <row r="158" spans="1:4" ht="15.95">
      <c r="A158" s="345">
        <v>0.74299739747685489</v>
      </c>
      <c r="B158" s="347" t="s">
        <v>1240</v>
      </c>
      <c r="C158" s="346">
        <v>146</v>
      </c>
      <c r="D158" s="342">
        <v>70998.217153300997</v>
      </c>
    </row>
    <row r="159" spans="1:4" ht="15.95">
      <c r="A159" s="345">
        <v>0.78450181217154691</v>
      </c>
      <c r="B159" s="347" t="s">
        <v>1240</v>
      </c>
      <c r="C159" s="346">
        <v>147</v>
      </c>
      <c r="D159" s="342">
        <v>603229.24757720833</v>
      </c>
    </row>
    <row r="160" spans="1:4" ht="15.95">
      <c r="A160" s="345">
        <v>0.95415975480315773</v>
      </c>
      <c r="B160" s="347" t="s">
        <v>1240</v>
      </c>
      <c r="C160" s="346">
        <v>148</v>
      </c>
      <c r="D160" s="342">
        <v>140629.84924292099</v>
      </c>
    </row>
    <row r="161" spans="1:4" ht="15.95">
      <c r="A161" s="345">
        <v>0.97153121619742189</v>
      </c>
      <c r="B161" s="347" t="s">
        <v>1240</v>
      </c>
      <c r="C161" s="346">
        <v>149</v>
      </c>
      <c r="D161" s="342">
        <v>290224.66933173081</v>
      </c>
    </row>
    <row r="162" spans="1:4" ht="15.95">
      <c r="A162" s="345">
        <v>0.68741918978119132</v>
      </c>
      <c r="B162" s="347" t="s">
        <v>1240</v>
      </c>
      <c r="C162" s="346">
        <v>150</v>
      </c>
      <c r="D162" s="342">
        <v>-17478.501987634925</v>
      </c>
    </row>
    <row r="163" spans="1:4" ht="15.95">
      <c r="A163" s="345">
        <v>0.36399136575489333</v>
      </c>
      <c r="B163" s="347" t="s">
        <v>1240</v>
      </c>
      <c r="C163" s="346">
        <v>151</v>
      </c>
      <c r="D163" s="342">
        <v>114036.57788176043</v>
      </c>
    </row>
    <row r="164" spans="1:4" ht="15.95">
      <c r="A164" s="345">
        <v>0.36138328304661427</v>
      </c>
      <c r="B164" s="347" t="s">
        <v>1240</v>
      </c>
      <c r="C164" s="346">
        <v>152</v>
      </c>
      <c r="D164" s="342">
        <v>429897.88759212266</v>
      </c>
    </row>
    <row r="165" spans="1:4" ht="15.95">
      <c r="A165" s="345">
        <v>0.61988459233125259</v>
      </c>
      <c r="B165" s="347" t="s">
        <v>1240</v>
      </c>
      <c r="C165" s="346">
        <v>153</v>
      </c>
      <c r="D165" s="342">
        <v>596327.08081032219</v>
      </c>
    </row>
    <row r="166" spans="1:4" ht="15.95">
      <c r="A166" s="345">
        <v>0.8188656977921952</v>
      </c>
      <c r="B166" s="347" t="s">
        <v>1240</v>
      </c>
      <c r="C166" s="346">
        <v>154</v>
      </c>
      <c r="D166" s="342">
        <v>195662.58347465727</v>
      </c>
    </row>
    <row r="167" spans="1:4" ht="15.95">
      <c r="A167" s="345">
        <v>0.953089122885171</v>
      </c>
      <c r="B167" s="347" t="s">
        <v>1240</v>
      </c>
      <c r="C167" s="346">
        <v>155</v>
      </c>
      <c r="D167" s="342">
        <v>182771.66779000289</v>
      </c>
    </row>
    <row r="168" spans="1:4" ht="15.95">
      <c r="A168" s="345">
        <v>0.15886143156048327</v>
      </c>
      <c r="B168" s="347" t="s">
        <v>1240</v>
      </c>
      <c r="C168" s="346">
        <v>156</v>
      </c>
      <c r="D168" s="342">
        <v>385013.71555690398</v>
      </c>
    </row>
    <row r="169" spans="1:4" ht="15.95">
      <c r="A169" s="345">
        <v>0.61719446831543001</v>
      </c>
      <c r="B169" s="347" t="s">
        <v>1240</v>
      </c>
      <c r="C169" s="346">
        <v>157</v>
      </c>
      <c r="D169" s="342">
        <v>286389.3095123854</v>
      </c>
    </row>
    <row r="170" spans="1:4" ht="15.95">
      <c r="A170" s="345">
        <v>0.45651691706756414</v>
      </c>
      <c r="B170" s="347" t="s">
        <v>1240</v>
      </c>
      <c r="C170" s="346">
        <v>158</v>
      </c>
      <c r="D170" s="342">
        <v>359812.97119325865</v>
      </c>
    </row>
    <row r="171" spans="1:4" ht="15.95">
      <c r="A171" s="345">
        <v>0.34074520231590799</v>
      </c>
      <c r="B171" s="347" t="s">
        <v>1240</v>
      </c>
      <c r="C171" s="346">
        <v>159</v>
      </c>
      <c r="D171" s="342">
        <v>83092.385291824583</v>
      </c>
    </row>
    <row r="172" spans="1:4" ht="15.95">
      <c r="A172" s="345">
        <v>0.64282555096791405</v>
      </c>
      <c r="B172" s="347" t="s">
        <v>1240</v>
      </c>
      <c r="C172" s="346">
        <v>160</v>
      </c>
      <c r="D172" s="342">
        <v>194019.13873601402</v>
      </c>
    </row>
    <row r="173" spans="1:4" ht="15.95">
      <c r="A173" s="345">
        <v>0.84761289106159987</v>
      </c>
      <c r="B173" s="347" t="s">
        <v>1240</v>
      </c>
      <c r="C173" s="346">
        <v>161</v>
      </c>
      <c r="D173" s="342">
        <v>109195.74707964459</v>
      </c>
    </row>
    <row r="174" spans="1:4" ht="15.95">
      <c r="A174" s="345">
        <v>0.96187924540856196</v>
      </c>
      <c r="B174" s="347" t="s">
        <v>1240</v>
      </c>
      <c r="C174" s="346">
        <v>162</v>
      </c>
      <c r="D174" s="342">
        <v>551395.68753704079</v>
      </c>
    </row>
    <row r="175" spans="1:4" ht="15.95">
      <c r="A175" s="345">
        <v>0.34444672879962168</v>
      </c>
      <c r="B175" s="347" t="s">
        <v>1240</v>
      </c>
      <c r="C175" s="346">
        <v>163</v>
      </c>
      <c r="D175" s="342">
        <v>449956.79691125522</v>
      </c>
    </row>
    <row r="176" spans="1:4" ht="15.95">
      <c r="A176" s="345">
        <v>0.91621949939083691</v>
      </c>
      <c r="B176" s="347" t="s">
        <v>1240</v>
      </c>
      <c r="C176" s="346">
        <v>164</v>
      </c>
      <c r="D176" s="342">
        <v>35579.046552106738</v>
      </c>
    </row>
    <row r="177" spans="1:4" ht="15.95">
      <c r="A177" s="345">
        <v>8.4701897112046343E-2</v>
      </c>
      <c r="B177" s="347" t="s">
        <v>1240</v>
      </c>
      <c r="C177" s="346">
        <v>165</v>
      </c>
      <c r="D177" s="342">
        <v>673612.40489067486</v>
      </c>
    </row>
    <row r="178" spans="1:4" ht="15.95">
      <c r="A178" s="345">
        <v>0.90841235111057561</v>
      </c>
      <c r="B178" s="347" t="s">
        <v>1240</v>
      </c>
      <c r="C178" s="346">
        <v>166</v>
      </c>
      <c r="D178" s="342">
        <v>123643.98479729961</v>
      </c>
    </row>
    <row r="179" spans="1:4" ht="15.95">
      <c r="A179" s="345">
        <v>0.15011952647673155</v>
      </c>
      <c r="B179" s="347" t="s">
        <v>1240</v>
      </c>
      <c r="C179" s="346">
        <v>167</v>
      </c>
      <c r="D179" s="342">
        <v>82226.131173298694</v>
      </c>
    </row>
    <row r="180" spans="1:4" ht="15.95">
      <c r="A180" s="345">
        <v>0.65264818862089125</v>
      </c>
      <c r="B180" s="347" t="s">
        <v>1240</v>
      </c>
      <c r="C180" s="346">
        <v>168</v>
      </c>
      <c r="D180" s="342">
        <v>5317.7344902954064</v>
      </c>
    </row>
    <row r="181" spans="1:4" ht="15.95">
      <c r="A181" s="345">
        <v>0.96795703042766312</v>
      </c>
      <c r="B181" s="347" t="s">
        <v>1240</v>
      </c>
      <c r="C181" s="346">
        <v>169</v>
      </c>
      <c r="D181" s="342">
        <v>374654.70271282759</v>
      </c>
    </row>
    <row r="182" spans="1:4" ht="15.95">
      <c r="A182" s="345">
        <v>0.97691041144703861</v>
      </c>
      <c r="B182" s="347" t="s">
        <v>1240</v>
      </c>
      <c r="C182" s="346">
        <v>170</v>
      </c>
      <c r="D182" s="342">
        <v>172927.25397624378</v>
      </c>
    </row>
    <row r="183" spans="1:4" ht="15.95">
      <c r="A183" s="345">
        <v>0.44949439871178332</v>
      </c>
      <c r="B183" s="347" t="s">
        <v>1240</v>
      </c>
      <c r="C183" s="346">
        <v>171</v>
      </c>
      <c r="D183" s="342">
        <v>161082.44507141225</v>
      </c>
    </row>
    <row r="184" spans="1:4" ht="15.95">
      <c r="A184" s="345">
        <v>0.87651915273495851</v>
      </c>
      <c r="B184" s="347" t="s">
        <v>1240</v>
      </c>
      <c r="C184" s="346">
        <v>172</v>
      </c>
      <c r="D184" s="342">
        <v>266985.03847945365</v>
      </c>
    </row>
    <row r="185" spans="1:4" ht="15.95">
      <c r="A185" s="345">
        <v>0.18224320718023634</v>
      </c>
      <c r="B185" s="347" t="s">
        <v>1240</v>
      </c>
      <c r="C185" s="346">
        <v>173</v>
      </c>
      <c r="D185" s="342">
        <v>70420.928533020895</v>
      </c>
    </row>
    <row r="186" spans="1:4" ht="15.95">
      <c r="A186" s="345">
        <v>0.59233996971804925</v>
      </c>
      <c r="B186" s="347" t="s">
        <v>1240</v>
      </c>
      <c r="C186" s="346">
        <v>174</v>
      </c>
      <c r="D186" s="342">
        <v>261211.07811263786</v>
      </c>
    </row>
    <row r="187" spans="1:4" ht="15.95">
      <c r="A187" s="345">
        <v>0.53800650133965677</v>
      </c>
      <c r="B187" s="347" t="s">
        <v>1240</v>
      </c>
      <c r="C187" s="346">
        <v>175</v>
      </c>
      <c r="D187" s="342">
        <v>350390.09639817313</v>
      </c>
    </row>
    <row r="188" spans="1:4" ht="15.95">
      <c r="A188" s="345">
        <v>0.41749152432767567</v>
      </c>
      <c r="B188" s="347" t="s">
        <v>1240</v>
      </c>
      <c r="C188" s="346">
        <v>176</v>
      </c>
      <c r="D188" s="342">
        <v>163999.375444317</v>
      </c>
    </row>
    <row r="189" spans="1:4" ht="15.95">
      <c r="A189" s="345">
        <v>0.7938871273995779</v>
      </c>
      <c r="B189" s="347" t="s">
        <v>1240</v>
      </c>
      <c r="C189" s="346">
        <v>177</v>
      </c>
      <c r="D189" s="342">
        <v>462251.09488965501</v>
      </c>
    </row>
    <row r="190" spans="1:4" ht="15.95">
      <c r="A190" s="345">
        <v>0.26224196467779981</v>
      </c>
      <c r="B190" s="347" t="s">
        <v>1240</v>
      </c>
      <c r="C190" s="346">
        <v>178</v>
      </c>
      <c r="D190" s="342">
        <v>543743.47749597579</v>
      </c>
    </row>
    <row r="191" spans="1:4" ht="15.95">
      <c r="A191" s="345">
        <v>0.23299818868318478</v>
      </c>
      <c r="B191" s="347" t="s">
        <v>1240</v>
      </c>
      <c r="C191" s="346">
        <v>179</v>
      </c>
      <c r="D191" s="342">
        <v>486227.20959403319</v>
      </c>
    </row>
    <row r="192" spans="1:4" ht="15.95">
      <c r="A192" s="345">
        <v>0.81138641929201694</v>
      </c>
      <c r="B192" s="347" t="s">
        <v>1240</v>
      </c>
      <c r="C192" s="346">
        <v>180</v>
      </c>
      <c r="D192" s="342">
        <v>213093.98104202701</v>
      </c>
    </row>
    <row r="193" spans="1:4" ht="15.95">
      <c r="A193" s="345">
        <v>0.98295361819727389</v>
      </c>
      <c r="B193" s="347" t="s">
        <v>1240</v>
      </c>
      <c r="C193" s="346">
        <v>181</v>
      </c>
      <c r="D193" s="342">
        <v>342325.14479080657</v>
      </c>
    </row>
    <row r="194" spans="1:4" ht="15.95">
      <c r="A194" s="345">
        <v>0.98261825178952777</v>
      </c>
      <c r="B194" s="347" t="s">
        <v>1240</v>
      </c>
      <c r="C194" s="346">
        <v>182</v>
      </c>
      <c r="D194" s="342">
        <v>138952.4866848588</v>
      </c>
    </row>
    <row r="195" spans="1:4" ht="15.95">
      <c r="A195" s="345">
        <v>0.69873631662326996</v>
      </c>
      <c r="B195" s="347" t="s">
        <v>1240</v>
      </c>
      <c r="C195" s="346">
        <v>183</v>
      </c>
      <c r="D195" s="342">
        <v>568852.33816456003</v>
      </c>
    </row>
    <row r="196" spans="1:4" ht="15.95">
      <c r="A196" s="345">
        <v>0.87558878992504896</v>
      </c>
      <c r="B196" s="347" t="s">
        <v>1240</v>
      </c>
      <c r="C196" s="346">
        <v>184</v>
      </c>
      <c r="D196" s="342">
        <v>394257.8847193222</v>
      </c>
    </row>
    <row r="197" spans="1:4" ht="15.95">
      <c r="A197" s="345">
        <v>0.51525114555654516</v>
      </c>
      <c r="B197" s="347" t="s">
        <v>1240</v>
      </c>
      <c r="C197" s="346">
        <v>185</v>
      </c>
      <c r="D197" s="342">
        <v>52968.070664336905</v>
      </c>
    </row>
    <row r="198" spans="1:4" ht="15.95">
      <c r="A198" s="345">
        <v>4.0515826900701657E-2</v>
      </c>
      <c r="B198" s="347" t="s">
        <v>1240</v>
      </c>
      <c r="C198" s="346">
        <v>186</v>
      </c>
      <c r="D198" s="342">
        <v>15724.211028306047</v>
      </c>
    </row>
    <row r="199" spans="1:4" ht="15.95">
      <c r="A199" s="345">
        <v>0.43266077096840716</v>
      </c>
      <c r="B199" s="347" t="s">
        <v>1240</v>
      </c>
      <c r="C199" s="346">
        <v>187</v>
      </c>
      <c r="D199" s="342">
        <v>240884.5492152751</v>
      </c>
    </row>
    <row r="200" spans="1:4" ht="15.95">
      <c r="A200" s="345">
        <v>0.59487039441798661</v>
      </c>
      <c r="B200" s="347" t="s">
        <v>1240</v>
      </c>
      <c r="C200" s="346">
        <v>188</v>
      </c>
      <c r="D200" s="342">
        <v>178379.65121747181</v>
      </c>
    </row>
    <row r="201" spans="1:4" ht="15.95">
      <c r="A201" s="345">
        <v>0.56137459898667741</v>
      </c>
      <c r="B201" s="347" t="s">
        <v>1240</v>
      </c>
      <c r="C201" s="346">
        <v>189</v>
      </c>
      <c r="D201" s="342">
        <v>200119.18593083369</v>
      </c>
    </row>
    <row r="202" spans="1:4" ht="15.95">
      <c r="A202" s="345">
        <v>2.0796379392408526E-2</v>
      </c>
      <c r="B202" s="347" t="s">
        <v>1240</v>
      </c>
      <c r="C202" s="346">
        <v>190</v>
      </c>
      <c r="D202" s="342">
        <v>168912.00729645439</v>
      </c>
    </row>
    <row r="203" spans="1:4" ht="15.95">
      <c r="A203" s="345">
        <v>1.1509395453711102E-2</v>
      </c>
      <c r="B203" s="347" t="s">
        <v>1240</v>
      </c>
      <c r="C203" s="346">
        <v>191</v>
      </c>
      <c r="D203" s="342">
        <v>83411.919463317376</v>
      </c>
    </row>
    <row r="204" spans="1:4" ht="15.95">
      <c r="A204" s="345">
        <v>0.26791203077428016</v>
      </c>
      <c r="B204" s="347" t="s">
        <v>1240</v>
      </c>
      <c r="C204" s="346">
        <v>192</v>
      </c>
      <c r="D204" s="342">
        <v>643166.09710383415</v>
      </c>
    </row>
    <row r="205" spans="1:4" ht="15.95">
      <c r="A205" s="345">
        <v>0.69169304842937573</v>
      </c>
      <c r="B205" s="347" t="s">
        <v>1240</v>
      </c>
      <c r="C205" s="346">
        <v>193</v>
      </c>
      <c r="D205" s="342">
        <v>431086.70356749068</v>
      </c>
    </row>
    <row r="206" spans="1:4" ht="15.95">
      <c r="A206" s="345">
        <v>0.5379298348743865</v>
      </c>
      <c r="B206" s="347" t="s">
        <v>1240</v>
      </c>
      <c r="C206" s="346">
        <v>194</v>
      </c>
      <c r="D206" s="342">
        <v>251109.10490877996</v>
      </c>
    </row>
    <row r="207" spans="1:4" ht="15.95">
      <c r="A207" s="345">
        <v>0.96782265417510915</v>
      </c>
      <c r="B207" s="347" t="s">
        <v>1240</v>
      </c>
      <c r="C207" s="346">
        <v>195</v>
      </c>
      <c r="D207" s="342">
        <v>105274.06957409019</v>
      </c>
    </row>
    <row r="208" spans="1:4" ht="15.95">
      <c r="A208" s="345">
        <v>0.50456924869195485</v>
      </c>
      <c r="B208" s="347" t="s">
        <v>1240</v>
      </c>
      <c r="C208" s="346">
        <v>196</v>
      </c>
      <c r="D208" s="342">
        <v>247750.82503318042</v>
      </c>
    </row>
    <row r="209" spans="1:4" ht="15.95">
      <c r="A209" s="345">
        <v>0.38571412662451021</v>
      </c>
      <c r="B209" s="347" t="s">
        <v>1240</v>
      </c>
      <c r="C209" s="346">
        <v>197</v>
      </c>
      <c r="D209" s="342">
        <v>197499.07673427765</v>
      </c>
    </row>
    <row r="210" spans="1:4" ht="15.95">
      <c r="A210" s="345">
        <v>0.20188488349446987</v>
      </c>
      <c r="B210" s="347" t="s">
        <v>1240</v>
      </c>
      <c r="C210" s="346">
        <v>198</v>
      </c>
      <c r="D210" s="342">
        <v>-18566.223700905917</v>
      </c>
    </row>
    <row r="211" spans="1:4" ht="15.95">
      <c r="A211" s="345">
        <v>0.87013646982082282</v>
      </c>
      <c r="B211" s="347" t="s">
        <v>1240</v>
      </c>
      <c r="C211" s="346">
        <v>199</v>
      </c>
      <c r="D211" s="342">
        <v>468488.9958740673</v>
      </c>
    </row>
    <row r="212" spans="1:4" ht="15.95">
      <c r="A212" s="345">
        <v>0.73291594200382182</v>
      </c>
      <c r="B212" s="347" t="s">
        <v>1240</v>
      </c>
      <c r="C212" s="346">
        <v>200</v>
      </c>
      <c r="D212" s="342">
        <v>314790.91658800957</v>
      </c>
    </row>
    <row r="213" spans="1:4" ht="15.95">
      <c r="A213" s="345">
        <v>0.71500467333728557</v>
      </c>
      <c r="B213" s="347" t="s">
        <v>1240</v>
      </c>
      <c r="C213" s="346">
        <v>201</v>
      </c>
      <c r="D213" s="342">
        <v>358580.78907758719</v>
      </c>
    </row>
    <row r="214" spans="1:4" ht="15.95">
      <c r="A214" s="345">
        <v>0.62385933390910953</v>
      </c>
      <c r="B214" s="347" t="s">
        <v>1240</v>
      </c>
      <c r="C214" s="346">
        <v>202</v>
      </c>
      <c r="D214" s="342">
        <v>302803.26344168233</v>
      </c>
    </row>
    <row r="215" spans="1:4" ht="15.95">
      <c r="A215" s="345">
        <v>8.9816453629011361E-2</v>
      </c>
      <c r="B215" s="347" t="s">
        <v>1240</v>
      </c>
      <c r="C215" s="346">
        <v>203</v>
      </c>
      <c r="D215" s="342">
        <v>740072.3254731535</v>
      </c>
    </row>
    <row r="216" spans="1:4" ht="15.95">
      <c r="A216" s="345">
        <v>0.76212390066229529</v>
      </c>
      <c r="B216" s="347" t="s">
        <v>1240</v>
      </c>
      <c r="C216" s="346">
        <v>204</v>
      </c>
      <c r="D216" s="342">
        <v>282457.52648150455</v>
      </c>
    </row>
    <row r="217" spans="1:4" ht="15.95">
      <c r="A217" s="345">
        <v>0.41172454973767858</v>
      </c>
      <c r="B217" s="347" t="s">
        <v>1240</v>
      </c>
      <c r="C217" s="346">
        <v>205</v>
      </c>
      <c r="D217" s="342">
        <v>367235.85027259332</v>
      </c>
    </row>
    <row r="218" spans="1:4" ht="15.95">
      <c r="A218" s="345">
        <v>0.89515938826638186</v>
      </c>
      <c r="B218" s="347" t="s">
        <v>1240</v>
      </c>
      <c r="C218" s="346">
        <v>206</v>
      </c>
      <c r="D218" s="342">
        <v>215296.42811120953</v>
      </c>
    </row>
    <row r="219" spans="1:4" ht="15.95">
      <c r="A219" s="345">
        <v>0.39082121540589876</v>
      </c>
      <c r="B219" s="347" t="s">
        <v>1240</v>
      </c>
      <c r="C219" s="346">
        <v>207</v>
      </c>
      <c r="D219" s="342">
        <v>222248.91886420664</v>
      </c>
    </row>
    <row r="220" spans="1:4" ht="15.95">
      <c r="A220" s="345">
        <v>0.93224575798505316</v>
      </c>
      <c r="B220" s="347" t="s">
        <v>1240</v>
      </c>
      <c r="C220" s="346">
        <v>208</v>
      </c>
      <c r="D220" s="342">
        <v>141820.78467452875</v>
      </c>
    </row>
    <row r="221" spans="1:4" ht="15.95">
      <c r="A221" s="345">
        <v>0.16863395077657373</v>
      </c>
      <c r="B221" s="347" t="s">
        <v>1240</v>
      </c>
      <c r="C221" s="346">
        <v>209</v>
      </c>
      <c r="D221" s="342">
        <v>624368.93856126256</v>
      </c>
    </row>
    <row r="222" spans="1:4" ht="15.95">
      <c r="A222" s="345">
        <v>0.25299762718689756</v>
      </c>
      <c r="B222" s="347" t="s">
        <v>1240</v>
      </c>
      <c r="C222" s="346">
        <v>210</v>
      </c>
      <c r="D222" s="342">
        <v>222785.09195882152</v>
      </c>
    </row>
    <row r="223" spans="1:4" ht="15.95">
      <c r="A223" s="345">
        <v>0.19189773229995921</v>
      </c>
      <c r="B223" s="347" t="s">
        <v>1240</v>
      </c>
      <c r="C223" s="346">
        <v>211</v>
      </c>
      <c r="D223" s="342">
        <v>240851.99262335058</v>
      </c>
    </row>
    <row r="224" spans="1:4" ht="15.95">
      <c r="A224" s="345">
        <v>0.85206946196290523</v>
      </c>
      <c r="B224" s="347" t="s">
        <v>1240</v>
      </c>
      <c r="C224" s="346">
        <v>212</v>
      </c>
      <c r="D224" s="342">
        <v>92379.884039984783</v>
      </c>
    </row>
    <row r="225" spans="1:4" ht="15.95">
      <c r="A225" s="345">
        <v>0.34934255735043629</v>
      </c>
      <c r="B225" s="347" t="s">
        <v>1240</v>
      </c>
      <c r="C225" s="346">
        <v>213</v>
      </c>
      <c r="D225" s="342">
        <v>229260.81624602154</v>
      </c>
    </row>
    <row r="226" spans="1:4" ht="15.95">
      <c r="A226" s="345">
        <v>0.88049688619451838</v>
      </c>
      <c r="B226" s="347" t="s">
        <v>1240</v>
      </c>
      <c r="C226" s="346">
        <v>214</v>
      </c>
      <c r="D226" s="342">
        <v>618140.84915189166</v>
      </c>
    </row>
    <row r="227" spans="1:4" ht="15.95">
      <c r="A227" s="345">
        <v>0.33983042918919781</v>
      </c>
      <c r="B227" s="347" t="s">
        <v>1240</v>
      </c>
      <c r="C227" s="346">
        <v>215</v>
      </c>
      <c r="D227" s="342">
        <v>454484.31323894649</v>
      </c>
    </row>
    <row r="228" spans="1:4" ht="15.95">
      <c r="A228" s="345">
        <v>0.92399614041950029</v>
      </c>
      <c r="B228" s="347" t="s">
        <v>1240</v>
      </c>
      <c r="C228" s="346">
        <v>216</v>
      </c>
      <c r="D228" s="342">
        <v>691439.99106140155</v>
      </c>
    </row>
    <row r="229" spans="1:4" ht="15.95">
      <c r="A229" s="345">
        <v>0.25294337350497897</v>
      </c>
      <c r="B229" s="347" t="s">
        <v>1240</v>
      </c>
      <c r="C229" s="346">
        <v>217</v>
      </c>
      <c r="D229" s="342">
        <v>597184.14817776182</v>
      </c>
    </row>
    <row r="230" spans="1:4" ht="15.95">
      <c r="A230" s="345">
        <v>0.9781608235963839</v>
      </c>
      <c r="B230" s="347" t="s">
        <v>1240</v>
      </c>
      <c r="C230" s="346">
        <v>218</v>
      </c>
      <c r="D230" s="342">
        <v>540044.49957039766</v>
      </c>
    </row>
    <row r="231" spans="1:4" ht="15.95">
      <c r="A231" s="345">
        <v>6.7063018003361119E-2</v>
      </c>
      <c r="B231" s="347" t="s">
        <v>1240</v>
      </c>
      <c r="C231" s="346">
        <v>219</v>
      </c>
      <c r="D231" s="342">
        <v>732829.4654373175</v>
      </c>
    </row>
    <row r="232" spans="1:4" ht="15.95">
      <c r="A232" s="345">
        <v>0.87551080668694015</v>
      </c>
      <c r="B232" s="347" t="s">
        <v>1240</v>
      </c>
      <c r="C232" s="346">
        <v>220</v>
      </c>
      <c r="D232" s="342">
        <v>183432.35692455363</v>
      </c>
    </row>
    <row r="233" spans="1:4" ht="15.95">
      <c r="A233" s="345">
        <v>0.67827246584142209</v>
      </c>
      <c r="B233" s="347" t="s">
        <v>1240</v>
      </c>
      <c r="C233" s="346">
        <v>221</v>
      </c>
      <c r="D233" s="342">
        <v>49013.168883462436</v>
      </c>
    </row>
    <row r="234" spans="1:4" ht="15.95">
      <c r="A234" s="345">
        <v>0.4229361674824571</v>
      </c>
      <c r="B234" s="347" t="s">
        <v>1240</v>
      </c>
      <c r="C234" s="346">
        <v>222</v>
      </c>
      <c r="D234" s="342">
        <v>629930.49956007279</v>
      </c>
    </row>
    <row r="235" spans="1:4" ht="15.95">
      <c r="A235" s="345">
        <v>8.0693443971461054E-2</v>
      </c>
      <c r="B235" s="347" t="s">
        <v>1240</v>
      </c>
      <c r="C235" s="346">
        <v>223</v>
      </c>
      <c r="D235" s="342">
        <v>724822.34625933017</v>
      </c>
    </row>
    <row r="236" spans="1:4" ht="15.95">
      <c r="A236" s="345">
        <v>0.63248440499203173</v>
      </c>
      <c r="B236" s="347" t="s">
        <v>1240</v>
      </c>
      <c r="C236" s="346">
        <v>224</v>
      </c>
      <c r="D236" s="342">
        <v>773275.46473381901</v>
      </c>
    </row>
    <row r="237" spans="1:4" ht="15.95">
      <c r="A237" s="345">
        <v>0.4367426532414993</v>
      </c>
      <c r="B237" s="347" t="s">
        <v>1240</v>
      </c>
      <c r="C237" s="346">
        <v>225</v>
      </c>
      <c r="D237" s="342">
        <v>258556.59371558763</v>
      </c>
    </row>
    <row r="238" spans="1:4" ht="15.95">
      <c r="A238" s="345">
        <v>0.97057786673605317</v>
      </c>
      <c r="B238" s="347" t="s">
        <v>1240</v>
      </c>
      <c r="C238" s="346">
        <v>226</v>
      </c>
      <c r="D238" s="342">
        <v>250773.22837493918</v>
      </c>
    </row>
    <row r="239" spans="1:4" ht="15.95">
      <c r="A239" s="345">
        <v>0.58661584957811286</v>
      </c>
      <c r="B239" s="347" t="s">
        <v>1240</v>
      </c>
      <c r="C239" s="346">
        <v>227</v>
      </c>
      <c r="D239" s="342">
        <v>357384.00598270237</v>
      </c>
    </row>
    <row r="240" spans="1:4" ht="15.95">
      <c r="A240" s="345">
        <v>3.576811294163873E-2</v>
      </c>
      <c r="B240" s="347" t="s">
        <v>1240</v>
      </c>
      <c r="C240" s="346">
        <v>228</v>
      </c>
      <c r="D240" s="342">
        <v>101450.39546125894</v>
      </c>
    </row>
    <row r="241" spans="1:4" ht="15.95">
      <c r="A241" s="345">
        <v>0.18217073568091358</v>
      </c>
      <c r="B241" s="347" t="s">
        <v>1240</v>
      </c>
      <c r="C241" s="346">
        <v>229</v>
      </c>
      <c r="D241" s="342">
        <v>-14197.271627492737</v>
      </c>
    </row>
    <row r="242" spans="1:4" ht="15.95">
      <c r="A242" s="345">
        <v>0.314171946021224</v>
      </c>
      <c r="B242" s="347" t="s">
        <v>1240</v>
      </c>
      <c r="C242" s="346">
        <v>230</v>
      </c>
      <c r="D242" s="342">
        <v>503505.93281084416</v>
      </c>
    </row>
    <row r="243" spans="1:4" ht="15.95">
      <c r="A243" s="345">
        <v>0.19668393361384395</v>
      </c>
      <c r="B243" s="347" t="s">
        <v>1240</v>
      </c>
      <c r="C243" s="346">
        <v>231</v>
      </c>
      <c r="D243" s="342">
        <v>230466.67014938826</v>
      </c>
    </row>
    <row r="244" spans="1:4" ht="15.95">
      <c r="A244" s="345">
        <v>0.42085872398888657</v>
      </c>
      <c r="B244" s="347" t="s">
        <v>1240</v>
      </c>
      <c r="C244" s="346">
        <v>232</v>
      </c>
      <c r="D244" s="342">
        <v>501111.73837251472</v>
      </c>
    </row>
    <row r="245" spans="1:4" ht="15.95">
      <c r="A245" s="345">
        <v>0.18984322105712259</v>
      </c>
      <c r="B245" s="347" t="s">
        <v>1240</v>
      </c>
      <c r="C245" s="346">
        <v>233</v>
      </c>
      <c r="D245" s="342">
        <v>437504.7574720371</v>
      </c>
    </row>
    <row r="246" spans="1:4" ht="15.95">
      <c r="A246" s="345">
        <v>0.92311894066603906</v>
      </c>
      <c r="B246" s="347" t="s">
        <v>1240</v>
      </c>
      <c r="C246" s="346">
        <v>234</v>
      </c>
      <c r="D246" s="342">
        <v>366271.51845178194</v>
      </c>
    </row>
    <row r="247" spans="1:4" ht="15.95">
      <c r="A247" s="345">
        <v>0.25252585327217736</v>
      </c>
      <c r="B247" s="347" t="s">
        <v>1240</v>
      </c>
      <c r="C247" s="346">
        <v>235</v>
      </c>
      <c r="D247" s="342">
        <v>278348.39719680976</v>
      </c>
    </row>
    <row r="248" spans="1:4" ht="15.95">
      <c r="A248" s="345">
        <v>0.69797498000703295</v>
      </c>
      <c r="B248" s="347" t="s">
        <v>1240</v>
      </c>
      <c r="C248" s="346">
        <v>236</v>
      </c>
      <c r="D248" s="342">
        <v>-54771.885477751028</v>
      </c>
    </row>
    <row r="249" spans="1:4" ht="15.95">
      <c r="A249" s="345">
        <v>0.46107635114261292</v>
      </c>
      <c r="B249" s="347" t="s">
        <v>1240</v>
      </c>
      <c r="C249" s="346">
        <v>237</v>
      </c>
      <c r="D249" s="342">
        <v>652962.92988151871</v>
      </c>
    </row>
    <row r="250" spans="1:4" ht="15.95">
      <c r="A250" s="345">
        <v>0.80988601095213275</v>
      </c>
      <c r="B250" s="347" t="s">
        <v>1240</v>
      </c>
      <c r="C250" s="346">
        <v>238</v>
      </c>
      <c r="D250" s="342">
        <v>178881.29906899063</v>
      </c>
    </row>
    <row r="251" spans="1:4" ht="15.95">
      <c r="A251" s="345">
        <v>0.70491878673560249</v>
      </c>
      <c r="B251" s="347" t="s">
        <v>1240</v>
      </c>
      <c r="C251" s="346">
        <v>239</v>
      </c>
      <c r="D251" s="342">
        <v>144033.07028013025</v>
      </c>
    </row>
    <row r="252" spans="1:4" ht="15.95">
      <c r="A252" s="345">
        <v>0.21852992217232248</v>
      </c>
      <c r="B252" s="347" t="s">
        <v>1240</v>
      </c>
      <c r="C252" s="346">
        <v>240</v>
      </c>
      <c r="D252" s="342">
        <v>161409.72932671546</v>
      </c>
    </row>
    <row r="253" spans="1:4" ht="15.95">
      <c r="A253" s="345">
        <v>0.39295080988456255</v>
      </c>
      <c r="B253" s="347" t="s">
        <v>1240</v>
      </c>
      <c r="C253" s="346">
        <v>241</v>
      </c>
      <c r="D253" s="342">
        <v>461855.96302305278</v>
      </c>
    </row>
    <row r="254" spans="1:4" ht="15.95">
      <c r="A254" s="345">
        <v>9.4723642409698106E-2</v>
      </c>
      <c r="B254" s="347" t="s">
        <v>1240</v>
      </c>
      <c r="C254" s="346">
        <v>242</v>
      </c>
      <c r="D254" s="342">
        <v>648198.92170153931</v>
      </c>
    </row>
    <row r="255" spans="1:4" ht="15.95">
      <c r="A255" s="345">
        <v>0.1017016890815754</v>
      </c>
      <c r="B255" s="347" t="s">
        <v>1240</v>
      </c>
      <c r="C255" s="346">
        <v>243</v>
      </c>
      <c r="D255" s="342">
        <v>97925.993387858383</v>
      </c>
    </row>
    <row r="256" spans="1:4" ht="15.95">
      <c r="A256" s="345">
        <v>2.6540980843924422E-2</v>
      </c>
      <c r="B256" s="347" t="s">
        <v>1240</v>
      </c>
      <c r="C256" s="346">
        <v>244</v>
      </c>
      <c r="D256" s="342">
        <v>5990.6912990389392</v>
      </c>
    </row>
    <row r="257" spans="1:4" ht="15.95">
      <c r="A257" s="345">
        <v>0.22172141910770349</v>
      </c>
      <c r="B257" s="347" t="s">
        <v>1240</v>
      </c>
      <c r="C257" s="346">
        <v>245</v>
      </c>
      <c r="D257" s="342">
        <v>167910.68502908153</v>
      </c>
    </row>
    <row r="258" spans="1:4" ht="15.95">
      <c r="A258" s="345">
        <v>0.67025168849151251</v>
      </c>
      <c r="B258" s="347" t="s">
        <v>1240</v>
      </c>
      <c r="C258" s="346">
        <v>246</v>
      </c>
      <c r="D258" s="342">
        <v>446366.81008027424</v>
      </c>
    </row>
    <row r="259" spans="1:4" ht="15.95">
      <c r="A259" s="345">
        <v>0.84736277582724728</v>
      </c>
      <c r="B259" s="347" t="s">
        <v>1240</v>
      </c>
      <c r="C259" s="346">
        <v>247</v>
      </c>
      <c r="D259" s="342">
        <v>218185.55315264524</v>
      </c>
    </row>
    <row r="260" spans="1:4" ht="15.95">
      <c r="A260" s="345">
        <v>0.65898661362588939</v>
      </c>
      <c r="B260" s="347" t="s">
        <v>1240</v>
      </c>
      <c r="C260" s="346">
        <v>248</v>
      </c>
      <c r="D260" s="342">
        <v>124797.45672146743</v>
      </c>
    </row>
    <row r="261" spans="1:4" ht="15.95">
      <c r="A261" s="345">
        <v>0.48527108338154246</v>
      </c>
      <c r="B261" s="347" t="s">
        <v>1240</v>
      </c>
      <c r="C261" s="346">
        <v>249</v>
      </c>
      <c r="D261" s="342">
        <v>260646.57754794252</v>
      </c>
    </row>
    <row r="262" spans="1:4" ht="15.95">
      <c r="A262" s="345">
        <v>0.91299774896837715</v>
      </c>
      <c r="B262" s="347" t="s">
        <v>1240</v>
      </c>
      <c r="C262" s="346">
        <v>250</v>
      </c>
      <c r="D262" s="342">
        <v>653911.95225906232</v>
      </c>
    </row>
    <row r="263" spans="1:4" ht="15.95">
      <c r="A263" s="345">
        <v>0.44578990493223825</v>
      </c>
      <c r="B263" s="347" t="s">
        <v>1240</v>
      </c>
      <c r="C263" s="346">
        <v>251</v>
      </c>
      <c r="D263" s="342">
        <v>45787.318920887308</v>
      </c>
    </row>
    <row r="264" spans="1:4" ht="15.95">
      <c r="A264" s="345">
        <v>0.96466210285767295</v>
      </c>
      <c r="B264" s="347" t="s">
        <v>1240</v>
      </c>
      <c r="C264" s="346">
        <v>252</v>
      </c>
      <c r="D264" s="342">
        <v>160272.05163872149</v>
      </c>
    </row>
    <row r="265" spans="1:4" ht="15.95">
      <c r="A265" s="345">
        <v>5.6046211726083595E-2</v>
      </c>
      <c r="B265" s="347" t="s">
        <v>1240</v>
      </c>
      <c r="C265" s="346">
        <v>253</v>
      </c>
      <c r="D265" s="342">
        <v>702298.90129900328</v>
      </c>
    </row>
    <row r="266" spans="1:4" ht="15.95">
      <c r="A266" s="345">
        <v>0.66747483552756515</v>
      </c>
      <c r="B266" s="347" t="s">
        <v>1240</v>
      </c>
      <c r="C266" s="346">
        <v>254</v>
      </c>
      <c r="D266" s="342">
        <v>348511.32645187271</v>
      </c>
    </row>
    <row r="267" spans="1:4" ht="15.95">
      <c r="A267" s="345">
        <v>0.61707532184365355</v>
      </c>
      <c r="B267" s="347" t="s">
        <v>1240</v>
      </c>
      <c r="C267" s="346">
        <v>255</v>
      </c>
      <c r="D267" s="342">
        <v>229466.30382336862</v>
      </c>
    </row>
    <row r="268" spans="1:4" ht="15.95">
      <c r="A268" s="345">
        <v>0.16144599933375969</v>
      </c>
      <c r="B268" s="347" t="s">
        <v>1240</v>
      </c>
      <c r="C268" s="346">
        <v>256</v>
      </c>
      <c r="D268" s="342">
        <v>252227.97476428119</v>
      </c>
    </row>
    <row r="269" spans="1:4" ht="15.95">
      <c r="A269" s="345">
        <v>7.9016287995158474E-2</v>
      </c>
      <c r="B269" s="347" t="s">
        <v>1240</v>
      </c>
      <c r="C269" s="346">
        <v>257</v>
      </c>
      <c r="D269" s="342">
        <v>174049.4981231885</v>
      </c>
    </row>
    <row r="270" spans="1:4" ht="15.95">
      <c r="A270" s="345">
        <v>0.50958223834669469</v>
      </c>
      <c r="B270" s="347" t="s">
        <v>1240</v>
      </c>
      <c r="C270" s="346">
        <v>258</v>
      </c>
      <c r="D270" s="342">
        <v>91100.897013457026</v>
      </c>
    </row>
    <row r="271" spans="1:4" ht="15.95">
      <c r="A271" s="345">
        <v>0.59714112570953815</v>
      </c>
      <c r="B271" s="347" t="s">
        <v>1240</v>
      </c>
      <c r="C271" s="346">
        <v>259</v>
      </c>
      <c r="D271" s="342">
        <v>81053.959596580826</v>
      </c>
    </row>
    <row r="272" spans="1:4" ht="15.95">
      <c r="A272" s="345">
        <v>0.54023385761637222</v>
      </c>
      <c r="B272" s="347" t="s">
        <v>1240</v>
      </c>
      <c r="C272" s="346">
        <v>260</v>
      </c>
      <c r="D272" s="342">
        <v>356973.06347776158</v>
      </c>
    </row>
    <row r="273" spans="1:4" ht="15.95">
      <c r="A273" s="345">
        <v>0.97201540265691866</v>
      </c>
      <c r="B273" s="347" t="s">
        <v>1240</v>
      </c>
      <c r="C273" s="346">
        <v>261</v>
      </c>
      <c r="D273" s="342">
        <v>363189.52714300086</v>
      </c>
    </row>
    <row r="274" spans="1:4" ht="15.95">
      <c r="A274" s="345">
        <v>0.66854240799567077</v>
      </c>
      <c r="B274" s="347" t="s">
        <v>1240</v>
      </c>
      <c r="C274" s="346">
        <v>262</v>
      </c>
      <c r="D274" s="342">
        <v>485251.52141755284</v>
      </c>
    </row>
    <row r="275" spans="1:4" ht="15.95">
      <c r="A275" s="345">
        <v>0.62983015319477265</v>
      </c>
      <c r="B275" s="347" t="s">
        <v>1240</v>
      </c>
      <c r="C275" s="346">
        <v>263</v>
      </c>
      <c r="D275" s="342">
        <v>29197.423389730277</v>
      </c>
    </row>
    <row r="276" spans="1:4" ht="15.95">
      <c r="A276" s="345">
        <v>0.58441025263457413</v>
      </c>
      <c r="B276" s="347" t="s">
        <v>1240</v>
      </c>
      <c r="C276" s="346">
        <v>264</v>
      </c>
      <c r="D276" s="342">
        <v>30186.545064419042</v>
      </c>
    </row>
    <row r="277" spans="1:4" ht="15.95">
      <c r="A277" s="345">
        <v>0.97400545873158784</v>
      </c>
      <c r="B277" s="347" t="s">
        <v>1240</v>
      </c>
      <c r="C277" s="346">
        <v>265</v>
      </c>
      <c r="D277" s="342">
        <v>421076.41827681474</v>
      </c>
    </row>
    <row r="278" spans="1:4" ht="15.95">
      <c r="A278" s="345">
        <v>0.45823800704911444</v>
      </c>
      <c r="B278" s="347" t="s">
        <v>1240</v>
      </c>
      <c r="C278" s="346">
        <v>266</v>
      </c>
      <c r="D278" s="342">
        <v>372740.84335580328</v>
      </c>
    </row>
    <row r="279" spans="1:4" ht="15.95">
      <c r="A279" s="345">
        <v>0.41005306624680415</v>
      </c>
      <c r="B279" s="347" t="s">
        <v>1240</v>
      </c>
      <c r="C279" s="346">
        <v>267</v>
      </c>
      <c r="D279" s="342">
        <v>137337.85762503673</v>
      </c>
    </row>
    <row r="280" spans="1:4" ht="15.95">
      <c r="A280" s="345">
        <v>0.36449365401581812</v>
      </c>
      <c r="B280" s="347" t="s">
        <v>1240</v>
      </c>
      <c r="C280" s="346">
        <v>268</v>
      </c>
      <c r="D280" s="342">
        <v>404851.8333780379</v>
      </c>
    </row>
    <row r="281" spans="1:4" ht="15.95">
      <c r="A281" s="345">
        <v>0.86409750121319784</v>
      </c>
      <c r="B281" s="347" t="s">
        <v>1240</v>
      </c>
      <c r="C281" s="346">
        <v>269</v>
      </c>
      <c r="D281" s="342">
        <v>237848.23389669647</v>
      </c>
    </row>
    <row r="282" spans="1:4" ht="15.95">
      <c r="A282" s="345">
        <v>0.29113659137937242</v>
      </c>
      <c r="B282" s="347" t="s">
        <v>1240</v>
      </c>
      <c r="C282" s="346">
        <v>270</v>
      </c>
      <c r="D282" s="342">
        <v>-2660.3332807989791</v>
      </c>
    </row>
    <row r="283" spans="1:4" ht="15.95">
      <c r="A283" s="345">
        <v>0.60195651851255427</v>
      </c>
      <c r="B283" s="347" t="s">
        <v>1240</v>
      </c>
      <c r="C283" s="346">
        <v>271</v>
      </c>
      <c r="D283" s="342">
        <v>347185.96209380985</v>
      </c>
    </row>
    <row r="284" spans="1:4" ht="15.95">
      <c r="A284" s="345">
        <v>0.87840497253475247</v>
      </c>
      <c r="B284" s="347" t="s">
        <v>1240</v>
      </c>
      <c r="C284" s="346">
        <v>272</v>
      </c>
      <c r="D284" s="342">
        <v>367204.26244588941</v>
      </c>
    </row>
    <row r="285" spans="1:4" ht="15.95">
      <c r="A285" s="345">
        <v>0.51578244488455238</v>
      </c>
      <c r="B285" s="347" t="s">
        <v>1240</v>
      </c>
      <c r="C285" s="346">
        <v>273</v>
      </c>
      <c r="D285" s="342">
        <v>193818.06024269573</v>
      </c>
    </row>
    <row r="286" spans="1:4" ht="15.95">
      <c r="A286" s="345">
        <v>0.68586626099455228</v>
      </c>
      <c r="B286" s="347" t="s">
        <v>1240</v>
      </c>
      <c r="C286" s="346">
        <v>274</v>
      </c>
      <c r="D286" s="342">
        <v>227197.05886288593</v>
      </c>
    </row>
    <row r="287" spans="1:4" ht="15.95">
      <c r="A287" s="345">
        <v>5.4895727783760284E-2</v>
      </c>
      <c r="B287" s="347" t="s">
        <v>1240</v>
      </c>
      <c r="C287" s="346">
        <v>275</v>
      </c>
      <c r="D287" s="342">
        <v>475236.15809050505</v>
      </c>
    </row>
    <row r="288" spans="1:4" ht="15.95">
      <c r="A288" s="345">
        <v>0.45553866135884746</v>
      </c>
      <c r="B288" s="347" t="s">
        <v>1240</v>
      </c>
      <c r="C288" s="346">
        <v>276</v>
      </c>
      <c r="D288" s="342">
        <v>371533.87338431668</v>
      </c>
    </row>
    <row r="289" spans="1:4" ht="15.95">
      <c r="A289" s="345">
        <v>0.34575157994217665</v>
      </c>
      <c r="B289" s="347" t="s">
        <v>1240</v>
      </c>
      <c r="C289" s="346">
        <v>277</v>
      </c>
      <c r="D289" s="342">
        <v>653999.61305533885</v>
      </c>
    </row>
    <row r="290" spans="1:4" ht="15.95">
      <c r="A290" s="345">
        <v>0.1330726059353724</v>
      </c>
      <c r="B290" s="347" t="s">
        <v>1240</v>
      </c>
      <c r="C290" s="346">
        <v>278</v>
      </c>
      <c r="D290" s="342">
        <v>568128.41158648022</v>
      </c>
    </row>
    <row r="291" spans="1:4" ht="15.95">
      <c r="A291" s="345">
        <v>0.16289233605493825</v>
      </c>
      <c r="B291" s="347" t="s">
        <v>1240</v>
      </c>
      <c r="C291" s="346">
        <v>279</v>
      </c>
      <c r="D291" s="342">
        <v>159800.48425172758</v>
      </c>
    </row>
    <row r="292" spans="1:4" ht="15.95">
      <c r="A292" s="345">
        <v>0.81754506806103355</v>
      </c>
      <c r="B292" s="347" t="s">
        <v>1240</v>
      </c>
      <c r="C292" s="346">
        <v>280</v>
      </c>
      <c r="D292" s="342">
        <v>32746.25853336486</v>
      </c>
    </row>
    <row r="293" spans="1:4" ht="15.95">
      <c r="A293" s="345">
        <v>0.49285274717682592</v>
      </c>
      <c r="B293" s="347" t="s">
        <v>1240</v>
      </c>
      <c r="C293" s="346">
        <v>281</v>
      </c>
      <c r="D293" s="342">
        <v>443134.05060345493</v>
      </c>
    </row>
    <row r="294" spans="1:4" ht="15.95">
      <c r="A294" s="345">
        <v>0.64227449042379303</v>
      </c>
      <c r="B294" s="347" t="s">
        <v>1240</v>
      </c>
      <c r="C294" s="346">
        <v>282</v>
      </c>
      <c r="D294" s="342">
        <v>218685.59535144526</v>
      </c>
    </row>
    <row r="295" spans="1:4" ht="15.95">
      <c r="A295" s="345">
        <v>0.19101430262933605</v>
      </c>
      <c r="B295" s="347" t="s">
        <v>1240</v>
      </c>
      <c r="C295" s="346">
        <v>283</v>
      </c>
      <c r="D295" s="342">
        <v>181457.32764476514</v>
      </c>
    </row>
    <row r="296" spans="1:4" ht="15.95">
      <c r="A296" s="345">
        <v>0.70967420079302423</v>
      </c>
      <c r="B296" s="347" t="s">
        <v>1240</v>
      </c>
      <c r="C296" s="346">
        <v>284</v>
      </c>
      <c r="D296" s="342">
        <v>144596.90079855523</v>
      </c>
    </row>
    <row r="297" spans="1:4" ht="15.95">
      <c r="A297" s="345">
        <v>0.25431062537079507</v>
      </c>
      <c r="B297" s="347" t="s">
        <v>1240</v>
      </c>
      <c r="C297" s="346">
        <v>285</v>
      </c>
      <c r="D297" s="342">
        <v>261823.65306062391</v>
      </c>
    </row>
    <row r="298" spans="1:4" ht="15.95">
      <c r="A298" s="345">
        <v>0.61100333431324272</v>
      </c>
      <c r="B298" s="347" t="s">
        <v>1240</v>
      </c>
      <c r="C298" s="346">
        <v>286</v>
      </c>
      <c r="D298" s="342">
        <v>555643.98440383049</v>
      </c>
    </row>
    <row r="299" spans="1:4" ht="15.95">
      <c r="A299" s="345">
        <v>0.32407084979917711</v>
      </c>
      <c r="B299" s="347" t="s">
        <v>1240</v>
      </c>
      <c r="C299" s="346">
        <v>287</v>
      </c>
      <c r="D299" s="342">
        <v>58545.27703375835</v>
      </c>
    </row>
    <row r="300" spans="1:4" ht="15.95">
      <c r="A300" s="345">
        <v>0.26776894101439608</v>
      </c>
      <c r="B300" s="347" t="s">
        <v>1240</v>
      </c>
      <c r="C300" s="346">
        <v>288</v>
      </c>
      <c r="D300" s="342">
        <v>239874.34649829776</v>
      </c>
    </row>
    <row r="301" spans="1:4" ht="15.95">
      <c r="A301" s="345">
        <v>0.91856289500071997</v>
      </c>
      <c r="B301" s="347" t="s">
        <v>1240</v>
      </c>
      <c r="C301" s="346">
        <v>289</v>
      </c>
      <c r="D301" s="342">
        <v>442585.0473054098</v>
      </c>
    </row>
    <row r="302" spans="1:4" ht="15.95">
      <c r="A302" s="345">
        <v>0.24352885849667216</v>
      </c>
      <c r="B302" s="347" t="s">
        <v>1240</v>
      </c>
      <c r="C302" s="346">
        <v>290</v>
      </c>
      <c r="D302" s="342">
        <v>261775.87888337695</v>
      </c>
    </row>
    <row r="303" spans="1:4" ht="15.95">
      <c r="A303" s="345">
        <v>0.27546135890222212</v>
      </c>
      <c r="B303" s="347" t="s">
        <v>1240</v>
      </c>
      <c r="C303" s="346">
        <v>291</v>
      </c>
      <c r="D303" s="342">
        <v>518605.378669078</v>
      </c>
    </row>
    <row r="304" spans="1:4" ht="15.95">
      <c r="A304" s="345">
        <v>0.17737310226217384</v>
      </c>
      <c r="B304" s="347" t="s">
        <v>1240</v>
      </c>
      <c r="C304" s="346">
        <v>292</v>
      </c>
      <c r="D304" s="342">
        <v>317282.69615957956</v>
      </c>
    </row>
    <row r="305" spans="1:4" ht="15.95">
      <c r="A305" s="345">
        <v>8.6536377615799243E-2</v>
      </c>
      <c r="B305" s="347" t="s">
        <v>1240</v>
      </c>
      <c r="C305" s="346">
        <v>293</v>
      </c>
      <c r="D305" s="342">
        <v>318303.17843754962</v>
      </c>
    </row>
    <row r="306" spans="1:4" ht="15.95">
      <c r="A306" s="345">
        <v>0.13810573746600519</v>
      </c>
      <c r="B306" s="347" t="s">
        <v>1240</v>
      </c>
      <c r="C306" s="346">
        <v>294</v>
      </c>
      <c r="D306" s="342">
        <v>49639.852818979649</v>
      </c>
    </row>
    <row r="307" spans="1:4" ht="15.95">
      <c r="A307" s="345">
        <v>0.87601234482185886</v>
      </c>
      <c r="B307" s="347" t="s">
        <v>1240</v>
      </c>
      <c r="C307" s="346">
        <v>295</v>
      </c>
      <c r="D307" s="342">
        <v>187937.47254507733</v>
      </c>
    </row>
    <row r="308" spans="1:4" ht="15.95">
      <c r="A308" s="345">
        <v>0.53353743660979791</v>
      </c>
      <c r="B308" s="347" t="s">
        <v>1240</v>
      </c>
      <c r="C308" s="346">
        <v>296</v>
      </c>
      <c r="D308" s="342">
        <v>184102.27358469274</v>
      </c>
    </row>
    <row r="309" spans="1:4" ht="15.95">
      <c r="A309" s="345">
        <v>0.94241150793948558</v>
      </c>
      <c r="B309" s="347" t="s">
        <v>1240</v>
      </c>
      <c r="C309" s="346">
        <v>297</v>
      </c>
      <c r="D309" s="342">
        <v>342205.35759749636</v>
      </c>
    </row>
    <row r="310" spans="1:4" ht="15.95">
      <c r="A310" s="345">
        <v>0.33264855506363289</v>
      </c>
      <c r="B310" s="347" t="s">
        <v>1240</v>
      </c>
      <c r="C310" s="346">
        <v>298</v>
      </c>
      <c r="D310" s="342">
        <v>203574.03365147021</v>
      </c>
    </row>
    <row r="311" spans="1:4" ht="15.95">
      <c r="A311" s="345">
        <v>2.4660902486214997E-2</v>
      </c>
      <c r="B311" s="347" t="s">
        <v>1240</v>
      </c>
      <c r="C311" s="346">
        <v>299</v>
      </c>
      <c r="D311" s="342">
        <v>224696.03235500096</v>
      </c>
    </row>
    <row r="312" spans="1:4" ht="15.95">
      <c r="A312" s="345">
        <v>0.49820381878055287</v>
      </c>
      <c r="B312" s="347" t="s">
        <v>1240</v>
      </c>
      <c r="C312" s="346">
        <v>300</v>
      </c>
      <c r="D312" s="342">
        <v>162164.24788223277</v>
      </c>
    </row>
    <row r="313" spans="1:4" ht="15.95">
      <c r="A313" s="345">
        <v>0.70648617594522711</v>
      </c>
      <c r="B313" s="347" t="s">
        <v>1240</v>
      </c>
      <c r="C313" s="346">
        <v>301</v>
      </c>
      <c r="D313" s="342">
        <v>255251.07132689701</v>
      </c>
    </row>
    <row r="314" spans="1:4" ht="15.95">
      <c r="A314" s="345">
        <v>0.23822908549850563</v>
      </c>
      <c r="B314" s="347" t="s">
        <v>1240</v>
      </c>
      <c r="C314" s="346">
        <v>302</v>
      </c>
      <c r="D314" s="342">
        <v>499582.63273530849</v>
      </c>
    </row>
    <row r="315" spans="1:4" ht="15.95">
      <c r="A315" s="345">
        <v>9.0238974692444573E-2</v>
      </c>
      <c r="B315" s="347" t="s">
        <v>1240</v>
      </c>
      <c r="C315" s="346">
        <v>303</v>
      </c>
      <c r="D315" s="342">
        <v>101216.53331880691</v>
      </c>
    </row>
    <row r="316" spans="1:4" ht="15.95">
      <c r="A316" s="345">
        <v>0.36656261955998903</v>
      </c>
      <c r="B316" s="347" t="s">
        <v>1240</v>
      </c>
      <c r="C316" s="346">
        <v>304</v>
      </c>
      <c r="D316" s="342">
        <v>522248.31512941886</v>
      </c>
    </row>
    <row r="317" spans="1:4" ht="15.95">
      <c r="A317" s="345">
        <v>0.99862107082984708</v>
      </c>
      <c r="B317" s="347" t="s">
        <v>1240</v>
      </c>
      <c r="C317" s="346">
        <v>305</v>
      </c>
      <c r="D317" s="342">
        <v>185458.14368317928</v>
      </c>
    </row>
    <row r="318" spans="1:4" ht="15.95">
      <c r="A318" s="345">
        <v>0.90051138888809512</v>
      </c>
      <c r="B318" s="347" t="s">
        <v>1240</v>
      </c>
      <c r="C318" s="346">
        <v>306</v>
      </c>
      <c r="D318" s="342">
        <v>96573.915940370876</v>
      </c>
    </row>
    <row r="319" spans="1:4" ht="15.95">
      <c r="A319" s="345">
        <v>0.43207300333983378</v>
      </c>
      <c r="B319" s="347" t="s">
        <v>1240</v>
      </c>
      <c r="C319" s="346">
        <v>307</v>
      </c>
      <c r="D319" s="342">
        <v>399020.46259857784</v>
      </c>
    </row>
    <row r="320" spans="1:4" ht="15.95">
      <c r="A320" s="345">
        <v>0.93248389475105764</v>
      </c>
      <c r="B320" s="347" t="s">
        <v>1240</v>
      </c>
      <c r="C320" s="346">
        <v>308</v>
      </c>
      <c r="D320" s="342">
        <v>353394.44692310761</v>
      </c>
    </row>
    <row r="321" spans="1:4" ht="15.95">
      <c r="A321" s="345">
        <v>0.37433827378492046</v>
      </c>
      <c r="B321" s="347" t="s">
        <v>1240</v>
      </c>
      <c r="C321" s="346">
        <v>309</v>
      </c>
      <c r="D321" s="342">
        <v>132240.19155119243</v>
      </c>
    </row>
    <row r="322" spans="1:4" ht="15.95">
      <c r="A322" s="345">
        <v>0.11102644030146358</v>
      </c>
      <c r="B322" s="347" t="s">
        <v>1240</v>
      </c>
      <c r="C322" s="346">
        <v>310</v>
      </c>
      <c r="D322" s="342">
        <v>768650.92020191019</v>
      </c>
    </row>
    <row r="323" spans="1:4" ht="15.95">
      <c r="A323" s="345">
        <v>0.13622254661198352</v>
      </c>
      <c r="B323" s="347" t="s">
        <v>1240</v>
      </c>
      <c r="C323" s="346">
        <v>311</v>
      </c>
      <c r="D323" s="342">
        <v>97793.638523550937</v>
      </c>
    </row>
    <row r="324" spans="1:4" ht="15.95">
      <c r="A324" s="345">
        <v>0.1280813645512473</v>
      </c>
      <c r="B324" s="347" t="s">
        <v>1240</v>
      </c>
      <c r="C324" s="346">
        <v>312</v>
      </c>
      <c r="D324" s="342">
        <v>744461.76375399809</v>
      </c>
    </row>
    <row r="325" spans="1:4" ht="15.95">
      <c r="A325" s="345">
        <v>0.59620304912982691</v>
      </c>
      <c r="B325" s="347" t="s">
        <v>1240</v>
      </c>
      <c r="C325" s="346">
        <v>313</v>
      </c>
      <c r="D325" s="342">
        <v>419356.60678275954</v>
      </c>
    </row>
    <row r="326" spans="1:4" ht="15.95">
      <c r="A326" s="345">
        <v>0.92069899477746364</v>
      </c>
      <c r="B326" s="347" t="s">
        <v>1240</v>
      </c>
      <c r="C326" s="346">
        <v>314</v>
      </c>
      <c r="D326" s="342">
        <v>774973.60200254247</v>
      </c>
    </row>
    <row r="327" spans="1:4" ht="15.95">
      <c r="A327" s="345">
        <v>0.75848020164248742</v>
      </c>
      <c r="B327" s="347" t="s">
        <v>1240</v>
      </c>
      <c r="C327" s="346">
        <v>315</v>
      </c>
      <c r="D327" s="342">
        <v>74684.990693979897</v>
      </c>
    </row>
    <row r="328" spans="1:4" ht="15.95">
      <c r="A328" s="345">
        <v>0.80127620887014717</v>
      </c>
      <c r="B328" s="347" t="s">
        <v>1240</v>
      </c>
      <c r="C328" s="346">
        <v>316</v>
      </c>
      <c r="D328" s="342">
        <v>344151.57889082329</v>
      </c>
    </row>
    <row r="329" spans="1:4" ht="15.95">
      <c r="A329" s="345">
        <v>0.21894574499669384</v>
      </c>
      <c r="B329" s="347" t="s">
        <v>1240</v>
      </c>
      <c r="C329" s="346">
        <v>317</v>
      </c>
      <c r="D329" s="342">
        <v>130759.36208984046</v>
      </c>
    </row>
    <row r="330" spans="1:4" ht="15.95">
      <c r="A330" s="345">
        <v>0.51239283403427704</v>
      </c>
      <c r="B330" s="347" t="s">
        <v>1240</v>
      </c>
      <c r="C330" s="346">
        <v>318</v>
      </c>
      <c r="D330" s="342">
        <v>771778.25719367433</v>
      </c>
    </row>
    <row r="331" spans="1:4" ht="15.95">
      <c r="A331" s="345">
        <v>0.23517535291028502</v>
      </c>
      <c r="B331" s="347" t="s">
        <v>1240</v>
      </c>
      <c r="C331" s="346">
        <v>319</v>
      </c>
      <c r="D331" s="342">
        <v>346072.68031391222</v>
      </c>
    </row>
    <row r="332" spans="1:4" ht="15.95">
      <c r="A332" s="345">
        <v>3.729704394926503E-2</v>
      </c>
      <c r="B332" s="347" t="s">
        <v>1240</v>
      </c>
      <c r="C332" s="346">
        <v>320</v>
      </c>
      <c r="D332" s="342">
        <v>139741.00422249595</v>
      </c>
    </row>
    <row r="333" spans="1:4" ht="15.95">
      <c r="A333" s="345">
        <v>0.46829027184118721</v>
      </c>
      <c r="B333" s="347" t="s">
        <v>1240</v>
      </c>
      <c r="C333" s="346">
        <v>321</v>
      </c>
      <c r="D333" s="342">
        <v>530484.55164712598</v>
      </c>
    </row>
    <row r="334" spans="1:4" ht="15.95">
      <c r="A334" s="345">
        <v>0.291306496015306</v>
      </c>
      <c r="B334" s="347" t="s">
        <v>1240</v>
      </c>
      <c r="C334" s="346">
        <v>322</v>
      </c>
      <c r="D334" s="342">
        <v>337824.42072394933</v>
      </c>
    </row>
    <row r="335" spans="1:4" ht="15.95">
      <c r="A335" s="345">
        <v>0.94540618721351688</v>
      </c>
      <c r="B335" s="347" t="s">
        <v>1240</v>
      </c>
      <c r="C335" s="346">
        <v>323</v>
      </c>
      <c r="D335" s="342">
        <v>710786.07696366985</v>
      </c>
    </row>
    <row r="336" spans="1:4" ht="15.95">
      <c r="A336" s="345">
        <v>0.2186540164727645</v>
      </c>
      <c r="B336" s="347" t="s">
        <v>1240</v>
      </c>
      <c r="C336" s="346">
        <v>324</v>
      </c>
      <c r="D336" s="342">
        <v>522861.26287984219</v>
      </c>
    </row>
    <row r="337" spans="1:4" ht="15.95">
      <c r="A337" s="345">
        <v>0.68314964929283184</v>
      </c>
      <c r="B337" s="347" t="s">
        <v>1240</v>
      </c>
      <c r="C337" s="346">
        <v>325</v>
      </c>
      <c r="D337" s="342">
        <v>375978.05321536656</v>
      </c>
    </row>
    <row r="338" spans="1:4" ht="15.95">
      <c r="A338" s="345">
        <v>0.12072763997788993</v>
      </c>
      <c r="B338" s="347" t="s">
        <v>1240</v>
      </c>
      <c r="C338" s="346">
        <v>326</v>
      </c>
      <c r="D338" s="342">
        <v>415483.08237299486</v>
      </c>
    </row>
    <row r="339" spans="1:4" ht="15.95">
      <c r="A339" s="345">
        <v>0.27283224948063711</v>
      </c>
      <c r="B339" s="347" t="s">
        <v>1240</v>
      </c>
      <c r="C339" s="346">
        <v>327</v>
      </c>
      <c r="D339" s="342">
        <v>341743.68430552166</v>
      </c>
    </row>
    <row r="340" spans="1:4" ht="15.95">
      <c r="A340" s="345">
        <v>4.4511128186112026E-2</v>
      </c>
      <c r="B340" s="347" t="s">
        <v>1240</v>
      </c>
      <c r="C340" s="346">
        <v>328</v>
      </c>
      <c r="D340" s="342">
        <v>37331.371817809995</v>
      </c>
    </row>
    <row r="341" spans="1:4" ht="15.95">
      <c r="A341" s="345">
        <v>0.27438459763291467</v>
      </c>
      <c r="B341" s="347" t="s">
        <v>1240</v>
      </c>
      <c r="C341" s="346">
        <v>329</v>
      </c>
      <c r="D341" s="342">
        <v>276356.61327777407</v>
      </c>
    </row>
    <row r="342" spans="1:4" ht="15.95">
      <c r="A342" s="345">
        <v>0.59382713091058426</v>
      </c>
      <c r="B342" s="347" t="s">
        <v>1240</v>
      </c>
      <c r="C342" s="346">
        <v>330</v>
      </c>
      <c r="D342" s="342">
        <v>201391.58615263924</v>
      </c>
    </row>
    <row r="343" spans="1:4" ht="15.95">
      <c r="A343" s="345">
        <v>0.68248520414625291</v>
      </c>
      <c r="B343" s="347" t="s">
        <v>1240</v>
      </c>
      <c r="C343" s="346">
        <v>331</v>
      </c>
      <c r="D343" s="342">
        <v>62020.413798915921</v>
      </c>
    </row>
    <row r="344" spans="1:4" ht="15.95">
      <c r="A344" s="345">
        <v>0.49520160272943403</v>
      </c>
      <c r="B344" s="347" t="s">
        <v>1240</v>
      </c>
      <c r="C344" s="346">
        <v>332</v>
      </c>
      <c r="D344" s="342">
        <v>465155.83654658613</v>
      </c>
    </row>
    <row r="345" spans="1:4" ht="15.95">
      <c r="A345" s="345">
        <v>0.47260919262035006</v>
      </c>
      <c r="B345" s="347" t="s">
        <v>1240</v>
      </c>
      <c r="C345" s="346">
        <v>333</v>
      </c>
      <c r="D345" s="342">
        <v>223414.83420455595</v>
      </c>
    </row>
    <row r="346" spans="1:4" ht="15.95">
      <c r="A346" s="345">
        <v>0.58503937297160868</v>
      </c>
      <c r="B346" s="347" t="s">
        <v>1240</v>
      </c>
      <c r="C346" s="346">
        <v>334</v>
      </c>
      <c r="D346" s="342">
        <v>504214.95252700546</v>
      </c>
    </row>
    <row r="347" spans="1:4" ht="15.95">
      <c r="A347" s="345">
        <v>0.46671149178584914</v>
      </c>
      <c r="B347" s="347" t="s">
        <v>1240</v>
      </c>
      <c r="C347" s="346">
        <v>335</v>
      </c>
      <c r="D347" s="342">
        <v>462693.82505427697</v>
      </c>
    </row>
    <row r="348" spans="1:4" ht="15.95">
      <c r="A348" s="345">
        <v>0.40358931326787917</v>
      </c>
      <c r="B348" s="347" t="s">
        <v>1240</v>
      </c>
      <c r="C348" s="346">
        <v>336</v>
      </c>
      <c r="D348" s="342">
        <v>200779.19668128737</v>
      </c>
    </row>
    <row r="349" spans="1:4" ht="15.95">
      <c r="A349" s="345">
        <v>0.97235647089590338</v>
      </c>
      <c r="B349" s="347" t="s">
        <v>1240</v>
      </c>
      <c r="C349" s="346">
        <v>337</v>
      </c>
      <c r="D349" s="342">
        <v>440979.51875471044</v>
      </c>
    </row>
    <row r="350" spans="1:4" ht="15.95">
      <c r="A350" s="345">
        <v>0.10636841808700193</v>
      </c>
      <c r="B350" s="347" t="s">
        <v>1240</v>
      </c>
      <c r="C350" s="346">
        <v>338</v>
      </c>
      <c r="D350" s="342">
        <v>225910.1321713957</v>
      </c>
    </row>
    <row r="351" spans="1:4" ht="15.95">
      <c r="A351" s="345">
        <v>0.90628840795690302</v>
      </c>
      <c r="B351" s="347" t="s">
        <v>1240</v>
      </c>
      <c r="C351" s="346">
        <v>339</v>
      </c>
      <c r="D351" s="342">
        <v>166832.97679817979</v>
      </c>
    </row>
    <row r="352" spans="1:4" ht="15.95">
      <c r="A352" s="345">
        <v>0.86944970296196067</v>
      </c>
      <c r="B352" s="347" t="s">
        <v>1240</v>
      </c>
      <c r="C352" s="346">
        <v>340</v>
      </c>
      <c r="D352" s="342">
        <v>420312.66610783758</v>
      </c>
    </row>
    <row r="353" spans="1:4" ht="15.95">
      <c r="A353" s="345">
        <v>0.61546032776304305</v>
      </c>
      <c r="B353" s="347" t="s">
        <v>1240</v>
      </c>
      <c r="C353" s="346">
        <v>341</v>
      </c>
      <c r="D353" s="342">
        <v>493637.85573996347</v>
      </c>
    </row>
    <row r="354" spans="1:4" ht="15.95">
      <c r="A354" s="345">
        <v>0.60747785142211519</v>
      </c>
      <c r="B354" s="347" t="s">
        <v>1240</v>
      </c>
      <c r="C354" s="346">
        <v>342</v>
      </c>
      <c r="D354" s="342">
        <v>399499.60235317028</v>
      </c>
    </row>
    <row r="355" spans="1:4" ht="15.95">
      <c r="A355" s="345">
        <v>0.93474880919212144</v>
      </c>
      <c r="B355" s="347" t="s">
        <v>1240</v>
      </c>
      <c r="C355" s="346">
        <v>343</v>
      </c>
      <c r="D355" s="342">
        <v>589869.19983610255</v>
      </c>
    </row>
    <row r="356" spans="1:4" ht="15.95">
      <c r="A356" s="345">
        <v>0.74798008161348173</v>
      </c>
      <c r="B356" s="347" t="s">
        <v>1240</v>
      </c>
      <c r="C356" s="346">
        <v>344</v>
      </c>
      <c r="D356" s="342">
        <v>441582.41223015706</v>
      </c>
    </row>
    <row r="357" spans="1:4" ht="15.95">
      <c r="A357" s="345">
        <v>0.49855861380792277</v>
      </c>
      <c r="B357" s="347" t="s">
        <v>1240</v>
      </c>
      <c r="C357" s="346">
        <v>345</v>
      </c>
      <c r="D357" s="342">
        <v>218057.38094953634</v>
      </c>
    </row>
    <row r="358" spans="1:4" ht="15.95">
      <c r="A358" s="345">
        <v>0.80152572755671558</v>
      </c>
      <c r="B358" s="347" t="s">
        <v>1240</v>
      </c>
      <c r="C358" s="346">
        <v>346</v>
      </c>
      <c r="D358" s="342">
        <v>308580.31028508348</v>
      </c>
    </row>
    <row r="359" spans="1:4" ht="15.95">
      <c r="A359" s="345">
        <v>0.32778945988504016</v>
      </c>
      <c r="B359" s="347" t="s">
        <v>1240</v>
      </c>
      <c r="C359" s="346">
        <v>347</v>
      </c>
      <c r="D359" s="342">
        <v>201883.52615945414</v>
      </c>
    </row>
    <row r="360" spans="1:4" ht="15.95">
      <c r="A360" s="345">
        <v>0.6493966108302065</v>
      </c>
      <c r="B360" s="347" t="s">
        <v>1240</v>
      </c>
      <c r="C360" s="346">
        <v>348</v>
      </c>
      <c r="D360" s="342">
        <v>666856.76210081205</v>
      </c>
    </row>
    <row r="361" spans="1:4" ht="15.95">
      <c r="A361" s="345">
        <v>9.2995958291576031E-2</v>
      </c>
      <c r="B361" s="347" t="s">
        <v>1240</v>
      </c>
      <c r="C361" s="346">
        <v>349</v>
      </c>
      <c r="D361" s="342">
        <v>350678.0272496643</v>
      </c>
    </row>
    <row r="362" spans="1:4" ht="15.95">
      <c r="A362" s="345">
        <v>0.36297940890209712</v>
      </c>
      <c r="B362" s="347" t="s">
        <v>1240</v>
      </c>
      <c r="C362" s="346">
        <v>350</v>
      </c>
      <c r="D362" s="342">
        <v>402527.65829380183</v>
      </c>
    </row>
    <row r="363" spans="1:4" ht="15.95">
      <c r="A363" s="345">
        <v>0.47336119153186262</v>
      </c>
      <c r="B363" s="347" t="s">
        <v>1240</v>
      </c>
      <c r="C363" s="346">
        <v>351</v>
      </c>
      <c r="D363" s="342">
        <v>353442.18660690659</v>
      </c>
    </row>
    <row r="364" spans="1:4" ht="15.95">
      <c r="A364" s="345">
        <v>0.9654932574405537</v>
      </c>
      <c r="B364" s="347" t="s">
        <v>1240</v>
      </c>
      <c r="C364" s="346">
        <v>352</v>
      </c>
      <c r="D364" s="342">
        <v>117631.10049690073</v>
      </c>
    </row>
    <row r="365" spans="1:4" ht="15.95">
      <c r="A365" s="345">
        <v>8.0721140726045415E-2</v>
      </c>
      <c r="B365" s="347" t="s">
        <v>1240</v>
      </c>
      <c r="C365" s="346">
        <v>353</v>
      </c>
      <c r="D365" s="342">
        <v>238621.16621674644</v>
      </c>
    </row>
    <row r="366" spans="1:4" ht="15.95">
      <c r="A366" s="345">
        <v>0.39760515810388741</v>
      </c>
      <c r="B366" s="347" t="s">
        <v>1240</v>
      </c>
      <c r="C366" s="346">
        <v>354</v>
      </c>
      <c r="D366" s="342">
        <v>716277.7357751166</v>
      </c>
    </row>
    <row r="367" spans="1:4" ht="15.95">
      <c r="A367" s="345">
        <v>0.23131634476247664</v>
      </c>
      <c r="B367" s="347" t="s">
        <v>1240</v>
      </c>
      <c r="C367" s="346">
        <v>355</v>
      </c>
      <c r="D367" s="342">
        <v>-66070.668999703135</v>
      </c>
    </row>
    <row r="368" spans="1:4" ht="15.95">
      <c r="A368" s="345">
        <v>0.42605736476342204</v>
      </c>
      <c r="B368" s="347" t="s">
        <v>1240</v>
      </c>
      <c r="C368" s="346">
        <v>356</v>
      </c>
      <c r="D368" s="342">
        <v>471991.53106038598</v>
      </c>
    </row>
    <row r="369" spans="1:4" ht="15.95">
      <c r="A369" s="345">
        <v>0.75718109288762991</v>
      </c>
      <c r="B369" s="347" t="s">
        <v>1240</v>
      </c>
      <c r="C369" s="346">
        <v>357</v>
      </c>
      <c r="D369" s="342">
        <v>509064.78650284163</v>
      </c>
    </row>
    <row r="370" spans="1:4" ht="15.95">
      <c r="A370" s="345">
        <v>0.94100202586043513</v>
      </c>
      <c r="B370" s="347" t="s">
        <v>1240</v>
      </c>
      <c r="C370" s="346">
        <v>358</v>
      </c>
      <c r="D370" s="342">
        <v>95275.157408627216</v>
      </c>
    </row>
    <row r="371" spans="1:4" ht="15.95">
      <c r="A371" s="345">
        <v>0.16605065487679038</v>
      </c>
      <c r="B371" s="347" t="s">
        <v>1240</v>
      </c>
      <c r="C371" s="346">
        <v>359</v>
      </c>
      <c r="D371" s="342">
        <v>37353.816350557609</v>
      </c>
    </row>
    <row r="372" spans="1:4" ht="15.95">
      <c r="A372" s="345">
        <v>0.28656293078645867</v>
      </c>
      <c r="B372" s="347" t="s">
        <v>1240</v>
      </c>
      <c r="C372" s="346">
        <v>360</v>
      </c>
      <c r="D372" s="342">
        <v>117190.25273851911</v>
      </c>
    </row>
    <row r="373" spans="1:4" ht="15.95">
      <c r="A373" s="345">
        <v>0.16910552114389787</v>
      </c>
      <c r="B373" s="347" t="s">
        <v>1240</v>
      </c>
      <c r="C373" s="346">
        <v>361</v>
      </c>
      <c r="D373" s="342">
        <v>352195.5500169422</v>
      </c>
    </row>
    <row r="374" spans="1:4" ht="15.95">
      <c r="A374" s="345">
        <v>0.50375295974999601</v>
      </c>
      <c r="B374" s="347" t="s">
        <v>1240</v>
      </c>
      <c r="C374" s="346">
        <v>362</v>
      </c>
      <c r="D374" s="342">
        <v>139400.13359742425</v>
      </c>
    </row>
    <row r="375" spans="1:4" ht="15.95">
      <c r="A375" s="345">
        <v>0.62688303797478406</v>
      </c>
      <c r="B375" s="347" t="s">
        <v>1240</v>
      </c>
      <c r="C375" s="346">
        <v>363</v>
      </c>
      <c r="D375" s="342">
        <v>151452.14665364032</v>
      </c>
    </row>
    <row r="376" spans="1:4" ht="15.95">
      <c r="A376" s="345">
        <v>0.3590610599170152</v>
      </c>
      <c r="B376" s="347" t="s">
        <v>1240</v>
      </c>
      <c r="C376" s="346">
        <v>364</v>
      </c>
      <c r="D376" s="342">
        <v>129860.21947325184</v>
      </c>
    </row>
    <row r="377" spans="1:4" ht="15.95">
      <c r="A377" s="345">
        <v>0.3787888890429304</v>
      </c>
      <c r="B377" s="347" t="s">
        <v>1240</v>
      </c>
      <c r="C377" s="346">
        <v>365</v>
      </c>
      <c r="D377" s="342">
        <v>323764.7675897344</v>
      </c>
    </row>
    <row r="378" spans="1:4" ht="15.95">
      <c r="A378" s="345">
        <v>0.63347254969231115</v>
      </c>
      <c r="B378" s="347" t="s">
        <v>1240</v>
      </c>
      <c r="C378" s="346">
        <v>366</v>
      </c>
      <c r="D378" s="342">
        <v>294112.87846799032</v>
      </c>
    </row>
    <row r="379" spans="1:4" ht="15.95">
      <c r="A379" s="345">
        <v>0.19060764447891165</v>
      </c>
      <c r="B379" s="347" t="s">
        <v>1240</v>
      </c>
      <c r="C379" s="346">
        <v>367</v>
      </c>
      <c r="D379" s="342">
        <v>466842.9507479996</v>
      </c>
    </row>
    <row r="380" spans="1:4" ht="15.95">
      <c r="A380" s="345">
        <v>0.61702823559703812</v>
      </c>
      <c r="B380" s="347" t="s">
        <v>1240</v>
      </c>
      <c r="C380" s="346">
        <v>368</v>
      </c>
      <c r="D380" s="342">
        <v>297747.06512691011</v>
      </c>
    </row>
    <row r="381" spans="1:4" ht="15.95">
      <c r="A381" s="345">
        <v>0.55355681670770529</v>
      </c>
      <c r="B381" s="347" t="s">
        <v>1240</v>
      </c>
      <c r="C381" s="346">
        <v>369</v>
      </c>
      <c r="D381" s="342">
        <v>418444.86710343487</v>
      </c>
    </row>
    <row r="382" spans="1:4" ht="15.95">
      <c r="A382" s="345">
        <v>0.55862875287478142</v>
      </c>
      <c r="B382" s="347" t="s">
        <v>1240</v>
      </c>
      <c r="C382" s="346">
        <v>370</v>
      </c>
      <c r="D382" s="342">
        <v>618874.59557482484</v>
      </c>
    </row>
    <row r="383" spans="1:4" ht="15.95">
      <c r="A383" s="345">
        <v>9.2322482763184666E-2</v>
      </c>
      <c r="B383" s="347" t="s">
        <v>1240</v>
      </c>
      <c r="C383" s="346">
        <v>371</v>
      </c>
      <c r="D383" s="342">
        <v>267656.40146634821</v>
      </c>
    </row>
    <row r="384" spans="1:4" ht="15.95">
      <c r="A384" s="345">
        <v>0.17556096554831324</v>
      </c>
      <c r="B384" s="347" t="s">
        <v>1240</v>
      </c>
      <c r="C384" s="346">
        <v>372</v>
      </c>
      <c r="D384" s="342">
        <v>533820.87937109359</v>
      </c>
    </row>
    <row r="385" spans="1:4" ht="15.95">
      <c r="A385" s="345">
        <v>0.76915620531960616</v>
      </c>
      <c r="B385" s="347" t="s">
        <v>1240</v>
      </c>
      <c r="C385" s="346">
        <v>373</v>
      </c>
      <c r="D385" s="342">
        <v>334021.04697812628</v>
      </c>
    </row>
    <row r="386" spans="1:4" ht="15.95">
      <c r="A386" s="345">
        <v>0.50072011051989451</v>
      </c>
      <c r="B386" s="347" t="s">
        <v>1240</v>
      </c>
      <c r="C386" s="346">
        <v>374</v>
      </c>
      <c r="D386" s="342">
        <v>202633.51297233114</v>
      </c>
    </row>
    <row r="387" spans="1:4" ht="15.95">
      <c r="A387" s="345">
        <v>0.64326361520890718</v>
      </c>
      <c r="B387" s="347" t="s">
        <v>1240</v>
      </c>
      <c r="C387" s="346">
        <v>375</v>
      </c>
      <c r="D387" s="342">
        <v>288543.17131199013</v>
      </c>
    </row>
    <row r="388" spans="1:4" ht="15.95">
      <c r="A388" s="345">
        <v>0.13048322870175222</v>
      </c>
      <c r="B388" s="347" t="s">
        <v>1240</v>
      </c>
      <c r="C388" s="346">
        <v>376</v>
      </c>
      <c r="D388" s="342">
        <v>338482.28511373443</v>
      </c>
    </row>
    <row r="389" spans="1:4" ht="15.95">
      <c r="A389" s="345">
        <v>2.1282344210674209E-2</v>
      </c>
      <c r="B389" s="347" t="s">
        <v>1240</v>
      </c>
      <c r="C389" s="346">
        <v>377</v>
      </c>
      <c r="D389" s="342">
        <v>352717.30191000411</v>
      </c>
    </row>
    <row r="390" spans="1:4" ht="15.95">
      <c r="A390" s="345">
        <v>0.19048478080947617</v>
      </c>
      <c r="B390" s="347" t="s">
        <v>1240</v>
      </c>
      <c r="C390" s="346">
        <v>378</v>
      </c>
      <c r="D390" s="342">
        <v>537236.58554602484</v>
      </c>
    </row>
    <row r="391" spans="1:4" ht="15.95">
      <c r="A391" s="345">
        <v>0.55904233989624996</v>
      </c>
      <c r="B391" s="347" t="s">
        <v>1240</v>
      </c>
      <c r="C391" s="346">
        <v>379</v>
      </c>
      <c r="D391" s="342">
        <v>100468.00485221134</v>
      </c>
    </row>
    <row r="392" spans="1:4" ht="15.95">
      <c r="A392" s="345">
        <v>0.86382847009633046</v>
      </c>
      <c r="B392" s="347" t="s">
        <v>1240</v>
      </c>
      <c r="C392" s="346">
        <v>380</v>
      </c>
      <c r="D392" s="342">
        <v>337664.850177343</v>
      </c>
    </row>
    <row r="393" spans="1:4" ht="15.95">
      <c r="A393" s="345">
        <v>0.80720581283322812</v>
      </c>
      <c r="B393" s="347" t="s">
        <v>1240</v>
      </c>
      <c r="C393" s="346">
        <v>381</v>
      </c>
      <c r="D393" s="342">
        <v>371202.60823556175</v>
      </c>
    </row>
    <row r="394" spans="1:4" ht="15.95">
      <c r="A394" s="345">
        <v>8.9076372587192809E-2</v>
      </c>
      <c r="B394" s="347" t="s">
        <v>1240</v>
      </c>
      <c r="C394" s="346">
        <v>382</v>
      </c>
      <c r="D394" s="342">
        <v>620403.62128879619</v>
      </c>
    </row>
    <row r="395" spans="1:4" ht="15.95">
      <c r="A395" s="345">
        <v>0.78199260984400809</v>
      </c>
      <c r="B395" s="347" t="s">
        <v>1240</v>
      </c>
      <c r="C395" s="346">
        <v>383</v>
      </c>
      <c r="D395" s="342">
        <v>399048.76082774391</v>
      </c>
    </row>
    <row r="396" spans="1:4" ht="15.95">
      <c r="A396" s="345">
        <v>0.43622151776169238</v>
      </c>
      <c r="B396" s="347" t="s">
        <v>1240</v>
      </c>
      <c r="C396" s="346">
        <v>384</v>
      </c>
      <c r="D396" s="342">
        <v>159840.02478898969</v>
      </c>
    </row>
    <row r="397" spans="1:4" ht="15.95">
      <c r="A397" s="345">
        <v>0.94860489813220294</v>
      </c>
      <c r="B397" s="347" t="s">
        <v>1240</v>
      </c>
      <c r="C397" s="346">
        <v>385</v>
      </c>
      <c r="D397" s="342">
        <v>157067.24643300078</v>
      </c>
    </row>
    <row r="398" spans="1:4" ht="15.95">
      <c r="A398" s="345">
        <v>0.12948225500677368</v>
      </c>
      <c r="B398" s="347" t="s">
        <v>1240</v>
      </c>
      <c r="C398" s="346">
        <v>386</v>
      </c>
      <c r="D398" s="342">
        <v>171534.68189339479</v>
      </c>
    </row>
    <row r="399" spans="1:4" ht="15.95">
      <c r="A399" s="345">
        <v>0.60510747604703086</v>
      </c>
      <c r="B399" s="347" t="s">
        <v>1240</v>
      </c>
      <c r="C399" s="346">
        <v>387</v>
      </c>
      <c r="D399" s="342">
        <v>266397.97102236864</v>
      </c>
    </row>
    <row r="400" spans="1:4" ht="15.95">
      <c r="A400" s="345">
        <v>0.44016618022376852</v>
      </c>
      <c r="B400" s="347" t="s">
        <v>1240</v>
      </c>
      <c r="C400" s="346">
        <v>388</v>
      </c>
      <c r="D400" s="342">
        <v>214586.72304499336</v>
      </c>
    </row>
    <row r="401" spans="1:4" ht="15.95">
      <c r="A401" s="345">
        <v>0.14974096155322192</v>
      </c>
      <c r="B401" s="347" t="s">
        <v>1240</v>
      </c>
      <c r="C401" s="346">
        <v>389</v>
      </c>
      <c r="D401" s="342">
        <v>192112.0899149531</v>
      </c>
    </row>
    <row r="402" spans="1:4" ht="15.95">
      <c r="A402" s="345">
        <v>0.57441180008385095</v>
      </c>
      <c r="B402" s="347" t="s">
        <v>1240</v>
      </c>
      <c r="C402" s="346">
        <v>390</v>
      </c>
      <c r="D402" s="342">
        <v>167183.21297232085</v>
      </c>
    </row>
    <row r="403" spans="1:4" ht="15.95">
      <c r="A403" s="345">
        <v>0.72264025056174941</v>
      </c>
      <c r="B403" s="347" t="s">
        <v>1240</v>
      </c>
      <c r="C403" s="346">
        <v>391</v>
      </c>
      <c r="D403" s="342">
        <v>399230.16667929315</v>
      </c>
    </row>
    <row r="404" spans="1:4" ht="15.95">
      <c r="A404" s="345">
        <v>0.31342298162729221</v>
      </c>
      <c r="B404" s="347" t="s">
        <v>1240</v>
      </c>
      <c r="C404" s="346">
        <v>392</v>
      </c>
      <c r="D404" s="342">
        <v>509298.93436760362</v>
      </c>
    </row>
    <row r="405" spans="1:4" ht="15.95">
      <c r="A405" s="345">
        <v>5.5465816870097329E-2</v>
      </c>
      <c r="B405" s="347" t="s">
        <v>1240</v>
      </c>
      <c r="C405" s="346">
        <v>393</v>
      </c>
      <c r="D405" s="342">
        <v>200250.66394959576</v>
      </c>
    </row>
    <row r="406" spans="1:4" ht="15.95">
      <c r="A406" s="345">
        <v>0.35970653135144171</v>
      </c>
      <c r="B406" s="347" t="s">
        <v>1240</v>
      </c>
      <c r="C406" s="346">
        <v>394</v>
      </c>
      <c r="D406" s="342">
        <v>603062.14833635534</v>
      </c>
    </row>
    <row r="407" spans="1:4" ht="15.95">
      <c r="A407" s="345">
        <v>0.88210188909324938</v>
      </c>
      <c r="B407" s="347" t="s">
        <v>1240</v>
      </c>
      <c r="C407" s="346">
        <v>395</v>
      </c>
      <c r="D407" s="342">
        <v>48138.982860488351</v>
      </c>
    </row>
    <row r="408" spans="1:4" ht="15.95">
      <c r="A408" s="345">
        <v>0.81590737036904892</v>
      </c>
      <c r="B408" s="347" t="s">
        <v>1240</v>
      </c>
      <c r="C408" s="346">
        <v>396</v>
      </c>
      <c r="D408" s="342">
        <v>274370.53734231857</v>
      </c>
    </row>
    <row r="409" spans="1:4" ht="15.95">
      <c r="A409" s="345">
        <v>0.98522015114774264</v>
      </c>
      <c r="B409" s="347" t="s">
        <v>1240</v>
      </c>
      <c r="C409" s="346">
        <v>397</v>
      </c>
      <c r="D409" s="342">
        <v>89758.634755624458</v>
      </c>
    </row>
    <row r="410" spans="1:4" ht="15.95">
      <c r="A410" s="345">
        <v>0.63832335404036622</v>
      </c>
      <c r="B410" s="347" t="s">
        <v>1240</v>
      </c>
      <c r="C410" s="346">
        <v>398</v>
      </c>
      <c r="D410" s="342">
        <v>533858.19515307248</v>
      </c>
    </row>
    <row r="411" spans="1:4" ht="15.95">
      <c r="A411" s="345">
        <v>0.56672547903074921</v>
      </c>
      <c r="B411" s="347" t="s">
        <v>1240</v>
      </c>
      <c r="C411" s="346">
        <v>399</v>
      </c>
      <c r="D411" s="342">
        <v>389052.06352053187</v>
      </c>
    </row>
    <row r="412" spans="1:4" ht="15.95">
      <c r="A412" s="345">
        <v>0.37373543967090539</v>
      </c>
      <c r="B412" s="347" t="s">
        <v>1240</v>
      </c>
      <c r="C412" s="346">
        <v>400</v>
      </c>
      <c r="D412" s="342">
        <v>245244.63166624657</v>
      </c>
    </row>
    <row r="413" spans="1:4" ht="15.95">
      <c r="A413" s="345">
        <v>0.45091244388827012</v>
      </c>
      <c r="B413" s="347" t="s">
        <v>1240</v>
      </c>
      <c r="C413" s="346">
        <v>401</v>
      </c>
      <c r="D413" s="342">
        <v>320645.90414196253</v>
      </c>
    </row>
    <row r="414" spans="1:4" ht="15.95">
      <c r="A414" s="345">
        <v>0.73630923309823504</v>
      </c>
      <c r="B414" s="347" t="s">
        <v>1240</v>
      </c>
      <c r="C414" s="346">
        <v>402</v>
      </c>
      <c r="D414" s="342">
        <v>496749.13769425638</v>
      </c>
    </row>
    <row r="415" spans="1:4" ht="15.95">
      <c r="A415" s="345">
        <v>0.2565031417708018</v>
      </c>
      <c r="B415" s="347" t="s">
        <v>1240</v>
      </c>
      <c r="C415" s="346">
        <v>403</v>
      </c>
      <c r="D415" s="342">
        <v>115990.82868252811</v>
      </c>
    </row>
    <row r="416" spans="1:4" ht="15.95">
      <c r="A416" s="345">
        <v>0.60550194385532008</v>
      </c>
      <c r="B416" s="347" t="s">
        <v>1240</v>
      </c>
      <c r="C416" s="346">
        <v>404</v>
      </c>
      <c r="D416" s="342">
        <v>121063.80622846237</v>
      </c>
    </row>
    <row r="417" spans="1:4" ht="15.95">
      <c r="A417" s="345">
        <v>0.37394914345810448</v>
      </c>
      <c r="B417" s="347" t="s">
        <v>1240</v>
      </c>
      <c r="C417" s="346">
        <v>405</v>
      </c>
      <c r="D417" s="342">
        <v>5785.9943367855158</v>
      </c>
    </row>
    <row r="418" spans="1:4" ht="15.95">
      <c r="A418" s="345">
        <v>0.65580201507802294</v>
      </c>
      <c r="B418" s="347" t="s">
        <v>1240</v>
      </c>
      <c r="C418" s="346">
        <v>406</v>
      </c>
      <c r="D418" s="342">
        <v>119894.31647940516</v>
      </c>
    </row>
    <row r="419" spans="1:4" ht="15.95">
      <c r="A419" s="345">
        <v>0.77963871228623061</v>
      </c>
      <c r="B419" s="347" t="s">
        <v>1240</v>
      </c>
      <c r="C419" s="346">
        <v>407</v>
      </c>
      <c r="D419" s="342">
        <v>225824.04237264534</v>
      </c>
    </row>
    <row r="420" spans="1:4" ht="15.95">
      <c r="A420" s="345">
        <v>0.27421423729885197</v>
      </c>
      <c r="B420" s="347" t="s">
        <v>1240</v>
      </c>
      <c r="C420" s="346">
        <v>408</v>
      </c>
      <c r="D420" s="342">
        <v>331013.83403752022</v>
      </c>
    </row>
    <row r="421" spans="1:4" ht="15.95">
      <c r="A421" s="345">
        <v>5.844263647875958E-2</v>
      </c>
      <c r="B421" s="347" t="s">
        <v>1240</v>
      </c>
      <c r="C421" s="346">
        <v>409</v>
      </c>
      <c r="D421" s="342">
        <v>209770.33297557198</v>
      </c>
    </row>
    <row r="422" spans="1:4" ht="15.95">
      <c r="A422" s="345">
        <v>0.32604464201537831</v>
      </c>
      <c r="B422" s="347" t="s">
        <v>1240</v>
      </c>
      <c r="C422" s="346">
        <v>410</v>
      </c>
      <c r="D422" s="342">
        <v>76856.829113896703</v>
      </c>
    </row>
    <row r="423" spans="1:4" ht="15.95">
      <c r="A423" s="345">
        <v>0.83668650427043056</v>
      </c>
      <c r="B423" s="347" t="s">
        <v>1240</v>
      </c>
      <c r="C423" s="346">
        <v>411</v>
      </c>
      <c r="D423" s="342">
        <v>77383.657207731623</v>
      </c>
    </row>
    <row r="424" spans="1:4" ht="15.95">
      <c r="A424" s="345">
        <v>0.15771708158181852</v>
      </c>
      <c r="B424" s="347" t="s">
        <v>1240</v>
      </c>
      <c r="C424" s="346">
        <v>412</v>
      </c>
      <c r="D424" s="342">
        <v>184775.30219443352</v>
      </c>
    </row>
    <row r="425" spans="1:4" ht="15.95">
      <c r="A425" s="345">
        <v>0.42041635929798504</v>
      </c>
      <c r="B425" s="347" t="s">
        <v>1240</v>
      </c>
      <c r="C425" s="346">
        <v>413</v>
      </c>
      <c r="D425" s="342">
        <v>303018.41054548277</v>
      </c>
    </row>
    <row r="426" spans="1:4" ht="15.95">
      <c r="A426" s="345">
        <v>0.7983542261001263</v>
      </c>
      <c r="B426" s="347" t="s">
        <v>1240</v>
      </c>
      <c r="C426" s="346">
        <v>414</v>
      </c>
      <c r="D426" s="342">
        <v>716362.80764257838</v>
      </c>
    </row>
    <row r="427" spans="1:4" ht="15.95">
      <c r="A427" s="345">
        <v>0.22069001195039051</v>
      </c>
      <c r="B427" s="347" t="s">
        <v>1240</v>
      </c>
      <c r="C427" s="346">
        <v>415</v>
      </c>
      <c r="D427" s="342">
        <v>464366.4518764806</v>
      </c>
    </row>
    <row r="428" spans="1:4" ht="15.95">
      <c r="A428" s="345">
        <v>0.49917805287787365</v>
      </c>
      <c r="B428" s="347" t="s">
        <v>1240</v>
      </c>
      <c r="C428" s="346">
        <v>416</v>
      </c>
      <c r="D428" s="342">
        <v>581691.95505069126</v>
      </c>
    </row>
    <row r="429" spans="1:4" ht="15.95">
      <c r="A429" s="345">
        <v>0.98922577157695024</v>
      </c>
      <c r="B429" s="347" t="s">
        <v>1240</v>
      </c>
      <c r="C429" s="346">
        <v>417</v>
      </c>
      <c r="D429" s="342">
        <v>430775.40855173417</v>
      </c>
    </row>
    <row r="430" spans="1:4" ht="15.95">
      <c r="A430" s="345">
        <v>0.1934808623014348</v>
      </c>
      <c r="B430" s="347" t="s">
        <v>1240</v>
      </c>
      <c r="C430" s="346">
        <v>418</v>
      </c>
      <c r="D430" s="342">
        <v>41743.230381667614</v>
      </c>
    </row>
    <row r="431" spans="1:4" ht="15.95">
      <c r="A431" s="345">
        <v>3.7941181041186156E-2</v>
      </c>
      <c r="B431" s="347" t="s">
        <v>1240</v>
      </c>
      <c r="C431" s="346">
        <v>419</v>
      </c>
      <c r="D431" s="342">
        <v>223105.28017324326</v>
      </c>
    </row>
    <row r="432" spans="1:4" ht="15.95">
      <c r="A432" s="345">
        <v>0.79717824854335406</v>
      </c>
      <c r="B432" s="347" t="s">
        <v>1240</v>
      </c>
      <c r="C432" s="346">
        <v>420</v>
      </c>
      <c r="D432" s="342">
        <v>78981.917937402381</v>
      </c>
    </row>
    <row r="433" spans="1:4" ht="15.95">
      <c r="A433" s="345">
        <v>0.43776067468709579</v>
      </c>
      <c r="B433" s="347" t="s">
        <v>1240</v>
      </c>
      <c r="C433" s="346">
        <v>421</v>
      </c>
      <c r="D433" s="342">
        <v>569537.73222206114</v>
      </c>
    </row>
    <row r="434" spans="1:4" ht="15.95">
      <c r="A434" s="345">
        <v>9.1484116543704141E-3</v>
      </c>
      <c r="B434" s="347" t="s">
        <v>1240</v>
      </c>
      <c r="C434" s="346">
        <v>422</v>
      </c>
      <c r="D434" s="342">
        <v>117782.83997041034</v>
      </c>
    </row>
    <row r="435" spans="1:4" ht="15.95">
      <c r="A435" s="345">
        <v>0.80981849385661053</v>
      </c>
      <c r="B435" s="347" t="s">
        <v>1240</v>
      </c>
      <c r="C435" s="346">
        <v>423</v>
      </c>
      <c r="D435" s="342">
        <v>591709.35173132061</v>
      </c>
    </row>
    <row r="436" spans="1:4" ht="15.95">
      <c r="A436" s="345">
        <v>0.91480219439781785</v>
      </c>
      <c r="B436" s="347" t="s">
        <v>1240</v>
      </c>
      <c r="C436" s="346">
        <v>424</v>
      </c>
      <c r="D436" s="342">
        <v>800400.32527491776</v>
      </c>
    </row>
    <row r="437" spans="1:4" ht="15.95">
      <c r="A437" s="345">
        <v>0.52110520037493757</v>
      </c>
      <c r="B437" s="347" t="s">
        <v>1240</v>
      </c>
      <c r="C437" s="346">
        <v>425</v>
      </c>
      <c r="D437" s="342">
        <v>602978.95704201213</v>
      </c>
    </row>
    <row r="438" spans="1:4" ht="15.95">
      <c r="A438" s="345">
        <v>0.28239904922877834</v>
      </c>
      <c r="B438" s="347" t="s">
        <v>1240</v>
      </c>
      <c r="C438" s="346">
        <v>426</v>
      </c>
      <c r="D438" s="342">
        <v>378525.01578059862</v>
      </c>
    </row>
    <row r="439" spans="1:4" ht="15.95">
      <c r="A439" s="345">
        <v>0.7241962801188383</v>
      </c>
      <c r="B439" s="347" t="s">
        <v>1240</v>
      </c>
      <c r="C439" s="346">
        <v>427</v>
      </c>
      <c r="D439" s="342">
        <v>337813.92198920576</v>
      </c>
    </row>
    <row r="440" spans="1:4" ht="15.95">
      <c r="A440" s="345">
        <v>0.75458694417040284</v>
      </c>
      <c r="B440" s="347" t="s">
        <v>1240</v>
      </c>
      <c r="C440" s="346">
        <v>428</v>
      </c>
      <c r="D440" s="342">
        <v>484615.30894091306</v>
      </c>
    </row>
    <row r="441" spans="1:4" ht="15.95">
      <c r="A441" s="345">
        <v>0.73300020640332408</v>
      </c>
      <c r="B441" s="347" t="s">
        <v>1240</v>
      </c>
      <c r="C441" s="346">
        <v>429</v>
      </c>
      <c r="D441" s="342">
        <v>855648.82158553461</v>
      </c>
    </row>
    <row r="442" spans="1:4" ht="15.95">
      <c r="A442" s="345">
        <v>0.60761981005487797</v>
      </c>
      <c r="B442" s="347" t="s">
        <v>1240</v>
      </c>
      <c r="C442" s="346">
        <v>430</v>
      </c>
      <c r="D442" s="342">
        <v>345215.09750571614</v>
      </c>
    </row>
    <row r="443" spans="1:4" ht="15.95">
      <c r="A443" s="345">
        <v>0.34282369007663871</v>
      </c>
      <c r="B443" s="347" t="s">
        <v>1240</v>
      </c>
      <c r="C443" s="346">
        <v>431</v>
      </c>
      <c r="D443" s="342">
        <v>554190.27460309607</v>
      </c>
    </row>
    <row r="444" spans="1:4" ht="15.95">
      <c r="A444" s="345">
        <v>6.398912850172378E-2</v>
      </c>
      <c r="B444" s="347" t="s">
        <v>1240</v>
      </c>
      <c r="C444" s="346">
        <v>432</v>
      </c>
      <c r="D444" s="342">
        <v>83061.634008620633</v>
      </c>
    </row>
    <row r="445" spans="1:4" ht="15.95">
      <c r="A445" s="345">
        <v>0.54442146487011367</v>
      </c>
      <c r="B445" s="347" t="s">
        <v>1240</v>
      </c>
      <c r="C445" s="346">
        <v>433</v>
      </c>
      <c r="D445" s="342">
        <v>168928.097891554</v>
      </c>
    </row>
    <row r="446" spans="1:4" ht="15.95">
      <c r="A446" s="345">
        <v>0.63707908166506255</v>
      </c>
      <c r="B446" s="347" t="s">
        <v>1240</v>
      </c>
      <c r="C446" s="346">
        <v>434</v>
      </c>
      <c r="D446" s="342">
        <v>121531.64732324379</v>
      </c>
    </row>
    <row r="447" spans="1:4" ht="15.95">
      <c r="A447" s="345">
        <v>0.95627252316488165</v>
      </c>
      <c r="B447" s="347" t="s">
        <v>1240</v>
      </c>
      <c r="C447" s="346">
        <v>435</v>
      </c>
      <c r="D447" s="342">
        <v>694561.65548808989</v>
      </c>
    </row>
    <row r="448" spans="1:4" ht="15.95">
      <c r="A448" s="345">
        <v>0.46158114466437505</v>
      </c>
      <c r="B448" s="347" t="s">
        <v>1240</v>
      </c>
      <c r="C448" s="346">
        <v>436</v>
      </c>
      <c r="D448" s="342">
        <v>334969.36132119386</v>
      </c>
    </row>
    <row r="449" spans="1:4" ht="15.95">
      <c r="A449" s="345">
        <v>0.18495956984371797</v>
      </c>
      <c r="B449" s="347" t="s">
        <v>1240</v>
      </c>
      <c r="C449" s="346">
        <v>437</v>
      </c>
      <c r="D449" s="342">
        <v>97248.552704657195</v>
      </c>
    </row>
    <row r="450" spans="1:4" ht="15.95">
      <c r="A450" s="345">
        <v>0.76044450549759091</v>
      </c>
      <c r="B450" s="347" t="s">
        <v>1240</v>
      </c>
      <c r="C450" s="346">
        <v>438</v>
      </c>
      <c r="D450" s="342">
        <v>61115.724100343883</v>
      </c>
    </row>
    <row r="451" spans="1:4" ht="15.95">
      <c r="A451" s="345">
        <v>0.45605862827846422</v>
      </c>
      <c r="B451" s="347" t="s">
        <v>1240</v>
      </c>
      <c r="C451" s="346">
        <v>439</v>
      </c>
      <c r="D451" s="342">
        <v>205015.75867472682</v>
      </c>
    </row>
    <row r="452" spans="1:4" ht="15.95">
      <c r="A452" s="345">
        <v>0.6772642378878857</v>
      </c>
      <c r="B452" s="347" t="s">
        <v>1240</v>
      </c>
      <c r="C452" s="346">
        <v>440</v>
      </c>
      <c r="D452" s="342">
        <v>155363.57433039695</v>
      </c>
    </row>
    <row r="453" spans="1:4" ht="15.95">
      <c r="A453" s="345">
        <v>0.78919445553976197</v>
      </c>
      <c r="B453" s="347" t="s">
        <v>1240</v>
      </c>
      <c r="C453" s="346">
        <v>441</v>
      </c>
      <c r="D453" s="342">
        <v>404087.0346265072</v>
      </c>
    </row>
    <row r="454" spans="1:4" ht="15.95">
      <c r="A454" s="345">
        <v>0.87957624238665089</v>
      </c>
      <c r="B454" s="347" t="s">
        <v>1240</v>
      </c>
      <c r="C454" s="346">
        <v>442</v>
      </c>
      <c r="D454" s="342">
        <v>94723.385085947579</v>
      </c>
    </row>
    <row r="455" spans="1:4" ht="15.95">
      <c r="A455" s="345">
        <v>0.60079520478543313</v>
      </c>
      <c r="B455" s="347" t="s">
        <v>1240</v>
      </c>
      <c r="C455" s="346">
        <v>443</v>
      </c>
      <c r="D455" s="342">
        <v>372200.70592777431</v>
      </c>
    </row>
    <row r="456" spans="1:4" ht="15.95">
      <c r="A456" s="345">
        <v>0.47644346762100809</v>
      </c>
      <c r="B456" s="347" t="s">
        <v>1240</v>
      </c>
      <c r="C456" s="346">
        <v>444</v>
      </c>
      <c r="D456" s="342">
        <v>377823.08763026004</v>
      </c>
    </row>
    <row r="457" spans="1:4" ht="15.95">
      <c r="A457" s="345">
        <v>0.22529047069708219</v>
      </c>
      <c r="B457" s="347" t="s">
        <v>1240</v>
      </c>
      <c r="C457" s="346">
        <v>445</v>
      </c>
      <c r="D457" s="342">
        <v>-9498.61748294672</v>
      </c>
    </row>
    <row r="458" spans="1:4" ht="15.95">
      <c r="A458" s="345">
        <v>0.72731335000150987</v>
      </c>
      <c r="B458" s="347" t="s">
        <v>1240</v>
      </c>
      <c r="C458" s="346">
        <v>446</v>
      </c>
      <c r="D458" s="342">
        <v>63824.105934245745</v>
      </c>
    </row>
    <row r="459" spans="1:4" ht="15.95">
      <c r="A459" s="345">
        <v>0.11508648630275409</v>
      </c>
      <c r="B459" s="347" t="s">
        <v>1240</v>
      </c>
      <c r="C459" s="346">
        <v>447</v>
      </c>
      <c r="D459" s="342">
        <v>244624.32157899183</v>
      </c>
    </row>
    <row r="460" spans="1:4" ht="15.95">
      <c r="A460" s="345">
        <v>0.44372625714078617</v>
      </c>
      <c r="B460" s="347" t="s">
        <v>1240</v>
      </c>
      <c r="C460" s="346">
        <v>448</v>
      </c>
      <c r="D460" s="342">
        <v>295934.07253535721</v>
      </c>
    </row>
    <row r="461" spans="1:4" ht="15.95">
      <c r="A461" s="345">
        <v>0.31102718348039027</v>
      </c>
      <c r="B461" s="347" t="s">
        <v>1240</v>
      </c>
      <c r="C461" s="346">
        <v>449</v>
      </c>
      <c r="D461" s="342">
        <v>55837.60157065047</v>
      </c>
    </row>
    <row r="462" spans="1:4" ht="15.95">
      <c r="A462" s="345">
        <v>0.1978751192571665</v>
      </c>
      <c r="B462" s="347" t="s">
        <v>1240</v>
      </c>
      <c r="C462" s="346">
        <v>450</v>
      </c>
      <c r="D462" s="342">
        <v>258506.74218508089</v>
      </c>
    </row>
    <row r="463" spans="1:4" ht="15.95">
      <c r="A463" s="345">
        <v>0.25941424376324429</v>
      </c>
      <c r="B463" s="347" t="s">
        <v>1240</v>
      </c>
      <c r="C463" s="346">
        <v>451</v>
      </c>
      <c r="D463" s="342">
        <v>485073.76771511789</v>
      </c>
    </row>
    <row r="464" spans="1:4" ht="15.95">
      <c r="A464" s="345">
        <v>0.7551904586914876</v>
      </c>
      <c r="B464" s="347" t="s">
        <v>1240</v>
      </c>
      <c r="C464" s="346">
        <v>452</v>
      </c>
      <c r="D464" s="342">
        <v>604764.40238653123</v>
      </c>
    </row>
    <row r="465" spans="1:4" ht="15.95">
      <c r="A465" s="345">
        <v>8.4809818290678685E-3</v>
      </c>
      <c r="B465" s="347" t="s">
        <v>1240</v>
      </c>
      <c r="C465" s="346">
        <v>453</v>
      </c>
      <c r="D465" s="342">
        <v>418620.43633297738</v>
      </c>
    </row>
    <row r="466" spans="1:4" ht="15.95">
      <c r="A466" s="345">
        <v>0.594882216007947</v>
      </c>
      <c r="B466" s="347" t="s">
        <v>1240</v>
      </c>
      <c r="C466" s="346">
        <v>454</v>
      </c>
      <c r="D466" s="342">
        <v>295282.77095572278</v>
      </c>
    </row>
    <row r="467" spans="1:4" ht="15.95">
      <c r="A467" s="345">
        <v>7.7732028197774472E-3</v>
      </c>
      <c r="B467" s="347" t="s">
        <v>1240</v>
      </c>
      <c r="C467" s="346">
        <v>455</v>
      </c>
      <c r="D467" s="342">
        <v>752871.87443689886</v>
      </c>
    </row>
    <row r="468" spans="1:4" ht="15.95">
      <c r="A468" s="345">
        <v>0.54278021627059525</v>
      </c>
      <c r="B468" s="347" t="s">
        <v>1240</v>
      </c>
      <c r="C468" s="346">
        <v>456</v>
      </c>
      <c r="D468" s="342">
        <v>189708.90511091589</v>
      </c>
    </row>
    <row r="469" spans="1:4" ht="15.95">
      <c r="A469" s="345">
        <v>0.66093882066678833</v>
      </c>
      <c r="B469" s="347" t="s">
        <v>1240</v>
      </c>
      <c r="C469" s="346">
        <v>457</v>
      </c>
      <c r="D469" s="342">
        <v>-21508.218503864016</v>
      </c>
    </row>
    <row r="470" spans="1:4" ht="15.95">
      <c r="A470" s="345">
        <v>0.27656404103198795</v>
      </c>
      <c r="B470" s="347" t="s">
        <v>1240</v>
      </c>
      <c r="C470" s="346">
        <v>458</v>
      </c>
      <c r="D470" s="342">
        <v>60791.216088543879</v>
      </c>
    </row>
    <row r="471" spans="1:4" ht="15.95">
      <c r="A471" s="345">
        <v>0.45929920567889015</v>
      </c>
      <c r="B471" s="347" t="s">
        <v>1240</v>
      </c>
      <c r="C471" s="346">
        <v>459</v>
      </c>
      <c r="D471" s="342">
        <v>576002.54535779613</v>
      </c>
    </row>
    <row r="472" spans="1:4" ht="15.95">
      <c r="A472" s="345">
        <v>3.7250529150891887E-2</v>
      </c>
      <c r="B472" s="347" t="s">
        <v>1240</v>
      </c>
      <c r="C472" s="346">
        <v>460</v>
      </c>
      <c r="D472" s="342">
        <v>201971.12534532556</v>
      </c>
    </row>
    <row r="473" spans="1:4" ht="15.95">
      <c r="A473" s="345">
        <v>0.98001084003228456</v>
      </c>
      <c r="B473" s="347" t="s">
        <v>1240</v>
      </c>
      <c r="C473" s="346">
        <v>461</v>
      </c>
      <c r="D473" s="342">
        <v>375294.26228754711</v>
      </c>
    </row>
    <row r="474" spans="1:4" ht="15.95">
      <c r="A474" s="345">
        <v>2.4018001799224531E-2</v>
      </c>
      <c r="B474" s="347" t="s">
        <v>1240</v>
      </c>
      <c r="C474" s="346">
        <v>462</v>
      </c>
      <c r="D474" s="342">
        <v>201381.28637148999</v>
      </c>
    </row>
    <row r="475" spans="1:4" ht="15.95">
      <c r="A475" s="345">
        <v>5.4512329390793535E-2</v>
      </c>
      <c r="B475" s="347" t="s">
        <v>1240</v>
      </c>
      <c r="C475" s="346">
        <v>463</v>
      </c>
      <c r="D475" s="342">
        <v>744265.78744787304</v>
      </c>
    </row>
    <row r="476" spans="1:4" ht="15.95">
      <c r="A476" s="345">
        <v>0.75403587829059393</v>
      </c>
      <c r="B476" s="347" t="s">
        <v>1240</v>
      </c>
      <c r="C476" s="346">
        <v>464</v>
      </c>
      <c r="D476" s="342">
        <v>299286.29787353729</v>
      </c>
    </row>
    <row r="477" spans="1:4" ht="15.95">
      <c r="A477" s="345">
        <v>0.6076460965639886</v>
      </c>
      <c r="B477" s="347" t="s">
        <v>1240</v>
      </c>
      <c r="C477" s="346">
        <v>465</v>
      </c>
      <c r="D477" s="342">
        <v>642301.04866266064</v>
      </c>
    </row>
    <row r="478" spans="1:4" ht="15.95">
      <c r="A478" s="345">
        <v>0.64912150908274313</v>
      </c>
      <c r="B478" s="347" t="s">
        <v>1240</v>
      </c>
      <c r="C478" s="346">
        <v>466</v>
      </c>
      <c r="D478" s="342">
        <v>60684.140683646547</v>
      </c>
    </row>
    <row r="479" spans="1:4" ht="15.95">
      <c r="A479" s="345">
        <v>0.65038178283269865</v>
      </c>
      <c r="B479" s="347" t="s">
        <v>1240</v>
      </c>
      <c r="C479" s="346">
        <v>467</v>
      </c>
      <c r="D479" s="342">
        <v>375674.72240584972</v>
      </c>
    </row>
    <row r="480" spans="1:4" ht="15.95">
      <c r="A480" s="345">
        <v>0.41938907507659828</v>
      </c>
      <c r="B480" s="347" t="s">
        <v>1240</v>
      </c>
      <c r="C480" s="346">
        <v>468</v>
      </c>
      <c r="D480" s="342">
        <v>164760.76827191422</v>
      </c>
    </row>
    <row r="481" spans="1:4" ht="15.95">
      <c r="A481" s="345">
        <v>0.95803394807522668</v>
      </c>
      <c r="B481" s="347" t="s">
        <v>1240</v>
      </c>
      <c r="C481" s="346">
        <v>469</v>
      </c>
      <c r="D481" s="342">
        <v>737689.14600288565</v>
      </c>
    </row>
    <row r="482" spans="1:4" ht="15.95">
      <c r="A482" s="345">
        <v>0.75064486698207711</v>
      </c>
      <c r="B482" s="347" t="s">
        <v>1240</v>
      </c>
      <c r="C482" s="346">
        <v>470</v>
      </c>
      <c r="D482" s="342">
        <v>647706.96902536461</v>
      </c>
    </row>
    <row r="483" spans="1:4" ht="15.95">
      <c r="A483" s="345">
        <v>0.33246408716610421</v>
      </c>
      <c r="B483" s="347" t="s">
        <v>1240</v>
      </c>
      <c r="C483" s="346">
        <v>471</v>
      </c>
      <c r="D483" s="342">
        <v>280470.6540108053</v>
      </c>
    </row>
    <row r="484" spans="1:4" ht="15.95">
      <c r="A484" s="345">
        <v>0.57198717214711714</v>
      </c>
      <c r="B484" s="347" t="s">
        <v>1240</v>
      </c>
      <c r="C484" s="346">
        <v>472</v>
      </c>
      <c r="D484" s="342">
        <v>454688.86364070233</v>
      </c>
    </row>
    <row r="485" spans="1:4" ht="15.95">
      <c r="A485" s="345">
        <v>0.78335362179939472</v>
      </c>
      <c r="B485" s="347" t="s">
        <v>1240</v>
      </c>
      <c r="C485" s="346">
        <v>473</v>
      </c>
      <c r="D485" s="342">
        <v>329111.71444734419</v>
      </c>
    </row>
    <row r="486" spans="1:4" ht="15.95">
      <c r="A486" s="345">
        <v>0.10827323635991548</v>
      </c>
      <c r="B486" s="347" t="s">
        <v>1240</v>
      </c>
      <c r="C486" s="346">
        <v>474</v>
      </c>
      <c r="D486" s="342">
        <v>649202.33237181744</v>
      </c>
    </row>
    <row r="487" spans="1:4" ht="15.95">
      <c r="A487" s="345">
        <v>0.18607233673105994</v>
      </c>
      <c r="B487" s="347" t="s">
        <v>1240</v>
      </c>
      <c r="C487" s="346">
        <v>475</v>
      </c>
      <c r="D487" s="342">
        <v>107700.93324375316</v>
      </c>
    </row>
    <row r="488" spans="1:4" ht="15.95">
      <c r="A488" s="345">
        <v>0.58519417323016765</v>
      </c>
      <c r="B488" s="347" t="s">
        <v>1240</v>
      </c>
      <c r="C488" s="346">
        <v>476</v>
      </c>
      <c r="D488" s="342">
        <v>396354.45644625812</v>
      </c>
    </row>
    <row r="489" spans="1:4" ht="15.95">
      <c r="A489" s="345">
        <v>0.51121941912878432</v>
      </c>
      <c r="B489" s="347" t="s">
        <v>1240</v>
      </c>
      <c r="C489" s="346">
        <v>477</v>
      </c>
      <c r="D489" s="342">
        <v>237599.90985936532</v>
      </c>
    </row>
    <row r="490" spans="1:4" ht="15.95">
      <c r="A490" s="345">
        <v>0.73135232914763282</v>
      </c>
      <c r="B490" s="347" t="s">
        <v>1240</v>
      </c>
      <c r="C490" s="346">
        <v>478</v>
      </c>
      <c r="D490" s="342">
        <v>684527.94360870635</v>
      </c>
    </row>
    <row r="491" spans="1:4" ht="15.95">
      <c r="A491" s="345">
        <v>0.44329591934638291</v>
      </c>
      <c r="B491" s="347" t="s">
        <v>1240</v>
      </c>
      <c r="C491" s="346">
        <v>479</v>
      </c>
      <c r="D491" s="342">
        <v>611954.36651646579</v>
      </c>
    </row>
    <row r="492" spans="1:4" ht="15.95">
      <c r="A492" s="345">
        <v>0.52343752109325359</v>
      </c>
      <c r="B492" s="347" t="s">
        <v>1240</v>
      </c>
      <c r="C492" s="346">
        <v>480</v>
      </c>
      <c r="D492" s="342">
        <v>166947.65384241357</v>
      </c>
    </row>
    <row r="493" spans="1:4" ht="15.95">
      <c r="A493" s="345">
        <v>0.66096242895649793</v>
      </c>
      <c r="B493" s="347" t="s">
        <v>1240</v>
      </c>
      <c r="C493" s="346">
        <v>481</v>
      </c>
      <c r="D493" s="342">
        <v>9880.7885636442807</v>
      </c>
    </row>
    <row r="494" spans="1:4" ht="15.95">
      <c r="A494" s="345">
        <v>0.84413221197572352</v>
      </c>
      <c r="B494" s="347" t="s">
        <v>1240</v>
      </c>
      <c r="C494" s="346">
        <v>482</v>
      </c>
      <c r="D494" s="342">
        <v>741062.18810983282</v>
      </c>
    </row>
    <row r="495" spans="1:4" ht="15.95">
      <c r="A495" s="345">
        <v>0.25856608930495506</v>
      </c>
      <c r="B495" s="347" t="s">
        <v>1240</v>
      </c>
      <c r="C495" s="346">
        <v>483</v>
      </c>
      <c r="D495" s="342">
        <v>343321.25969998655</v>
      </c>
    </row>
    <row r="496" spans="1:4" ht="15.95">
      <c r="A496" s="345">
        <v>0.28337264753840419</v>
      </c>
      <c r="B496" s="347" t="s">
        <v>1240</v>
      </c>
      <c r="C496" s="346">
        <v>484</v>
      </c>
      <c r="D496" s="342">
        <v>323771.40768651012</v>
      </c>
    </row>
    <row r="497" spans="1:4" ht="15.95">
      <c r="A497" s="345">
        <v>0.14620303951232716</v>
      </c>
      <c r="B497" s="347" t="s">
        <v>1240</v>
      </c>
      <c r="C497" s="346">
        <v>485</v>
      </c>
      <c r="D497" s="342">
        <v>162689.1433272087</v>
      </c>
    </row>
    <row r="498" spans="1:4" ht="15.95">
      <c r="A498" s="345">
        <v>0.22225115952747243</v>
      </c>
      <c r="B498" s="347" t="s">
        <v>1240</v>
      </c>
      <c r="C498" s="346">
        <v>486</v>
      </c>
      <c r="D498" s="342">
        <v>145211.40895978594</v>
      </c>
    </row>
    <row r="499" spans="1:4" ht="15.95">
      <c r="A499" s="345">
        <v>0.17742865594069279</v>
      </c>
      <c r="B499" s="347" t="s">
        <v>1240</v>
      </c>
      <c r="C499" s="346">
        <v>487</v>
      </c>
      <c r="D499" s="342">
        <v>815840.5628167917</v>
      </c>
    </row>
    <row r="500" spans="1:4" ht="15.95">
      <c r="A500" s="345">
        <v>0.45402915688471024</v>
      </c>
      <c r="B500" s="347" t="s">
        <v>1240</v>
      </c>
      <c r="C500" s="346">
        <v>488</v>
      </c>
      <c r="D500" s="342">
        <v>205509.94246804365</v>
      </c>
    </row>
    <row r="501" spans="1:4" ht="15.95">
      <c r="A501" s="345">
        <v>0.26568291388241883</v>
      </c>
      <c r="B501" s="347" t="s">
        <v>1240</v>
      </c>
      <c r="C501" s="346">
        <v>489</v>
      </c>
      <c r="D501" s="342">
        <v>82338.89353391109</v>
      </c>
    </row>
    <row r="502" spans="1:4" ht="15.95">
      <c r="A502" s="345">
        <v>0.78016824707653765</v>
      </c>
      <c r="B502" s="347" t="s">
        <v>1240</v>
      </c>
      <c r="C502" s="346">
        <v>490</v>
      </c>
      <c r="D502" s="342">
        <v>256663.05266453186</v>
      </c>
    </row>
    <row r="503" spans="1:4" ht="15.95">
      <c r="A503" s="345">
        <v>0.57229437882538337</v>
      </c>
      <c r="B503" s="347" t="s">
        <v>1240</v>
      </c>
      <c r="C503" s="346">
        <v>491</v>
      </c>
      <c r="D503" s="342">
        <v>493465.68849815265</v>
      </c>
    </row>
    <row r="504" spans="1:4" ht="15.95">
      <c r="A504" s="345">
        <v>0.8421558030004721</v>
      </c>
      <c r="B504" s="347" t="s">
        <v>1240</v>
      </c>
      <c r="C504" s="346">
        <v>492</v>
      </c>
      <c r="D504" s="342">
        <v>213464.65132864332</v>
      </c>
    </row>
    <row r="505" spans="1:4" ht="15.95">
      <c r="A505" s="345">
        <v>0.69150008632270232</v>
      </c>
      <c r="B505" s="347" t="s">
        <v>1240</v>
      </c>
      <c r="C505" s="346">
        <v>493</v>
      </c>
      <c r="D505" s="342">
        <v>291851.55759835267</v>
      </c>
    </row>
    <row r="506" spans="1:4" ht="15.95">
      <c r="A506" s="345">
        <v>0.90833430513359126</v>
      </c>
      <c r="B506" s="347" t="s">
        <v>1240</v>
      </c>
      <c r="C506" s="346">
        <v>494</v>
      </c>
      <c r="D506" s="342">
        <v>132064.414658027</v>
      </c>
    </row>
    <row r="507" spans="1:4" ht="15.95">
      <c r="A507" s="345">
        <v>0.66486006171998557</v>
      </c>
      <c r="B507" s="347" t="s">
        <v>1240</v>
      </c>
      <c r="C507" s="346">
        <v>495</v>
      </c>
      <c r="D507" s="342">
        <v>-37987.587852858007</v>
      </c>
    </row>
    <row r="508" spans="1:4" ht="15.95">
      <c r="A508" s="345">
        <v>0.84486967526449863</v>
      </c>
      <c r="B508" s="347" t="s">
        <v>1240</v>
      </c>
      <c r="C508" s="346">
        <v>496</v>
      </c>
      <c r="D508" s="342">
        <v>320862.11161093577</v>
      </c>
    </row>
    <row r="509" spans="1:4" ht="15.95">
      <c r="A509" s="345">
        <v>0.97114628661225055</v>
      </c>
      <c r="B509" s="347" t="s">
        <v>1240</v>
      </c>
      <c r="C509" s="346">
        <v>497</v>
      </c>
      <c r="D509" s="342">
        <v>125058.6659425199</v>
      </c>
    </row>
    <row r="510" spans="1:4" ht="15.95">
      <c r="A510" s="345">
        <v>0.50601415946201933</v>
      </c>
      <c r="B510" s="347" t="s">
        <v>1240</v>
      </c>
      <c r="C510" s="346">
        <v>498</v>
      </c>
      <c r="D510" s="342">
        <v>132982.29592513735</v>
      </c>
    </row>
    <row r="511" spans="1:4" ht="15.95">
      <c r="A511" s="345">
        <v>5.7354446150275074E-2</v>
      </c>
      <c r="B511" s="347" t="s">
        <v>1240</v>
      </c>
      <c r="C511" s="346">
        <v>499</v>
      </c>
      <c r="D511" s="342">
        <v>-47138.825173637131</v>
      </c>
    </row>
    <row r="512" spans="1:4" ht="15.95">
      <c r="A512" s="345">
        <v>0.65396638612651736</v>
      </c>
      <c r="B512" s="347" t="s">
        <v>1240</v>
      </c>
      <c r="C512" s="346">
        <v>500</v>
      </c>
      <c r="D512" s="342">
        <v>-4116.0978005586658</v>
      </c>
    </row>
    <row r="513" spans="1:4" ht="15.95">
      <c r="A513" s="345">
        <v>0.27659716602826612</v>
      </c>
      <c r="B513" s="347" t="s">
        <v>1240</v>
      </c>
      <c r="C513" s="346">
        <v>501</v>
      </c>
      <c r="D513" s="342">
        <v>241721.84281565552</v>
      </c>
    </row>
    <row r="514" spans="1:4" ht="15.95">
      <c r="A514" s="345">
        <v>0.7660822021715008</v>
      </c>
      <c r="B514" s="347" t="s">
        <v>1240</v>
      </c>
      <c r="C514" s="346">
        <v>502</v>
      </c>
      <c r="D514" s="342">
        <v>305324.9994642674</v>
      </c>
    </row>
    <row r="515" spans="1:4" ht="15.95">
      <c r="A515" s="345">
        <v>0.94528654907309873</v>
      </c>
      <c r="B515" s="347" t="s">
        <v>1240</v>
      </c>
      <c r="C515" s="346">
        <v>503</v>
      </c>
      <c r="D515" s="342">
        <v>458742.82068022178</v>
      </c>
    </row>
    <row r="516" spans="1:4" ht="15.95">
      <c r="A516" s="345">
        <v>0.96435246549844111</v>
      </c>
      <c r="B516" s="347" t="s">
        <v>1240</v>
      </c>
      <c r="C516" s="346">
        <v>504</v>
      </c>
      <c r="D516" s="342">
        <v>20543.912040661555</v>
      </c>
    </row>
    <row r="517" spans="1:4" ht="15.95">
      <c r="A517" s="345">
        <v>0.30355856826796723</v>
      </c>
      <c r="B517" s="347" t="s">
        <v>1240</v>
      </c>
      <c r="C517" s="346">
        <v>505</v>
      </c>
      <c r="D517" s="342">
        <v>272955.24225318572</v>
      </c>
    </row>
    <row r="518" spans="1:4" ht="15.95">
      <c r="A518" s="345">
        <v>0.31647237456276611</v>
      </c>
      <c r="B518" s="347" t="s">
        <v>1240</v>
      </c>
      <c r="C518" s="346">
        <v>506</v>
      </c>
      <c r="D518" s="342">
        <v>361342.49784012348</v>
      </c>
    </row>
    <row r="519" spans="1:4" ht="15.95">
      <c r="A519" s="345">
        <v>0.72494740087862231</v>
      </c>
      <c r="B519" s="347" t="s">
        <v>1240</v>
      </c>
      <c r="C519" s="346">
        <v>507</v>
      </c>
      <c r="D519" s="342">
        <v>491855.81716628815</v>
      </c>
    </row>
    <row r="520" spans="1:4" ht="15.95">
      <c r="A520" s="345">
        <v>2.4463442786426537E-4</v>
      </c>
      <c r="B520" s="347" t="s">
        <v>1240</v>
      </c>
      <c r="C520" s="346">
        <v>508</v>
      </c>
      <c r="D520" s="342">
        <v>392332.31642412837</v>
      </c>
    </row>
    <row r="521" spans="1:4" ht="15.95">
      <c r="A521" s="345">
        <v>0.92852907753731118</v>
      </c>
      <c r="B521" s="347" t="s">
        <v>1240</v>
      </c>
      <c r="C521" s="346">
        <v>509</v>
      </c>
      <c r="D521" s="342">
        <v>163900.09211911773</v>
      </c>
    </row>
    <row r="522" spans="1:4" ht="15.95">
      <c r="A522" s="345">
        <v>0.86491262141706393</v>
      </c>
      <c r="B522" s="347" t="s">
        <v>1240</v>
      </c>
      <c r="C522" s="346">
        <v>510</v>
      </c>
      <c r="D522" s="342">
        <v>299178.02094236785</v>
      </c>
    </row>
    <row r="523" spans="1:4" ht="15.95">
      <c r="A523" s="345">
        <v>0.17205153444019305</v>
      </c>
      <c r="B523" s="347" t="s">
        <v>1240</v>
      </c>
      <c r="C523" s="346">
        <v>511</v>
      </c>
      <c r="D523" s="342">
        <v>518177.48772167391</v>
      </c>
    </row>
    <row r="524" spans="1:4" ht="15.95">
      <c r="A524" s="345">
        <v>0.83720703046083633</v>
      </c>
      <c r="B524" s="347" t="s">
        <v>1240</v>
      </c>
      <c r="C524" s="346">
        <v>512</v>
      </c>
      <c r="D524" s="342">
        <v>285941.93390892423</v>
      </c>
    </row>
    <row r="525" spans="1:4" ht="15.95">
      <c r="A525" s="345">
        <v>0.15457651291236318</v>
      </c>
      <c r="B525" s="347" t="s">
        <v>1240</v>
      </c>
      <c r="C525" s="346">
        <v>513</v>
      </c>
      <c r="D525" s="342">
        <v>311928.5241117517</v>
      </c>
    </row>
    <row r="526" spans="1:4" ht="15.95">
      <c r="A526" s="345">
        <v>0.92592890838493913</v>
      </c>
      <c r="B526" s="347" t="s">
        <v>1240</v>
      </c>
      <c r="C526" s="346">
        <v>514</v>
      </c>
      <c r="D526" s="342">
        <v>601943.18484750739</v>
      </c>
    </row>
    <row r="527" spans="1:4" ht="15.95">
      <c r="A527" s="345">
        <v>0.33730194338834474</v>
      </c>
      <c r="B527" s="347" t="s">
        <v>1240</v>
      </c>
      <c r="C527" s="346">
        <v>515</v>
      </c>
      <c r="D527" s="342">
        <v>35129.035343177617</v>
      </c>
    </row>
    <row r="528" spans="1:4" ht="15.95">
      <c r="A528" s="345">
        <v>8.0246891877280402E-2</v>
      </c>
      <c r="B528" s="347" t="s">
        <v>1240</v>
      </c>
      <c r="C528" s="346">
        <v>516</v>
      </c>
      <c r="D528" s="342">
        <v>320204.40271977219</v>
      </c>
    </row>
    <row r="529" spans="1:4" ht="15.95">
      <c r="A529" s="345">
        <v>0.27722047151499085</v>
      </c>
      <c r="B529" s="347" t="s">
        <v>1240</v>
      </c>
      <c r="C529" s="346">
        <v>517</v>
      </c>
      <c r="D529" s="342">
        <v>572471.03826213046</v>
      </c>
    </row>
    <row r="530" spans="1:4" ht="15.95">
      <c r="A530" s="345">
        <v>0.86251854703245878</v>
      </c>
      <c r="B530" s="347" t="s">
        <v>1240</v>
      </c>
      <c r="C530" s="346">
        <v>518</v>
      </c>
      <c r="D530" s="342">
        <v>471092.76422706014</v>
      </c>
    </row>
    <row r="531" spans="1:4" ht="15.95">
      <c r="A531" s="345">
        <v>0.80850077816222909</v>
      </c>
      <c r="B531" s="347" t="s">
        <v>1240</v>
      </c>
      <c r="C531" s="346">
        <v>519</v>
      </c>
      <c r="D531" s="342">
        <v>416626.90099926363</v>
      </c>
    </row>
    <row r="532" spans="1:4" ht="15.95">
      <c r="A532" s="345">
        <v>0.49136541548330703</v>
      </c>
      <c r="B532" s="347" t="s">
        <v>1240</v>
      </c>
      <c r="C532" s="346">
        <v>520</v>
      </c>
      <c r="D532" s="342">
        <v>144153.08811978227</v>
      </c>
    </row>
    <row r="533" spans="1:4" ht="15.95">
      <c r="A533" s="345">
        <v>0.70349398554049947</v>
      </c>
      <c r="B533" s="347" t="s">
        <v>1240</v>
      </c>
      <c r="C533" s="346">
        <v>521</v>
      </c>
      <c r="D533" s="342">
        <v>230541.00380641036</v>
      </c>
    </row>
    <row r="534" spans="1:4" ht="15.95">
      <c r="A534" s="345">
        <v>0.15571894424509658</v>
      </c>
      <c r="B534" s="347" t="s">
        <v>1240</v>
      </c>
      <c r="C534" s="346">
        <v>522</v>
      </c>
      <c r="D534" s="342">
        <v>401735.081698464</v>
      </c>
    </row>
    <row r="535" spans="1:4" ht="15.95">
      <c r="A535" s="345">
        <v>0.18754375641581267</v>
      </c>
      <c r="B535" s="347" t="s">
        <v>1240</v>
      </c>
      <c r="C535" s="346">
        <v>523</v>
      </c>
      <c r="D535" s="342">
        <v>608547.36729554785</v>
      </c>
    </row>
    <row r="536" spans="1:4" ht="15.95">
      <c r="A536" s="345">
        <v>0.23966256384648366</v>
      </c>
      <c r="B536" s="347" t="s">
        <v>1240</v>
      </c>
      <c r="C536" s="346">
        <v>524</v>
      </c>
      <c r="D536" s="342">
        <v>375553.95116301859</v>
      </c>
    </row>
    <row r="537" spans="1:4" ht="15.95">
      <c r="A537" s="345">
        <v>0.77989719527037871</v>
      </c>
      <c r="B537" s="347" t="s">
        <v>1240</v>
      </c>
      <c r="C537" s="346">
        <v>525</v>
      </c>
      <c r="D537" s="342">
        <v>165284.6775179836</v>
      </c>
    </row>
    <row r="538" spans="1:4" ht="15.95">
      <c r="A538" s="345">
        <v>0.45743511493465594</v>
      </c>
      <c r="B538" s="347" t="s">
        <v>1240</v>
      </c>
      <c r="C538" s="346">
        <v>526</v>
      </c>
      <c r="D538" s="342">
        <v>378519.31453204108</v>
      </c>
    </row>
    <row r="539" spans="1:4" ht="15.95">
      <c r="A539" s="345">
        <v>0.2085159124135707</v>
      </c>
      <c r="B539" s="347" t="s">
        <v>1240</v>
      </c>
      <c r="C539" s="346">
        <v>527</v>
      </c>
      <c r="D539" s="342">
        <v>679587.43119043205</v>
      </c>
    </row>
    <row r="540" spans="1:4" ht="15.95">
      <c r="A540" s="345">
        <v>0.30501991060365052</v>
      </c>
      <c r="B540" s="347" t="s">
        <v>1240</v>
      </c>
      <c r="C540" s="346">
        <v>528</v>
      </c>
      <c r="D540" s="342">
        <v>362766.99831127957</v>
      </c>
    </row>
    <row r="541" spans="1:4" ht="15.95">
      <c r="A541" s="345">
        <v>0.75421345708151299</v>
      </c>
      <c r="B541" s="347" t="s">
        <v>1240</v>
      </c>
      <c r="C541" s="346">
        <v>529</v>
      </c>
      <c r="D541" s="342">
        <v>-52677.092587722931</v>
      </c>
    </row>
    <row r="542" spans="1:4" ht="15.95">
      <c r="A542" s="345">
        <v>0.42335837323838577</v>
      </c>
      <c r="B542" s="347" t="s">
        <v>1240</v>
      </c>
      <c r="C542" s="346">
        <v>530</v>
      </c>
      <c r="D542" s="342">
        <v>362106.71389876818</v>
      </c>
    </row>
    <row r="543" spans="1:4" ht="15.95">
      <c r="A543" s="345">
        <v>0.85364537590270562</v>
      </c>
      <c r="B543" s="347" t="s">
        <v>1240</v>
      </c>
      <c r="C543" s="346">
        <v>531</v>
      </c>
      <c r="D543" s="342">
        <v>139992.8847368909</v>
      </c>
    </row>
    <row r="544" spans="1:4" ht="15.95">
      <c r="A544" s="345">
        <v>0.37338786695495518</v>
      </c>
      <c r="B544" s="347" t="s">
        <v>1240</v>
      </c>
      <c r="C544" s="346">
        <v>532</v>
      </c>
      <c r="D544" s="342">
        <v>192255.29928321671</v>
      </c>
    </row>
    <row r="545" spans="1:4" ht="15.95">
      <c r="A545" s="345">
        <v>0.7686389285476809</v>
      </c>
      <c r="B545" s="347" t="s">
        <v>1240</v>
      </c>
      <c r="C545" s="346">
        <v>533</v>
      </c>
      <c r="D545" s="342">
        <v>112723.70561737684</v>
      </c>
    </row>
    <row r="546" spans="1:4" ht="15.95">
      <c r="A546" s="345">
        <v>0.65984323854339078</v>
      </c>
      <c r="B546" s="347" t="s">
        <v>1240</v>
      </c>
      <c r="C546" s="346">
        <v>534</v>
      </c>
      <c r="D546" s="342">
        <v>117038.56157681509</v>
      </c>
    </row>
    <row r="547" spans="1:4" ht="15.95">
      <c r="A547" s="345">
        <v>0.1252010574467084</v>
      </c>
      <c r="B547" s="347" t="s">
        <v>1240</v>
      </c>
      <c r="C547" s="346">
        <v>535</v>
      </c>
      <c r="D547" s="342">
        <v>749962.36332441354</v>
      </c>
    </row>
    <row r="548" spans="1:4" ht="15.95">
      <c r="A548" s="345">
        <v>0.88396593325663586</v>
      </c>
      <c r="B548" s="347" t="s">
        <v>1240</v>
      </c>
      <c r="C548" s="346">
        <v>536</v>
      </c>
      <c r="D548" s="342">
        <v>502904.35878994316</v>
      </c>
    </row>
    <row r="549" spans="1:4" ht="15.95">
      <c r="A549" s="345">
        <v>0.8030615230242566</v>
      </c>
      <c r="B549" s="347" t="s">
        <v>1240</v>
      </c>
      <c r="C549" s="346">
        <v>537</v>
      </c>
      <c r="D549" s="342">
        <v>809741.59721634956</v>
      </c>
    </row>
    <row r="550" spans="1:4" ht="15.95">
      <c r="A550" s="345">
        <v>0.48706353636700184</v>
      </c>
      <c r="B550" s="347" t="s">
        <v>1240</v>
      </c>
      <c r="C550" s="346">
        <v>538</v>
      </c>
      <c r="D550" s="342">
        <v>536904.0367208526</v>
      </c>
    </row>
    <row r="551" spans="1:4" ht="15.95">
      <c r="A551" s="345">
        <v>0.39062092472583509</v>
      </c>
      <c r="B551" s="347" t="s">
        <v>1240</v>
      </c>
      <c r="C551" s="346">
        <v>539</v>
      </c>
      <c r="D551" s="342">
        <v>103734.80341287958</v>
      </c>
    </row>
    <row r="552" spans="1:4" ht="15.95">
      <c r="A552" s="345">
        <v>0.66087617345679794</v>
      </c>
      <c r="B552" s="347" t="s">
        <v>1240</v>
      </c>
      <c r="C552" s="346">
        <v>540</v>
      </c>
      <c r="D552" s="342">
        <v>378162.71705127973</v>
      </c>
    </row>
    <row r="553" spans="1:4" ht="15.95">
      <c r="A553" s="345">
        <v>0.70232509873310822</v>
      </c>
      <c r="B553" s="347" t="s">
        <v>1240</v>
      </c>
      <c r="C553" s="346">
        <v>541</v>
      </c>
      <c r="D553" s="342">
        <v>114733.35963194375</v>
      </c>
    </row>
    <row r="554" spans="1:4" ht="15.95">
      <c r="A554" s="345">
        <v>0.17819363483545747</v>
      </c>
      <c r="B554" s="347" t="s">
        <v>1240</v>
      </c>
      <c r="C554" s="346">
        <v>542</v>
      </c>
      <c r="D554" s="342">
        <v>153089.56696333014</v>
      </c>
    </row>
    <row r="555" spans="1:4" ht="15.95">
      <c r="A555" s="345">
        <v>0.17792420043874912</v>
      </c>
      <c r="B555" s="347" t="s">
        <v>1240</v>
      </c>
      <c r="C555" s="346">
        <v>543</v>
      </c>
      <c r="D555" s="342">
        <v>343024.92992800451</v>
      </c>
    </row>
    <row r="556" spans="1:4" ht="15.95">
      <c r="A556" s="345">
        <v>0.93801170944740553</v>
      </c>
      <c r="B556" s="347" t="s">
        <v>1240</v>
      </c>
      <c r="C556" s="346">
        <v>544</v>
      </c>
      <c r="D556" s="342">
        <v>8164.6203188039362</v>
      </c>
    </row>
    <row r="557" spans="1:4" ht="15.95">
      <c r="A557" s="345">
        <v>0.51687166388207351</v>
      </c>
      <c r="B557" s="347" t="s">
        <v>1240</v>
      </c>
      <c r="C557" s="346">
        <v>545</v>
      </c>
      <c r="D557" s="342">
        <v>178476.85326748039</v>
      </c>
    </row>
    <row r="558" spans="1:4" ht="15.95">
      <c r="A558" s="345">
        <v>0.75091381406474889</v>
      </c>
      <c r="B558" s="347" t="s">
        <v>1240</v>
      </c>
      <c r="C558" s="346">
        <v>546</v>
      </c>
      <c r="D558" s="342">
        <v>344201.57087778533</v>
      </c>
    </row>
    <row r="559" spans="1:4" ht="15.95">
      <c r="A559" s="345">
        <v>0.36882411595663722</v>
      </c>
      <c r="B559" s="347" t="s">
        <v>1240</v>
      </c>
      <c r="C559" s="346">
        <v>547</v>
      </c>
      <c r="D559" s="342">
        <v>23078.103972553508</v>
      </c>
    </row>
    <row r="560" spans="1:4" ht="15.95">
      <c r="A560" s="345">
        <v>0.34879820949368456</v>
      </c>
      <c r="B560" s="347" t="s">
        <v>1240</v>
      </c>
      <c r="C560" s="346">
        <v>548</v>
      </c>
      <c r="D560" s="342">
        <v>148552.5197422218</v>
      </c>
    </row>
    <row r="561" spans="1:4" ht="15.95">
      <c r="A561" s="345">
        <v>0.91187264956951197</v>
      </c>
      <c r="B561" s="347" t="s">
        <v>1240</v>
      </c>
      <c r="C561" s="346">
        <v>549</v>
      </c>
      <c r="D561" s="342">
        <v>752731.79087063204</v>
      </c>
    </row>
    <row r="562" spans="1:4" ht="15.95">
      <c r="A562" s="345">
        <v>0.16687754165133506</v>
      </c>
      <c r="B562" s="347" t="s">
        <v>1240</v>
      </c>
      <c r="C562" s="346">
        <v>550</v>
      </c>
      <c r="D562" s="342">
        <v>390530.53112960304</v>
      </c>
    </row>
    <row r="563" spans="1:4" ht="15.95">
      <c r="A563" s="345">
        <v>0.33454441467986107</v>
      </c>
      <c r="B563" s="347" t="s">
        <v>1240</v>
      </c>
      <c r="C563" s="346">
        <v>551</v>
      </c>
      <c r="D563" s="342">
        <v>430252.8088810367</v>
      </c>
    </row>
    <row r="564" spans="1:4" ht="15.95">
      <c r="A564" s="345">
        <v>0.99662371725116039</v>
      </c>
      <c r="B564" s="347" t="s">
        <v>1240</v>
      </c>
      <c r="C564" s="346">
        <v>552</v>
      </c>
      <c r="D564" s="342">
        <v>148074.27516878303</v>
      </c>
    </row>
    <row r="565" spans="1:4" ht="15.95">
      <c r="A565" s="345">
        <v>0.35752238354475185</v>
      </c>
      <c r="B565" s="347" t="s">
        <v>1240</v>
      </c>
      <c r="C565" s="346">
        <v>553</v>
      </c>
      <c r="D565" s="342">
        <v>296235.55772711523</v>
      </c>
    </row>
    <row r="566" spans="1:4" ht="15.95">
      <c r="A566" s="345">
        <v>0.34941425133718684</v>
      </c>
      <c r="B566" s="347" t="s">
        <v>1240</v>
      </c>
      <c r="C566" s="346">
        <v>554</v>
      </c>
      <c r="D566" s="342">
        <v>823707.94399369857</v>
      </c>
    </row>
    <row r="567" spans="1:4" ht="15.95">
      <c r="A567" s="345">
        <v>6.5974151973191342E-2</v>
      </c>
      <c r="B567" s="347" t="s">
        <v>1240</v>
      </c>
      <c r="C567" s="346">
        <v>555</v>
      </c>
      <c r="D567" s="342">
        <v>520080.45275641955</v>
      </c>
    </row>
    <row r="568" spans="1:4" ht="15.95">
      <c r="A568" s="345">
        <v>0.82968914491241053</v>
      </c>
      <c r="B568" s="347" t="s">
        <v>1240</v>
      </c>
      <c r="C568" s="346">
        <v>556</v>
      </c>
      <c r="D568" s="342">
        <v>470099.35641163029</v>
      </c>
    </row>
    <row r="569" spans="1:4" ht="15.95">
      <c r="A569" s="345">
        <v>0.94553350833439143</v>
      </c>
      <c r="B569" s="347" t="s">
        <v>1240</v>
      </c>
      <c r="C569" s="346">
        <v>557</v>
      </c>
      <c r="D569" s="342">
        <v>117346.55997389043</v>
      </c>
    </row>
    <row r="570" spans="1:4" ht="15.95">
      <c r="A570" s="345">
        <v>0.69706863774777816</v>
      </c>
      <c r="B570" s="347" t="s">
        <v>1240</v>
      </c>
      <c r="C570" s="346">
        <v>558</v>
      </c>
      <c r="D570" s="342">
        <v>653679.36701400881</v>
      </c>
    </row>
    <row r="571" spans="1:4" ht="15.95">
      <c r="A571" s="345">
        <v>0.98429307398531884</v>
      </c>
      <c r="B571" s="347" t="s">
        <v>1240</v>
      </c>
      <c r="C571" s="346">
        <v>559</v>
      </c>
      <c r="D571" s="342">
        <v>370038.33963760384</v>
      </c>
    </row>
    <row r="572" spans="1:4" ht="15.95">
      <c r="A572" s="345">
        <v>0.94383026654078472</v>
      </c>
      <c r="B572" s="347" t="s">
        <v>1240</v>
      </c>
      <c r="C572" s="346">
        <v>560</v>
      </c>
      <c r="D572" s="342">
        <v>361828.86253585201</v>
      </c>
    </row>
    <row r="573" spans="1:4" ht="15.95">
      <c r="A573" s="345">
        <v>9.1327343763303204E-2</v>
      </c>
      <c r="B573" s="347" t="s">
        <v>1240</v>
      </c>
      <c r="C573" s="346">
        <v>561</v>
      </c>
      <c r="D573" s="342">
        <v>296241.6500935962</v>
      </c>
    </row>
    <row r="574" spans="1:4" ht="15.95">
      <c r="A574" s="345">
        <v>0.21447216235924405</v>
      </c>
      <c r="B574" s="347" t="s">
        <v>1240</v>
      </c>
      <c r="C574" s="346">
        <v>562</v>
      </c>
      <c r="D574" s="342">
        <v>385699.00626007863</v>
      </c>
    </row>
    <row r="575" spans="1:4" ht="15.95">
      <c r="A575" s="345">
        <v>0.17224365125333263</v>
      </c>
      <c r="B575" s="347" t="s">
        <v>1240</v>
      </c>
      <c r="C575" s="346">
        <v>563</v>
      </c>
      <c r="D575" s="342">
        <v>85650.844728816533</v>
      </c>
    </row>
    <row r="576" spans="1:4" ht="15.95">
      <c r="A576" s="345">
        <v>0.38472857712352815</v>
      </c>
      <c r="B576" s="347" t="s">
        <v>1240</v>
      </c>
      <c r="C576" s="346">
        <v>564</v>
      </c>
      <c r="D576" s="342">
        <v>374149.6636489029</v>
      </c>
    </row>
    <row r="577" spans="1:4" ht="15.95">
      <c r="A577" s="345">
        <v>0.63794576826899996</v>
      </c>
      <c r="B577" s="347" t="s">
        <v>1240</v>
      </c>
      <c r="C577" s="346">
        <v>565</v>
      </c>
      <c r="D577" s="342">
        <v>288176.49072905141</v>
      </c>
    </row>
    <row r="578" spans="1:4" ht="15.95">
      <c r="A578" s="345">
        <v>0.91070204154701984</v>
      </c>
      <c r="B578" s="347" t="s">
        <v>1240</v>
      </c>
      <c r="C578" s="346">
        <v>566</v>
      </c>
      <c r="D578" s="342">
        <v>263702.09082503803</v>
      </c>
    </row>
    <row r="579" spans="1:4" ht="15.95">
      <c r="A579" s="345">
        <v>0.99858200427713395</v>
      </c>
      <c r="B579" s="347" t="s">
        <v>1240</v>
      </c>
      <c r="C579" s="346">
        <v>567</v>
      </c>
      <c r="D579" s="342">
        <v>457175.62704176712</v>
      </c>
    </row>
    <row r="580" spans="1:4" ht="15.95">
      <c r="A580" s="345">
        <v>0.92571625512109679</v>
      </c>
      <c r="B580" s="347" t="s">
        <v>1240</v>
      </c>
      <c r="C580" s="346">
        <v>568</v>
      </c>
      <c r="D580" s="342">
        <v>467414.47209896124</v>
      </c>
    </row>
    <row r="581" spans="1:4" ht="15.95">
      <c r="A581" s="345">
        <v>0.36746180162099396</v>
      </c>
      <c r="B581" s="347" t="s">
        <v>1240</v>
      </c>
      <c r="C581" s="346">
        <v>569</v>
      </c>
      <c r="D581" s="342">
        <v>192029.9075501652</v>
      </c>
    </row>
    <row r="582" spans="1:4" ht="15.95">
      <c r="A582" s="345">
        <v>0.42945100419336057</v>
      </c>
      <c r="B582" s="347" t="s">
        <v>1240</v>
      </c>
      <c r="C582" s="346">
        <v>570</v>
      </c>
      <c r="D582" s="342">
        <v>615066.66074716114</v>
      </c>
    </row>
    <row r="583" spans="1:4" ht="15.95">
      <c r="A583" s="345">
        <v>0.43156714814696706</v>
      </c>
      <c r="B583" s="347" t="s">
        <v>1240</v>
      </c>
      <c r="C583" s="346">
        <v>571</v>
      </c>
      <c r="D583" s="342">
        <v>510722.83928105747</v>
      </c>
    </row>
    <row r="584" spans="1:4" ht="15.95">
      <c r="A584" s="345">
        <v>0.63145379564150317</v>
      </c>
      <c r="B584" s="347" t="s">
        <v>1240</v>
      </c>
      <c r="C584" s="346">
        <v>572</v>
      </c>
      <c r="D584" s="342">
        <v>452418.46908525098</v>
      </c>
    </row>
    <row r="585" spans="1:4" ht="15.95">
      <c r="A585" s="345">
        <v>0.91036485800650613</v>
      </c>
      <c r="B585" s="347" t="s">
        <v>1240</v>
      </c>
      <c r="C585" s="346">
        <v>573</v>
      </c>
      <c r="D585" s="342">
        <v>681280.70915365405</v>
      </c>
    </row>
    <row r="586" spans="1:4" ht="15.95">
      <c r="A586" s="345">
        <v>7.2729442014020207E-2</v>
      </c>
      <c r="B586" s="347" t="s">
        <v>1240</v>
      </c>
      <c r="C586" s="346">
        <v>574</v>
      </c>
      <c r="D586" s="342">
        <v>19626.626825598069</v>
      </c>
    </row>
    <row r="587" spans="1:4" ht="15.95">
      <c r="A587" s="345">
        <v>0.84282227326343018</v>
      </c>
      <c r="B587" s="347" t="s">
        <v>1240</v>
      </c>
      <c r="C587" s="346">
        <v>575</v>
      </c>
      <c r="D587" s="342">
        <v>157431.62719193008</v>
      </c>
    </row>
    <row r="588" spans="1:4" ht="15.95">
      <c r="A588" s="345">
        <v>0.89791116914987756</v>
      </c>
      <c r="B588" s="347" t="s">
        <v>1240</v>
      </c>
      <c r="C588" s="346">
        <v>576</v>
      </c>
      <c r="D588" s="342">
        <v>787989.03031966812</v>
      </c>
    </row>
    <row r="589" spans="1:4" ht="15.95">
      <c r="A589" s="345">
        <v>0.47011060348675215</v>
      </c>
      <c r="B589" s="347" t="s">
        <v>1240</v>
      </c>
      <c r="C589" s="346">
        <v>577</v>
      </c>
      <c r="D589" s="342">
        <v>483641.98575154552</v>
      </c>
    </row>
    <row r="590" spans="1:4" ht="15.95">
      <c r="A590" s="345">
        <v>0.33300085929297329</v>
      </c>
      <c r="B590" s="347" t="s">
        <v>1240</v>
      </c>
      <c r="C590" s="346">
        <v>578</v>
      </c>
      <c r="D590" s="342">
        <v>261810.89548447053</v>
      </c>
    </row>
    <row r="591" spans="1:4" ht="15.95">
      <c r="A591" s="345">
        <v>0.98420609844161855</v>
      </c>
      <c r="B591" s="347" t="s">
        <v>1240</v>
      </c>
      <c r="C591" s="346">
        <v>579</v>
      </c>
      <c r="D591" s="342">
        <v>-21975.259063879726</v>
      </c>
    </row>
    <row r="592" spans="1:4" ht="15.95">
      <c r="A592" s="345">
        <v>0.8899264101688189</v>
      </c>
      <c r="B592" s="347" t="s">
        <v>1240</v>
      </c>
      <c r="C592" s="346">
        <v>580</v>
      </c>
      <c r="D592" s="342">
        <v>553833.64089122089</v>
      </c>
    </row>
    <row r="593" spans="1:4" ht="15.95">
      <c r="A593" s="345">
        <v>0.46911215581718035</v>
      </c>
      <c r="B593" s="347" t="s">
        <v>1240</v>
      </c>
      <c r="C593" s="346">
        <v>581</v>
      </c>
      <c r="D593" s="342">
        <v>112344.86399528664</v>
      </c>
    </row>
    <row r="594" spans="1:4" ht="15.95">
      <c r="A594" s="345">
        <v>0.25664097485347503</v>
      </c>
      <c r="B594" s="347" t="s">
        <v>1240</v>
      </c>
      <c r="C594" s="346">
        <v>582</v>
      </c>
      <c r="D594" s="342">
        <v>397209.31295265583</v>
      </c>
    </row>
    <row r="595" spans="1:4" ht="15.95">
      <c r="A595" s="345">
        <v>0.13178530372633357</v>
      </c>
      <c r="B595" s="347" t="s">
        <v>1240</v>
      </c>
      <c r="C595" s="346">
        <v>583</v>
      </c>
      <c r="D595" s="342">
        <v>353897.49248179328</v>
      </c>
    </row>
    <row r="596" spans="1:4" ht="15.95">
      <c r="A596" s="345">
        <v>0.72906433477286003</v>
      </c>
      <c r="B596" s="347" t="s">
        <v>1240</v>
      </c>
      <c r="C596" s="346">
        <v>584</v>
      </c>
      <c r="D596" s="342">
        <v>81764.27993682283</v>
      </c>
    </row>
    <row r="597" spans="1:4" ht="15.95">
      <c r="A597" s="345">
        <v>0.43187011588601998</v>
      </c>
      <c r="B597" s="347" t="s">
        <v>1240</v>
      </c>
      <c r="C597" s="346">
        <v>585</v>
      </c>
      <c r="D597" s="342">
        <v>338201.82567941444</v>
      </c>
    </row>
    <row r="598" spans="1:4" ht="15.95">
      <c r="A598" s="345">
        <v>0.18357925774536721</v>
      </c>
      <c r="B598" s="347" t="s">
        <v>1240</v>
      </c>
      <c r="C598" s="346">
        <v>586</v>
      </c>
      <c r="D598" s="342">
        <v>716572.9878213862</v>
      </c>
    </row>
    <row r="599" spans="1:4" ht="15.95">
      <c r="A599" s="345">
        <v>0.19799044092515272</v>
      </c>
      <c r="B599" s="347" t="s">
        <v>1240</v>
      </c>
      <c r="C599" s="346">
        <v>587</v>
      </c>
      <c r="D599" s="342">
        <v>595295.54149351153</v>
      </c>
    </row>
    <row r="600" spans="1:4" ht="15.95">
      <c r="A600" s="345">
        <v>0.37249987569979714</v>
      </c>
      <c r="B600" s="347" t="s">
        <v>1240</v>
      </c>
      <c r="C600" s="346">
        <v>588</v>
      </c>
      <c r="D600" s="342">
        <v>21450.952678238042</v>
      </c>
    </row>
    <row r="601" spans="1:4" ht="15.95">
      <c r="A601" s="345">
        <v>1.611820459245239E-4</v>
      </c>
      <c r="B601" s="347" t="s">
        <v>1240</v>
      </c>
      <c r="C601" s="346">
        <v>589</v>
      </c>
      <c r="D601" s="342">
        <v>387405.03788704402</v>
      </c>
    </row>
    <row r="602" spans="1:4" ht="15.95">
      <c r="A602" s="345">
        <v>0.29306833779744135</v>
      </c>
      <c r="B602" s="347" t="s">
        <v>1240</v>
      </c>
      <c r="C602" s="346">
        <v>590</v>
      </c>
      <c r="D602" s="342">
        <v>404531.59617118072</v>
      </c>
    </row>
    <row r="603" spans="1:4" ht="15.95">
      <c r="A603" s="345">
        <v>0.85692516715271116</v>
      </c>
      <c r="B603" s="347" t="s">
        <v>1240</v>
      </c>
      <c r="C603" s="346">
        <v>591</v>
      </c>
      <c r="D603" s="342">
        <v>238408.23595953872</v>
      </c>
    </row>
    <row r="604" spans="1:4" ht="15.95">
      <c r="A604" s="345">
        <v>0.18977639550518122</v>
      </c>
      <c r="B604" s="347" t="s">
        <v>1240</v>
      </c>
      <c r="C604" s="346">
        <v>592</v>
      </c>
      <c r="D604" s="342">
        <v>239202.35720916488</v>
      </c>
    </row>
    <row r="605" spans="1:4" ht="15.95">
      <c r="A605" s="345">
        <v>0.36012232052949478</v>
      </c>
      <c r="B605" s="347" t="s">
        <v>1240</v>
      </c>
      <c r="C605" s="346">
        <v>593</v>
      </c>
      <c r="D605" s="342">
        <v>440237.22619477101</v>
      </c>
    </row>
    <row r="606" spans="1:4" ht="15.95">
      <c r="A606" s="345">
        <v>0.1243737151866009</v>
      </c>
      <c r="B606" s="347" t="s">
        <v>1240</v>
      </c>
      <c r="C606" s="346">
        <v>594</v>
      </c>
      <c r="D606" s="342">
        <v>461418.40587422834</v>
      </c>
    </row>
    <row r="607" spans="1:4" ht="15.95">
      <c r="A607" s="345">
        <v>0.16939782577633089</v>
      </c>
      <c r="B607" s="347" t="s">
        <v>1240</v>
      </c>
      <c r="C607" s="346">
        <v>595</v>
      </c>
      <c r="D607" s="342">
        <v>340584.28189164586</v>
      </c>
    </row>
    <row r="608" spans="1:4" ht="15.95">
      <c r="A608" s="345">
        <v>0.36934235177515229</v>
      </c>
      <c r="B608" s="347" t="s">
        <v>1240</v>
      </c>
      <c r="C608" s="346">
        <v>596</v>
      </c>
      <c r="D608" s="342">
        <v>307173.56859156815</v>
      </c>
    </row>
    <row r="609" spans="1:4" ht="15.95">
      <c r="A609" s="345">
        <v>1.0101706613405814E-2</v>
      </c>
      <c r="B609" s="347" t="s">
        <v>1240</v>
      </c>
      <c r="C609" s="346">
        <v>597</v>
      </c>
      <c r="D609" s="342">
        <v>366943.37857350358</v>
      </c>
    </row>
    <row r="610" spans="1:4" ht="15.95">
      <c r="A610" s="345">
        <v>0.34514241553995517</v>
      </c>
      <c r="B610" s="347" t="s">
        <v>1240</v>
      </c>
      <c r="C610" s="346">
        <v>598</v>
      </c>
      <c r="D610" s="342">
        <v>106510.40991904866</v>
      </c>
    </row>
    <row r="611" spans="1:4" ht="15.95">
      <c r="A611" s="345">
        <v>0.49211886963140394</v>
      </c>
      <c r="B611" s="347" t="s">
        <v>1240</v>
      </c>
      <c r="C611" s="346">
        <v>599</v>
      </c>
      <c r="D611" s="342">
        <v>458560.79590532091</v>
      </c>
    </row>
    <row r="612" spans="1:4" ht="15.95">
      <c r="A612" s="345">
        <v>0.9170419698836223</v>
      </c>
      <c r="B612" s="347" t="s">
        <v>1240</v>
      </c>
      <c r="C612" s="346">
        <v>600</v>
      </c>
      <c r="D612" s="342">
        <v>294515.84546647826</v>
      </c>
    </row>
    <row r="613" spans="1:4" ht="15.95">
      <c r="A613" s="345">
        <v>0.9737249098105567</v>
      </c>
      <c r="B613" s="347" t="s">
        <v>1240</v>
      </c>
      <c r="C613" s="346">
        <v>601</v>
      </c>
      <c r="D613" s="342">
        <v>566647.55173451593</v>
      </c>
    </row>
    <row r="614" spans="1:4" ht="15.95">
      <c r="A614" s="345">
        <v>0.27720267164363288</v>
      </c>
      <c r="B614" s="347" t="s">
        <v>1240</v>
      </c>
      <c r="C614" s="346">
        <v>602</v>
      </c>
      <c r="D614" s="342">
        <v>242013.56190033979</v>
      </c>
    </row>
    <row r="615" spans="1:4" ht="15.95">
      <c r="A615" s="345">
        <v>0.93294237567285332</v>
      </c>
      <c r="B615" s="347" t="s">
        <v>1240</v>
      </c>
      <c r="C615" s="346">
        <v>603</v>
      </c>
      <c r="D615" s="342">
        <v>783966.23640618729</v>
      </c>
    </row>
    <row r="616" spans="1:4" ht="15.95">
      <c r="A616" s="345">
        <v>0.61634800059870909</v>
      </c>
      <c r="B616" s="347" t="s">
        <v>1240</v>
      </c>
      <c r="C616" s="346">
        <v>604</v>
      </c>
      <c r="D616" s="342">
        <v>179005.59650406521</v>
      </c>
    </row>
    <row r="617" spans="1:4" ht="15.95">
      <c r="A617" s="345">
        <v>0.32452871618567025</v>
      </c>
      <c r="B617" s="347" t="s">
        <v>1240</v>
      </c>
      <c r="C617" s="346">
        <v>605</v>
      </c>
      <c r="D617" s="342">
        <v>127818.05805764138</v>
      </c>
    </row>
    <row r="618" spans="1:4" ht="15.95">
      <c r="A618" s="345">
        <v>0.77217416541382167</v>
      </c>
      <c r="B618" s="347" t="s">
        <v>1240</v>
      </c>
      <c r="C618" s="346">
        <v>606</v>
      </c>
      <c r="D618" s="342">
        <v>336653.40482207411</v>
      </c>
    </row>
    <row r="619" spans="1:4" ht="15.95">
      <c r="A619" s="345">
        <v>0.42051929214643646</v>
      </c>
      <c r="B619" s="347" t="s">
        <v>1240</v>
      </c>
      <c r="C619" s="346">
        <v>607</v>
      </c>
      <c r="D619" s="342">
        <v>435832.51060252055</v>
      </c>
    </row>
    <row r="620" spans="1:4" ht="15.95">
      <c r="A620" s="345">
        <v>0.48217695232516633</v>
      </c>
      <c r="B620" s="347" t="s">
        <v>1240</v>
      </c>
      <c r="C620" s="346">
        <v>608</v>
      </c>
      <c r="D620" s="342">
        <v>353229.48692084127</v>
      </c>
    </row>
    <row r="621" spans="1:4" ht="15.95">
      <c r="A621" s="345">
        <v>0.54137687799986445</v>
      </c>
      <c r="B621" s="347" t="s">
        <v>1240</v>
      </c>
      <c r="C621" s="346">
        <v>609</v>
      </c>
      <c r="D621" s="342">
        <v>176635.95567009668</v>
      </c>
    </row>
    <row r="622" spans="1:4" ht="15.95">
      <c r="A622" s="345">
        <v>0.91660123740650579</v>
      </c>
      <c r="B622" s="347" t="s">
        <v>1240</v>
      </c>
      <c r="C622" s="346">
        <v>610</v>
      </c>
      <c r="D622" s="342">
        <v>317869.57321812375</v>
      </c>
    </row>
    <row r="623" spans="1:4" ht="15.95">
      <c r="A623" s="345">
        <v>0.32555417718086832</v>
      </c>
      <c r="B623" s="347" t="s">
        <v>1240</v>
      </c>
      <c r="C623" s="346">
        <v>611</v>
      </c>
      <c r="D623" s="342">
        <v>240988.84045636421</v>
      </c>
    </row>
    <row r="624" spans="1:4" ht="15.95">
      <c r="A624" s="345">
        <v>0.91134984025141486</v>
      </c>
      <c r="B624" s="347" t="s">
        <v>1240</v>
      </c>
      <c r="C624" s="346">
        <v>612</v>
      </c>
      <c r="D624" s="342">
        <v>146383.65020379378</v>
      </c>
    </row>
    <row r="625" spans="1:4" ht="15.95">
      <c r="A625" s="345">
        <v>0.66017568431565421</v>
      </c>
      <c r="B625" s="347" t="s">
        <v>1240</v>
      </c>
      <c r="C625" s="346">
        <v>613</v>
      </c>
      <c r="D625" s="342">
        <v>145661.62393212202</v>
      </c>
    </row>
    <row r="626" spans="1:4" ht="15.95">
      <c r="A626" s="345">
        <v>3.0646301859683867E-2</v>
      </c>
      <c r="B626" s="347" t="s">
        <v>1240</v>
      </c>
      <c r="C626" s="346">
        <v>614</v>
      </c>
      <c r="D626" s="342">
        <v>341906.69234143919</v>
      </c>
    </row>
    <row r="627" spans="1:4" ht="15.95">
      <c r="A627" s="345">
        <v>0.53289597542986711</v>
      </c>
      <c r="B627" s="347" t="s">
        <v>1240</v>
      </c>
      <c r="C627" s="346">
        <v>615</v>
      </c>
      <c r="D627" s="342">
        <v>528020.47644166625</v>
      </c>
    </row>
    <row r="628" spans="1:4" ht="15.95">
      <c r="A628" s="345">
        <v>0.51734419963930511</v>
      </c>
      <c r="B628" s="347" t="s">
        <v>1240</v>
      </c>
      <c r="C628" s="346">
        <v>616</v>
      </c>
      <c r="D628" s="342">
        <v>426180.66663153702</v>
      </c>
    </row>
    <row r="629" spans="1:4" ht="15.95">
      <c r="A629" s="345">
        <v>0.19155255440446262</v>
      </c>
      <c r="B629" s="347" t="s">
        <v>1240</v>
      </c>
      <c r="C629" s="346">
        <v>617</v>
      </c>
      <c r="D629" s="342">
        <v>199088.42642719042</v>
      </c>
    </row>
    <row r="630" spans="1:4" ht="15.95">
      <c r="A630" s="345">
        <v>0.98964387503904594</v>
      </c>
      <c r="B630" s="347" t="s">
        <v>1240</v>
      </c>
      <c r="C630" s="346">
        <v>618</v>
      </c>
      <c r="D630" s="342">
        <v>231180.18862330355</v>
      </c>
    </row>
    <row r="631" spans="1:4" ht="15.95">
      <c r="A631" s="345">
        <v>0.39323424895114534</v>
      </c>
      <c r="B631" s="347" t="s">
        <v>1240</v>
      </c>
      <c r="C631" s="346">
        <v>619</v>
      </c>
      <c r="D631" s="342">
        <v>471832.89877204341</v>
      </c>
    </row>
    <row r="632" spans="1:4" ht="15.95">
      <c r="A632" s="345">
        <v>0.20306706479205838</v>
      </c>
      <c r="B632" s="347" t="s">
        <v>1240</v>
      </c>
      <c r="C632" s="346">
        <v>620</v>
      </c>
      <c r="D632" s="342">
        <v>399261.36253244802</v>
      </c>
    </row>
    <row r="633" spans="1:4" ht="15.95">
      <c r="A633" s="345">
        <v>0.79452249554269461</v>
      </c>
      <c r="B633" s="347" t="s">
        <v>1240</v>
      </c>
      <c r="C633" s="346">
        <v>621</v>
      </c>
      <c r="D633" s="342">
        <v>90951.124708804069</v>
      </c>
    </row>
    <row r="634" spans="1:4" ht="15.95">
      <c r="A634" s="345">
        <v>0.278516555785984</v>
      </c>
      <c r="B634" s="347" t="s">
        <v>1240</v>
      </c>
      <c r="C634" s="346">
        <v>622</v>
      </c>
      <c r="D634" s="342">
        <v>239617.45706765121</v>
      </c>
    </row>
    <row r="635" spans="1:4" ht="15.95">
      <c r="A635" s="345">
        <v>0.98513958996941897</v>
      </c>
      <c r="B635" s="347" t="s">
        <v>1240</v>
      </c>
      <c r="C635" s="346">
        <v>623</v>
      </c>
      <c r="D635" s="342">
        <v>172931.00108555797</v>
      </c>
    </row>
    <row r="636" spans="1:4" ht="15.95">
      <c r="A636" s="345">
        <v>0.31537360069077081</v>
      </c>
      <c r="B636" s="347" t="s">
        <v>1240</v>
      </c>
      <c r="C636" s="346">
        <v>624</v>
      </c>
      <c r="D636" s="342">
        <v>109080.04482924961</v>
      </c>
    </row>
    <row r="637" spans="1:4" ht="15.95">
      <c r="A637" s="345">
        <v>0.65939920732152613</v>
      </c>
      <c r="B637" s="347" t="s">
        <v>1240</v>
      </c>
      <c r="C637" s="346">
        <v>625</v>
      </c>
      <c r="D637" s="342">
        <v>78389.56009864877</v>
      </c>
    </row>
    <row r="638" spans="1:4" ht="15.95">
      <c r="A638" s="345">
        <v>2.9379764671261577E-2</v>
      </c>
      <c r="B638" s="347" t="s">
        <v>1240</v>
      </c>
      <c r="C638" s="346">
        <v>626</v>
      </c>
      <c r="D638" s="342">
        <v>178955.16575021832</v>
      </c>
    </row>
    <row r="639" spans="1:4" ht="15.95">
      <c r="A639" s="345">
        <v>0.47168085732618592</v>
      </c>
      <c r="B639" s="347" t="s">
        <v>1240</v>
      </c>
      <c r="C639" s="346">
        <v>627</v>
      </c>
      <c r="D639" s="342">
        <v>346131.87588381837</v>
      </c>
    </row>
    <row r="640" spans="1:4" ht="15.95">
      <c r="A640" s="345">
        <v>0.20694337511491268</v>
      </c>
      <c r="B640" s="347" t="s">
        <v>1240</v>
      </c>
      <c r="C640" s="346">
        <v>628</v>
      </c>
      <c r="D640" s="342">
        <v>595323.46513839695</v>
      </c>
    </row>
    <row r="641" spans="1:4" ht="15.95">
      <c r="A641" s="345">
        <v>0.47900825651227874</v>
      </c>
      <c r="B641" s="347" t="s">
        <v>1240</v>
      </c>
      <c r="C641" s="346">
        <v>629</v>
      </c>
      <c r="D641" s="342">
        <v>197429.55818678089</v>
      </c>
    </row>
    <row r="642" spans="1:4" ht="15.95">
      <c r="A642" s="345">
        <v>0.31064792237554639</v>
      </c>
      <c r="B642" s="347" t="s">
        <v>1240</v>
      </c>
      <c r="C642" s="346">
        <v>630</v>
      </c>
      <c r="D642" s="342">
        <v>33477.803755708504</v>
      </c>
    </row>
    <row r="643" spans="1:4" ht="15.95">
      <c r="A643" s="345">
        <v>0.37493297861349217</v>
      </c>
      <c r="B643" s="347" t="s">
        <v>1240</v>
      </c>
      <c r="C643" s="346">
        <v>631</v>
      </c>
      <c r="D643" s="342">
        <v>162472.72061587218</v>
      </c>
    </row>
    <row r="644" spans="1:4" ht="15.95">
      <c r="A644" s="345">
        <v>0.41387272044057688</v>
      </c>
      <c r="B644" s="347" t="s">
        <v>1240</v>
      </c>
      <c r="C644" s="346">
        <v>632</v>
      </c>
      <c r="D644" s="342">
        <v>243550.11023422633</v>
      </c>
    </row>
    <row r="645" spans="1:4" ht="15.95">
      <c r="A645" s="345">
        <v>0.90250651159393103</v>
      </c>
      <c r="B645" s="347" t="s">
        <v>1240</v>
      </c>
      <c r="C645" s="346">
        <v>633</v>
      </c>
      <c r="D645" s="342">
        <v>543784.44906206848</v>
      </c>
    </row>
    <row r="646" spans="1:4" ht="15.95">
      <c r="A646" s="345">
        <v>0.28498589743768665</v>
      </c>
      <c r="B646" s="347" t="s">
        <v>1240</v>
      </c>
      <c r="C646" s="346">
        <v>634</v>
      </c>
      <c r="D646" s="342">
        <v>600536.81167653296</v>
      </c>
    </row>
    <row r="647" spans="1:4" ht="15.95">
      <c r="A647" s="345">
        <v>0.80430013837121428</v>
      </c>
      <c r="B647" s="347" t="s">
        <v>1240</v>
      </c>
      <c r="C647" s="346">
        <v>635</v>
      </c>
      <c r="D647" s="342">
        <v>382536.45826070197</v>
      </c>
    </row>
    <row r="648" spans="1:4" ht="15.95">
      <c r="A648" s="345">
        <v>0.81556117864695943</v>
      </c>
      <c r="B648" s="347" t="s">
        <v>1240</v>
      </c>
      <c r="C648" s="346">
        <v>636</v>
      </c>
      <c r="D648" s="342">
        <v>790830.04153985786</v>
      </c>
    </row>
    <row r="649" spans="1:4" ht="15.95">
      <c r="A649" s="345">
        <v>0.15424436922754325</v>
      </c>
      <c r="B649" s="347" t="s">
        <v>1240</v>
      </c>
      <c r="C649" s="346">
        <v>637</v>
      </c>
      <c r="D649" s="342">
        <v>571509.49847191665</v>
      </c>
    </row>
    <row r="650" spans="1:4" ht="15.95">
      <c r="A650" s="345">
        <v>0.36507458197157328</v>
      </c>
      <c r="B650" s="347" t="s">
        <v>1240</v>
      </c>
      <c r="C650" s="346">
        <v>638</v>
      </c>
      <c r="D650" s="342">
        <v>22780.806246181019</v>
      </c>
    </row>
    <row r="651" spans="1:4" ht="15.95">
      <c r="A651" s="345">
        <v>0.48653851260875192</v>
      </c>
      <c r="B651" s="347" t="s">
        <v>1240</v>
      </c>
      <c r="C651" s="346">
        <v>639</v>
      </c>
      <c r="D651" s="342">
        <v>420801.31686331658</v>
      </c>
    </row>
    <row r="652" spans="1:4" ht="15.95">
      <c r="A652" s="345">
        <v>0.66865255411449764</v>
      </c>
      <c r="B652" s="347" t="s">
        <v>1240</v>
      </c>
      <c r="C652" s="346">
        <v>640</v>
      </c>
      <c r="D652" s="342">
        <v>206628.30732367653</v>
      </c>
    </row>
    <row r="653" spans="1:4" ht="15.95">
      <c r="A653" s="345">
        <v>0.55788968830554053</v>
      </c>
      <c r="B653" s="347" t="s">
        <v>1240</v>
      </c>
      <c r="C653" s="346">
        <v>641</v>
      </c>
      <c r="D653" s="342">
        <v>38093.917563041905</v>
      </c>
    </row>
    <row r="654" spans="1:4" ht="15.95">
      <c r="A654" s="345">
        <v>0.79235336821933744</v>
      </c>
      <c r="B654" s="347" t="s">
        <v>1240</v>
      </c>
      <c r="C654" s="346">
        <v>642</v>
      </c>
      <c r="D654" s="342">
        <v>274842.80347847706</v>
      </c>
    </row>
    <row r="655" spans="1:4" ht="15.95">
      <c r="A655" s="345">
        <v>0.19426513928980937</v>
      </c>
      <c r="B655" s="347" t="s">
        <v>1240</v>
      </c>
      <c r="C655" s="346">
        <v>643</v>
      </c>
      <c r="D655" s="342">
        <v>136145.67493867502</v>
      </c>
    </row>
    <row r="656" spans="1:4" ht="15.95">
      <c r="A656" s="345">
        <v>0.77407174120130662</v>
      </c>
      <c r="B656" s="347" t="s">
        <v>1240</v>
      </c>
      <c r="C656" s="346">
        <v>644</v>
      </c>
      <c r="D656" s="342">
        <v>310417.43784772651</v>
      </c>
    </row>
    <row r="657" spans="1:4" ht="15.95">
      <c r="A657" s="345">
        <v>0.58027480520809771</v>
      </c>
      <c r="B657" s="347" t="s">
        <v>1240</v>
      </c>
      <c r="C657" s="346">
        <v>645</v>
      </c>
      <c r="D657" s="342">
        <v>385496.38578389655</v>
      </c>
    </row>
    <row r="658" spans="1:4" ht="15.95">
      <c r="A658" s="345">
        <v>0.35651292302830073</v>
      </c>
      <c r="B658" s="347" t="s">
        <v>1240</v>
      </c>
      <c r="C658" s="346">
        <v>646</v>
      </c>
      <c r="D658" s="342">
        <v>226273.64007413411</v>
      </c>
    </row>
    <row r="659" spans="1:4" ht="15.95">
      <c r="A659" s="345">
        <v>0.41899992507998207</v>
      </c>
      <c r="B659" s="347" t="s">
        <v>1240</v>
      </c>
      <c r="C659" s="346">
        <v>647</v>
      </c>
      <c r="D659" s="342">
        <v>639288.83526507951</v>
      </c>
    </row>
    <row r="660" spans="1:4" ht="15.95">
      <c r="A660" s="345">
        <v>0.9007122151833864</v>
      </c>
      <c r="B660" s="347" t="s">
        <v>1240</v>
      </c>
      <c r="C660" s="346">
        <v>648</v>
      </c>
      <c r="D660" s="342">
        <v>131882.76184529043</v>
      </c>
    </row>
    <row r="661" spans="1:4" ht="15.95">
      <c r="A661" s="345">
        <v>0.69774465208380343</v>
      </c>
      <c r="B661" s="347" t="s">
        <v>1240</v>
      </c>
      <c r="C661" s="346">
        <v>649</v>
      </c>
      <c r="D661" s="342">
        <v>222500.97430980834</v>
      </c>
    </row>
    <row r="662" spans="1:4" ht="15.95">
      <c r="A662" s="345">
        <v>0.36880151195650557</v>
      </c>
      <c r="B662" s="347" t="s">
        <v>1240</v>
      </c>
      <c r="C662" s="346">
        <v>650</v>
      </c>
      <c r="D662" s="342">
        <v>123213.30714944634</v>
      </c>
    </row>
    <row r="663" spans="1:4" ht="15.95">
      <c r="A663" s="345">
        <v>0.76465413228668977</v>
      </c>
      <c r="B663" s="347" t="s">
        <v>1240</v>
      </c>
      <c r="C663" s="346">
        <v>651</v>
      </c>
      <c r="D663" s="342">
        <v>98284.730030321749</v>
      </c>
    </row>
    <row r="664" spans="1:4" ht="15.95">
      <c r="A664" s="345">
        <v>0.49796346195941177</v>
      </c>
      <c r="B664" s="347" t="s">
        <v>1240</v>
      </c>
      <c r="C664" s="346">
        <v>652</v>
      </c>
      <c r="D664" s="342">
        <v>193002.13345208461</v>
      </c>
    </row>
    <row r="665" spans="1:4" ht="15.95">
      <c r="A665" s="345">
        <v>3.1042210177802509E-2</v>
      </c>
      <c r="B665" s="347" t="s">
        <v>1240</v>
      </c>
      <c r="C665" s="346">
        <v>653</v>
      </c>
      <c r="D665" s="342">
        <v>492666.01822485519</v>
      </c>
    </row>
    <row r="666" spans="1:4" ht="15.95">
      <c r="A666" s="345">
        <v>0.81924308503915655</v>
      </c>
      <c r="B666" s="347" t="s">
        <v>1240</v>
      </c>
      <c r="C666" s="346">
        <v>654</v>
      </c>
      <c r="D666" s="342">
        <v>263750.78074950003</v>
      </c>
    </row>
    <row r="667" spans="1:4" ht="15.95">
      <c r="A667" s="345">
        <v>0.98777373374050681</v>
      </c>
      <c r="B667" s="347" t="s">
        <v>1240</v>
      </c>
      <c r="C667" s="346">
        <v>655</v>
      </c>
      <c r="D667" s="342">
        <v>301517.77964135562</v>
      </c>
    </row>
    <row r="668" spans="1:4" ht="15.95">
      <c r="A668" s="345">
        <v>0.48357083864462269</v>
      </c>
      <c r="B668" s="347" t="s">
        <v>1240</v>
      </c>
      <c r="C668" s="346">
        <v>656</v>
      </c>
      <c r="D668" s="342">
        <v>507138.88599836617</v>
      </c>
    </row>
    <row r="669" spans="1:4" ht="15.95">
      <c r="A669" s="345">
        <v>0.95907785384210009</v>
      </c>
      <c r="B669" s="347" t="s">
        <v>1240</v>
      </c>
      <c r="C669" s="346">
        <v>657</v>
      </c>
      <c r="D669" s="342">
        <v>543399.64223585324</v>
      </c>
    </row>
    <row r="670" spans="1:4" ht="15.95">
      <c r="A670" s="345">
        <v>0.86213547652502454</v>
      </c>
      <c r="B670" s="347" t="s">
        <v>1240</v>
      </c>
      <c r="C670" s="346">
        <v>658</v>
      </c>
      <c r="D670" s="342">
        <v>219223.35040327068</v>
      </c>
    </row>
    <row r="671" spans="1:4" ht="15.95">
      <c r="A671" s="345">
        <v>0.82094032897893743</v>
      </c>
      <c r="B671" s="347" t="s">
        <v>1240</v>
      </c>
      <c r="C671" s="346">
        <v>659</v>
      </c>
      <c r="D671" s="342">
        <v>258177.19159194175</v>
      </c>
    </row>
    <row r="672" spans="1:4" ht="15.95">
      <c r="A672" s="345">
        <v>0.40620968734852214</v>
      </c>
      <c r="B672" s="347" t="s">
        <v>1240</v>
      </c>
      <c r="C672" s="346">
        <v>660</v>
      </c>
      <c r="D672" s="342">
        <v>66554.050988519564</v>
      </c>
    </row>
    <row r="673" spans="1:4" ht="15.95">
      <c r="A673" s="345">
        <v>0.63509147170788793</v>
      </c>
      <c r="B673" s="347" t="s">
        <v>1240</v>
      </c>
      <c r="C673" s="346">
        <v>661</v>
      </c>
      <c r="D673" s="342">
        <v>167513.18682928663</v>
      </c>
    </row>
    <row r="674" spans="1:4" ht="15.95">
      <c r="A674" s="345">
        <v>0.59845610367403768</v>
      </c>
      <c r="B674" s="347" t="s">
        <v>1240</v>
      </c>
      <c r="C674" s="346">
        <v>662</v>
      </c>
      <c r="D674" s="342">
        <v>223586.38248521346</v>
      </c>
    </row>
    <row r="675" spans="1:4" ht="15.95">
      <c r="A675" s="345">
        <v>0.75999661465950885</v>
      </c>
      <c r="B675" s="347" t="s">
        <v>1240</v>
      </c>
      <c r="C675" s="346">
        <v>663</v>
      </c>
      <c r="D675" s="342">
        <v>509938.66216801503</v>
      </c>
    </row>
    <row r="676" spans="1:4" ht="15.95">
      <c r="A676" s="345">
        <v>0.70975973688208216</v>
      </c>
      <c r="B676" s="347" t="s">
        <v>1240</v>
      </c>
      <c r="C676" s="346">
        <v>664</v>
      </c>
      <c r="D676" s="342">
        <v>67359.533326721285</v>
      </c>
    </row>
    <row r="677" spans="1:4" ht="15.95">
      <c r="A677" s="345">
        <v>0.79378894432787717</v>
      </c>
      <c r="B677" s="347" t="s">
        <v>1240</v>
      </c>
      <c r="C677" s="346">
        <v>665</v>
      </c>
      <c r="D677" s="342">
        <v>389702.38133029104</v>
      </c>
    </row>
    <row r="678" spans="1:4" ht="15.95">
      <c r="A678" s="345">
        <v>0.99580137173023009</v>
      </c>
      <c r="B678" s="347" t="s">
        <v>1240</v>
      </c>
      <c r="C678" s="346">
        <v>666</v>
      </c>
      <c r="D678" s="342">
        <v>152114.92245820118</v>
      </c>
    </row>
    <row r="679" spans="1:4" ht="15.95">
      <c r="A679" s="345">
        <v>0.71900919915650086</v>
      </c>
      <c r="B679" s="347" t="s">
        <v>1240</v>
      </c>
      <c r="C679" s="346">
        <v>667</v>
      </c>
      <c r="D679" s="342">
        <v>331333.55658987025</v>
      </c>
    </row>
    <row r="680" spans="1:4" ht="15.95">
      <c r="A680" s="345">
        <v>0.98766078596269458</v>
      </c>
      <c r="B680" s="347" t="s">
        <v>1240</v>
      </c>
      <c r="C680" s="346">
        <v>668</v>
      </c>
      <c r="D680" s="342">
        <v>442146.56579258246</v>
      </c>
    </row>
    <row r="681" spans="1:4" ht="15.95">
      <c r="A681" s="345">
        <v>0.65617914965209845</v>
      </c>
      <c r="B681" s="347" t="s">
        <v>1240</v>
      </c>
      <c r="C681" s="346">
        <v>669</v>
      </c>
      <c r="D681" s="342">
        <v>621123.46343566873</v>
      </c>
    </row>
    <row r="682" spans="1:4" ht="15.95">
      <c r="A682" s="345">
        <v>0.19878209834228444</v>
      </c>
      <c r="B682" s="347" t="s">
        <v>1240</v>
      </c>
      <c r="C682" s="346">
        <v>670</v>
      </c>
      <c r="D682" s="342">
        <v>783638.27757858671</v>
      </c>
    </row>
    <row r="683" spans="1:4" ht="15.95">
      <c r="A683" s="345">
        <v>0.57745192521238509</v>
      </c>
      <c r="B683" s="347" t="s">
        <v>1240</v>
      </c>
      <c r="C683" s="346">
        <v>671</v>
      </c>
      <c r="D683" s="342">
        <v>674006.81297001056</v>
      </c>
    </row>
    <row r="684" spans="1:4" ht="15.95">
      <c r="A684" s="345">
        <v>0.58943510734747429</v>
      </c>
      <c r="B684" s="347" t="s">
        <v>1240</v>
      </c>
      <c r="C684" s="346">
        <v>672</v>
      </c>
      <c r="D684" s="342">
        <v>178595.03313558176</v>
      </c>
    </row>
    <row r="685" spans="1:4" ht="15.95">
      <c r="A685" s="345">
        <v>0.90239367078460997</v>
      </c>
      <c r="B685" s="347" t="s">
        <v>1240</v>
      </c>
      <c r="C685" s="346">
        <v>673</v>
      </c>
      <c r="D685" s="342">
        <v>466624.5474746665</v>
      </c>
    </row>
    <row r="686" spans="1:4" ht="15.95">
      <c r="A686" s="345">
        <v>0.86656934283618681</v>
      </c>
      <c r="B686" s="347" t="s">
        <v>1240</v>
      </c>
      <c r="C686" s="346">
        <v>674</v>
      </c>
      <c r="D686" s="342">
        <v>418269.713992042</v>
      </c>
    </row>
    <row r="687" spans="1:4" ht="15.95">
      <c r="A687" s="345">
        <v>0.73910090567710662</v>
      </c>
      <c r="B687" s="347" t="s">
        <v>1240</v>
      </c>
      <c r="C687" s="346">
        <v>675</v>
      </c>
      <c r="D687" s="342">
        <v>118577.69135034923</v>
      </c>
    </row>
    <row r="688" spans="1:4" ht="15.95">
      <c r="A688" s="345">
        <v>0.57015897281739369</v>
      </c>
      <c r="B688" s="347" t="s">
        <v>1240</v>
      </c>
      <c r="C688" s="346">
        <v>676</v>
      </c>
      <c r="D688" s="342">
        <v>184949.88470656495</v>
      </c>
    </row>
    <row r="689" spans="1:4" ht="15.95">
      <c r="A689" s="345">
        <v>0.35296809660455419</v>
      </c>
      <c r="B689" s="347" t="s">
        <v>1240</v>
      </c>
      <c r="C689" s="346">
        <v>677</v>
      </c>
      <c r="D689" s="342">
        <v>330797.02594915591</v>
      </c>
    </row>
    <row r="690" spans="1:4" ht="15.95">
      <c r="A690" s="345">
        <v>0.33012772672312285</v>
      </c>
      <c r="B690" s="347" t="s">
        <v>1240</v>
      </c>
      <c r="C690" s="346">
        <v>678</v>
      </c>
      <c r="D690" s="342">
        <v>198037.85336696636</v>
      </c>
    </row>
    <row r="691" spans="1:4" ht="15.95">
      <c r="A691" s="345">
        <v>0.84629066834836875</v>
      </c>
      <c r="B691" s="347" t="s">
        <v>1240</v>
      </c>
      <c r="C691" s="346">
        <v>679</v>
      </c>
      <c r="D691" s="342">
        <v>265297.59237234714</v>
      </c>
    </row>
    <row r="692" spans="1:4" ht="15.95">
      <c r="A692" s="345">
        <v>0.45722774147803469</v>
      </c>
      <c r="B692" s="347" t="s">
        <v>1240</v>
      </c>
      <c r="C692" s="346">
        <v>680</v>
      </c>
      <c r="D692" s="342">
        <v>256464.18908509193</v>
      </c>
    </row>
    <row r="693" spans="1:4" ht="15.95">
      <c r="A693" s="345">
        <v>0.85694008609854755</v>
      </c>
      <c r="B693" s="347" t="s">
        <v>1240</v>
      </c>
      <c r="C693" s="346">
        <v>681</v>
      </c>
      <c r="D693" s="342">
        <v>516461.94070085487</v>
      </c>
    </row>
    <row r="694" spans="1:4" ht="15.95">
      <c r="A694" s="345">
        <v>0.4369948649144475</v>
      </c>
      <c r="B694" s="347" t="s">
        <v>1240</v>
      </c>
      <c r="C694" s="346">
        <v>682</v>
      </c>
      <c r="D694" s="342">
        <v>360570.45852596662</v>
      </c>
    </row>
    <row r="695" spans="1:4" ht="15.95">
      <c r="A695" s="345">
        <v>0.91055465169792849</v>
      </c>
      <c r="B695" s="347" t="s">
        <v>1240</v>
      </c>
      <c r="C695" s="346">
        <v>683</v>
      </c>
      <c r="D695" s="342">
        <v>290097.73636617116</v>
      </c>
    </row>
    <row r="696" spans="1:4" ht="15.95">
      <c r="A696" s="345">
        <v>0.1504972125103583</v>
      </c>
      <c r="B696" s="347" t="s">
        <v>1240</v>
      </c>
      <c r="C696" s="346">
        <v>684</v>
      </c>
      <c r="D696" s="342">
        <v>179870.23107960285</v>
      </c>
    </row>
    <row r="697" spans="1:4" ht="15.95">
      <c r="A697" s="345">
        <v>0.28696031086077267</v>
      </c>
      <c r="B697" s="347" t="s">
        <v>1240</v>
      </c>
      <c r="C697" s="346">
        <v>685</v>
      </c>
      <c r="D697" s="342">
        <v>437517.90993852634</v>
      </c>
    </row>
    <row r="698" spans="1:4" ht="15.95">
      <c r="A698" s="345">
        <v>0.33434019703306794</v>
      </c>
      <c r="B698" s="347" t="s">
        <v>1240</v>
      </c>
      <c r="C698" s="346">
        <v>686</v>
      </c>
      <c r="D698" s="342">
        <v>259657.81595904962</v>
      </c>
    </row>
    <row r="699" spans="1:4" ht="15.95">
      <c r="A699" s="345">
        <v>0.92587048483979673</v>
      </c>
      <c r="B699" s="347" t="s">
        <v>1240</v>
      </c>
      <c r="C699" s="346">
        <v>687</v>
      </c>
      <c r="D699" s="342">
        <v>565431.31513377279</v>
      </c>
    </row>
    <row r="700" spans="1:4" ht="15.95">
      <c r="A700" s="345">
        <v>0.35630950528572181</v>
      </c>
      <c r="B700" s="347" t="s">
        <v>1240</v>
      </c>
      <c r="C700" s="346">
        <v>688</v>
      </c>
      <c r="D700" s="342">
        <v>246793.0418242258</v>
      </c>
    </row>
    <row r="701" spans="1:4" ht="15.95">
      <c r="A701" s="345">
        <v>0.654779676847283</v>
      </c>
      <c r="B701" s="347" t="s">
        <v>1240</v>
      </c>
      <c r="C701" s="346">
        <v>689</v>
      </c>
      <c r="D701" s="342">
        <v>224362.96935901442</v>
      </c>
    </row>
    <row r="702" spans="1:4" ht="15.95">
      <c r="A702" s="345">
        <v>0.51796185633063108</v>
      </c>
      <c r="B702" s="347" t="s">
        <v>1240</v>
      </c>
      <c r="C702" s="346">
        <v>690</v>
      </c>
      <c r="D702" s="342">
        <v>527150.24211987015</v>
      </c>
    </row>
    <row r="703" spans="1:4" ht="15.95">
      <c r="A703" s="345">
        <v>0.77939938753522175</v>
      </c>
      <c r="B703" s="347" t="s">
        <v>1240</v>
      </c>
      <c r="C703" s="346">
        <v>691</v>
      </c>
      <c r="D703" s="342">
        <v>417759.52915538289</v>
      </c>
    </row>
    <row r="704" spans="1:4" ht="15.95">
      <c r="A704" s="345">
        <v>0.17731755438675401</v>
      </c>
      <c r="B704" s="347" t="s">
        <v>1240</v>
      </c>
      <c r="C704" s="346">
        <v>692</v>
      </c>
      <c r="D704" s="342">
        <v>463463.41806207132</v>
      </c>
    </row>
    <row r="705" spans="1:4" ht="15.95">
      <c r="A705" s="345">
        <v>0.2022758821581131</v>
      </c>
      <c r="B705" s="347" t="s">
        <v>1240</v>
      </c>
      <c r="C705" s="346">
        <v>693</v>
      </c>
      <c r="D705" s="342">
        <v>168178.40734963585</v>
      </c>
    </row>
    <row r="706" spans="1:4" ht="15.95">
      <c r="A706" s="345">
        <v>0.11311027936423423</v>
      </c>
      <c r="B706" s="347" t="s">
        <v>1240</v>
      </c>
      <c r="C706" s="346">
        <v>694</v>
      </c>
      <c r="D706" s="342">
        <v>236293.38756684889</v>
      </c>
    </row>
    <row r="707" spans="1:4" ht="15.95">
      <c r="A707" s="345">
        <v>0.57832659425855704</v>
      </c>
      <c r="B707" s="347" t="s">
        <v>1240</v>
      </c>
      <c r="C707" s="346">
        <v>695</v>
      </c>
      <c r="D707" s="342">
        <v>137000.73770051682</v>
      </c>
    </row>
    <row r="708" spans="1:4" ht="15.95">
      <c r="A708" s="345">
        <v>0.59608595493848449</v>
      </c>
      <c r="B708" s="347" t="s">
        <v>1240</v>
      </c>
      <c r="C708" s="346">
        <v>696</v>
      </c>
      <c r="D708" s="342">
        <v>705781.23215136304</v>
      </c>
    </row>
    <row r="709" spans="1:4" ht="15.95">
      <c r="A709" s="345">
        <v>0.19115865634100238</v>
      </c>
      <c r="B709" s="347" t="s">
        <v>1240</v>
      </c>
      <c r="C709" s="346">
        <v>697</v>
      </c>
      <c r="D709" s="342">
        <v>34213.890909907408</v>
      </c>
    </row>
    <row r="710" spans="1:4" ht="15.95">
      <c r="A710" s="345">
        <v>5.0870188676625294E-2</v>
      </c>
      <c r="B710" s="347" t="s">
        <v>1240</v>
      </c>
      <c r="C710" s="346">
        <v>698</v>
      </c>
      <c r="D710" s="342">
        <v>687345.46304274863</v>
      </c>
    </row>
    <row r="711" spans="1:4" ht="15.95">
      <c r="A711" s="345">
        <v>6.8307892681256699E-2</v>
      </c>
      <c r="B711" s="347" t="s">
        <v>1240</v>
      </c>
      <c r="C711" s="346">
        <v>699</v>
      </c>
      <c r="D711" s="342">
        <v>477006.75335549191</v>
      </c>
    </row>
    <row r="712" spans="1:4" ht="15.95">
      <c r="A712" s="345">
        <v>0.46534159775027673</v>
      </c>
      <c r="B712" s="347" t="s">
        <v>1240</v>
      </c>
      <c r="C712" s="346">
        <v>700</v>
      </c>
      <c r="D712" s="342">
        <v>506635.09902607882</v>
      </c>
    </row>
    <row r="713" spans="1:4" ht="15.95">
      <c r="A713" s="345">
        <v>0.62733777689722303</v>
      </c>
      <c r="B713" s="347" t="s">
        <v>1240</v>
      </c>
      <c r="C713" s="346">
        <v>701</v>
      </c>
      <c r="D713" s="342">
        <v>694927.89882554114</v>
      </c>
    </row>
    <row r="714" spans="1:4" ht="15.95">
      <c r="A714" s="345">
        <v>0.21770939815390944</v>
      </c>
      <c r="B714" s="347" t="s">
        <v>1240</v>
      </c>
      <c r="C714" s="346">
        <v>702</v>
      </c>
      <c r="D714" s="342">
        <v>197963.8297664721</v>
      </c>
    </row>
    <row r="715" spans="1:4" ht="15.95">
      <c r="A715" s="345">
        <v>0.21922780801058783</v>
      </c>
      <c r="B715" s="347" t="s">
        <v>1240</v>
      </c>
      <c r="C715" s="346">
        <v>703</v>
      </c>
      <c r="D715" s="342">
        <v>137652.50440710783</v>
      </c>
    </row>
    <row r="716" spans="1:4" ht="15.95">
      <c r="A716" s="345">
        <v>0.40256742074694107</v>
      </c>
      <c r="B716" s="347" t="s">
        <v>1240</v>
      </c>
      <c r="C716" s="346">
        <v>704</v>
      </c>
      <c r="D716" s="342">
        <v>301216.68469848786</v>
      </c>
    </row>
    <row r="717" spans="1:4" ht="15.95">
      <c r="A717" s="345">
        <v>0.66074148404509681</v>
      </c>
      <c r="B717" s="347" t="s">
        <v>1240</v>
      </c>
      <c r="C717" s="346">
        <v>705</v>
      </c>
      <c r="D717" s="342">
        <v>84058.165030177915</v>
      </c>
    </row>
    <row r="718" spans="1:4" ht="15.95">
      <c r="A718" s="345">
        <v>0.7926692339496807</v>
      </c>
      <c r="B718" s="347" t="s">
        <v>1240</v>
      </c>
      <c r="C718" s="346">
        <v>706</v>
      </c>
      <c r="D718" s="342">
        <v>584054.10067676962</v>
      </c>
    </row>
    <row r="719" spans="1:4" ht="15.95">
      <c r="A719" s="345">
        <v>0.22160227705453461</v>
      </c>
      <c r="B719" s="347" t="s">
        <v>1240</v>
      </c>
      <c r="C719" s="346">
        <v>707</v>
      </c>
      <c r="D719" s="342">
        <v>195156.04711250123</v>
      </c>
    </row>
    <row r="720" spans="1:4" ht="15.95">
      <c r="A720" s="345">
        <v>0.40778927781331942</v>
      </c>
      <c r="B720" s="347" t="s">
        <v>1240</v>
      </c>
      <c r="C720" s="346">
        <v>708</v>
      </c>
      <c r="D720" s="342">
        <v>676847.55815839465</v>
      </c>
    </row>
    <row r="721" spans="1:4" ht="15.95">
      <c r="A721" s="345">
        <v>0.61585504852118544</v>
      </c>
      <c r="B721" s="347" t="s">
        <v>1240</v>
      </c>
      <c r="C721" s="346">
        <v>709</v>
      </c>
      <c r="D721" s="342">
        <v>135195.43237814703</v>
      </c>
    </row>
    <row r="722" spans="1:4" ht="15.95">
      <c r="A722" s="345">
        <v>0.82931115324582783</v>
      </c>
      <c r="B722" s="347" t="s">
        <v>1240</v>
      </c>
      <c r="C722" s="346">
        <v>710</v>
      </c>
      <c r="D722" s="342">
        <v>444377.76517736213</v>
      </c>
    </row>
    <row r="723" spans="1:4" ht="15.95">
      <c r="A723" s="345">
        <v>0.42800544877718172</v>
      </c>
      <c r="B723" s="347" t="s">
        <v>1240</v>
      </c>
      <c r="C723" s="346">
        <v>711</v>
      </c>
      <c r="D723" s="342">
        <v>251090.0890230753</v>
      </c>
    </row>
    <row r="724" spans="1:4" ht="15.95">
      <c r="A724" s="345">
        <v>0.39722257324030996</v>
      </c>
      <c r="B724" s="347" t="s">
        <v>1240</v>
      </c>
      <c r="C724" s="346">
        <v>712</v>
      </c>
      <c r="D724" s="342">
        <v>323820.39671458118</v>
      </c>
    </row>
    <row r="725" spans="1:4" ht="15.95">
      <c r="A725" s="345">
        <v>0.39703535612531682</v>
      </c>
      <c r="B725" s="347" t="s">
        <v>1240</v>
      </c>
      <c r="C725" s="346">
        <v>713</v>
      </c>
      <c r="D725" s="342">
        <v>508056.6957424588</v>
      </c>
    </row>
    <row r="726" spans="1:4" ht="15.95">
      <c r="A726" s="345">
        <v>8.5488624610102093E-2</v>
      </c>
      <c r="B726" s="347" t="s">
        <v>1240</v>
      </c>
      <c r="C726" s="346">
        <v>714</v>
      </c>
      <c r="D726" s="342">
        <v>42696.411928770365</v>
      </c>
    </row>
    <row r="727" spans="1:4" ht="15.95">
      <c r="A727" s="345">
        <v>0.36734501830056365</v>
      </c>
      <c r="B727" s="347" t="s">
        <v>1240</v>
      </c>
      <c r="C727" s="346">
        <v>715</v>
      </c>
      <c r="D727" s="342">
        <v>14000.224210039014</v>
      </c>
    </row>
    <row r="728" spans="1:4" ht="15.95">
      <c r="A728" s="345">
        <v>0.31337758967758123</v>
      </c>
      <c r="B728" s="347" t="s">
        <v>1240</v>
      </c>
      <c r="C728" s="346">
        <v>716</v>
      </c>
      <c r="D728" s="342">
        <v>229011.23341211025</v>
      </c>
    </row>
    <row r="729" spans="1:4" ht="15.95">
      <c r="A729" s="345">
        <v>0.31674149402229113</v>
      </c>
      <c r="B729" s="347" t="s">
        <v>1240</v>
      </c>
      <c r="C729" s="346">
        <v>717</v>
      </c>
      <c r="D729" s="342">
        <v>664695.87192928628</v>
      </c>
    </row>
    <row r="730" spans="1:4" ht="15.95">
      <c r="A730" s="345">
        <v>0.44734287471727763</v>
      </c>
      <c r="B730" s="347" t="s">
        <v>1240</v>
      </c>
      <c r="C730" s="346">
        <v>718</v>
      </c>
      <c r="D730" s="342">
        <v>221625.32972737681</v>
      </c>
    </row>
    <row r="731" spans="1:4" ht="15.95">
      <c r="A731" s="345">
        <v>0.45245422285111525</v>
      </c>
      <c r="B731" s="347" t="s">
        <v>1240</v>
      </c>
      <c r="C731" s="346">
        <v>719</v>
      </c>
      <c r="D731" s="342">
        <v>183926.2821504171</v>
      </c>
    </row>
    <row r="732" spans="1:4" ht="15.95">
      <c r="A732" s="345">
        <v>0.25737036663074664</v>
      </c>
      <c r="B732" s="347" t="s">
        <v>1240</v>
      </c>
      <c r="C732" s="346">
        <v>720</v>
      </c>
      <c r="D732" s="342">
        <v>580002.03182579018</v>
      </c>
    </row>
    <row r="733" spans="1:4" ht="15.95">
      <c r="A733" s="345">
        <v>0.60620811007029307</v>
      </c>
      <c r="B733" s="347" t="s">
        <v>1240</v>
      </c>
      <c r="C733" s="346">
        <v>721</v>
      </c>
      <c r="D733" s="342">
        <v>307340.93026860734</v>
      </c>
    </row>
    <row r="734" spans="1:4" ht="15.95">
      <c r="A734" s="345">
        <v>0.78625694959305659</v>
      </c>
      <c r="B734" s="347" t="s">
        <v>1240</v>
      </c>
      <c r="C734" s="346">
        <v>722</v>
      </c>
      <c r="D734" s="342">
        <v>-27275.061531053158</v>
      </c>
    </row>
    <row r="735" spans="1:4" ht="15.95">
      <c r="A735" s="345">
        <v>0.76620866225422946</v>
      </c>
      <c r="B735" s="347" t="s">
        <v>1240</v>
      </c>
      <c r="C735" s="346">
        <v>723</v>
      </c>
      <c r="D735" s="342">
        <v>412092.88309777365</v>
      </c>
    </row>
    <row r="736" spans="1:4" ht="15.95">
      <c r="A736" s="345">
        <v>0.15181543254219132</v>
      </c>
      <c r="B736" s="347" t="s">
        <v>1240</v>
      </c>
      <c r="C736" s="346">
        <v>724</v>
      </c>
      <c r="D736" s="342">
        <v>590591.75883038412</v>
      </c>
    </row>
    <row r="737" spans="1:4" ht="15.95">
      <c r="A737" s="345">
        <v>0.28951216617170816</v>
      </c>
      <c r="B737" s="347" t="s">
        <v>1240</v>
      </c>
      <c r="C737" s="346">
        <v>725</v>
      </c>
      <c r="D737" s="342">
        <v>424353.38774899044</v>
      </c>
    </row>
    <row r="738" spans="1:4" ht="15.95">
      <c r="A738" s="345">
        <v>0.1595308092294826</v>
      </c>
      <c r="B738" s="347" t="s">
        <v>1240</v>
      </c>
      <c r="C738" s="346">
        <v>726</v>
      </c>
      <c r="D738" s="342">
        <v>336067.13605589303</v>
      </c>
    </row>
    <row r="739" spans="1:4" ht="15.95">
      <c r="A739" s="345">
        <v>0.61879935758593718</v>
      </c>
      <c r="B739" s="347" t="s">
        <v>1240</v>
      </c>
      <c r="C739" s="346">
        <v>727</v>
      </c>
      <c r="D739" s="342">
        <v>157023.13219066127</v>
      </c>
    </row>
    <row r="740" spans="1:4" ht="15.95">
      <c r="A740" s="345">
        <v>0.10084713253789857</v>
      </c>
      <c r="B740" s="347" t="s">
        <v>1240</v>
      </c>
      <c r="C740" s="346">
        <v>728</v>
      </c>
      <c r="D740" s="342">
        <v>394674.69030737248</v>
      </c>
    </row>
    <row r="741" spans="1:4" ht="15.95">
      <c r="A741" s="345">
        <v>0.59882992623293341</v>
      </c>
      <c r="B741" s="347" t="s">
        <v>1240</v>
      </c>
      <c r="C741" s="346">
        <v>729</v>
      </c>
      <c r="D741" s="342">
        <v>143806.37924991501</v>
      </c>
    </row>
    <row r="742" spans="1:4" ht="15.95">
      <c r="A742" s="345">
        <v>0.18331951281013781</v>
      </c>
      <c r="B742" s="347" t="s">
        <v>1240</v>
      </c>
      <c r="C742" s="346">
        <v>730</v>
      </c>
      <c r="D742" s="342">
        <v>145620.59204529808</v>
      </c>
    </row>
    <row r="743" spans="1:4" ht="15.95">
      <c r="A743" s="345">
        <v>0.42657257007402938</v>
      </c>
      <c r="B743" s="347" t="s">
        <v>1240</v>
      </c>
      <c r="C743" s="346">
        <v>731</v>
      </c>
      <c r="D743" s="342">
        <v>208263.11374175153</v>
      </c>
    </row>
    <row r="744" spans="1:4" ht="15.95">
      <c r="A744" s="345">
        <v>0.56360419176328658</v>
      </c>
      <c r="B744" s="347" t="s">
        <v>1240</v>
      </c>
      <c r="C744" s="346">
        <v>732</v>
      </c>
      <c r="D744" s="342">
        <v>-29014.661336278776</v>
      </c>
    </row>
    <row r="745" spans="1:4" ht="15.95">
      <c r="A745" s="345">
        <v>0.74394305168327524</v>
      </c>
      <c r="B745" s="347" t="s">
        <v>1240</v>
      </c>
      <c r="C745" s="346">
        <v>733</v>
      </c>
      <c r="D745" s="342">
        <v>430200.38753997954</v>
      </c>
    </row>
    <row r="746" spans="1:4" ht="15.95">
      <c r="A746" s="345">
        <v>0.65036103958630209</v>
      </c>
      <c r="B746" s="347" t="s">
        <v>1240</v>
      </c>
      <c r="C746" s="346">
        <v>734</v>
      </c>
      <c r="D746" s="342">
        <v>622657.07158272224</v>
      </c>
    </row>
    <row r="747" spans="1:4" ht="15.95">
      <c r="A747" s="345">
        <v>0.20821427604190723</v>
      </c>
      <c r="B747" s="347" t="s">
        <v>1240</v>
      </c>
      <c r="C747" s="346">
        <v>735</v>
      </c>
      <c r="D747" s="342">
        <v>460742.85320602125</v>
      </c>
    </row>
    <row r="748" spans="1:4" ht="15.95">
      <c r="A748" s="345">
        <v>0.51030927567064965</v>
      </c>
      <c r="B748" s="347" t="s">
        <v>1240</v>
      </c>
      <c r="C748" s="346">
        <v>736</v>
      </c>
      <c r="D748" s="342">
        <v>632309.29443526873</v>
      </c>
    </row>
    <row r="749" spans="1:4" ht="15.95">
      <c r="A749" s="345">
        <v>0.84436757106358196</v>
      </c>
      <c r="B749" s="347" t="s">
        <v>1240</v>
      </c>
      <c r="C749" s="346">
        <v>737</v>
      </c>
      <c r="D749" s="342">
        <v>341431.4990024073</v>
      </c>
    </row>
    <row r="750" spans="1:4" ht="15.95">
      <c r="A750" s="345">
        <v>0.21780931238743417</v>
      </c>
      <c r="B750" s="347" t="s">
        <v>1240</v>
      </c>
      <c r="C750" s="346">
        <v>738</v>
      </c>
      <c r="D750" s="342">
        <v>800337.12186738523</v>
      </c>
    </row>
    <row r="751" spans="1:4" ht="15.95">
      <c r="A751" s="345">
        <v>0.13701118126679979</v>
      </c>
      <c r="B751" s="347" t="s">
        <v>1240</v>
      </c>
      <c r="C751" s="346">
        <v>739</v>
      </c>
      <c r="D751" s="342">
        <v>550669.44419024442</v>
      </c>
    </row>
    <row r="752" spans="1:4" ht="15.95">
      <c r="A752" s="345">
        <v>0.47260722750547746</v>
      </c>
      <c r="B752" s="347" t="s">
        <v>1240</v>
      </c>
      <c r="C752" s="346">
        <v>740</v>
      </c>
      <c r="D752" s="342">
        <v>67121.31393230753</v>
      </c>
    </row>
    <row r="753" spans="1:4" ht="15.95">
      <c r="A753" s="345">
        <v>0.50563435643285382</v>
      </c>
      <c r="B753" s="347" t="s">
        <v>1240</v>
      </c>
      <c r="C753" s="346">
        <v>741</v>
      </c>
      <c r="D753" s="342">
        <v>100728.23745229724</v>
      </c>
    </row>
    <row r="754" spans="1:4" ht="15.95">
      <c r="A754" s="345">
        <v>0.85707733262372121</v>
      </c>
      <c r="B754" s="347" t="s">
        <v>1240</v>
      </c>
      <c r="C754" s="346">
        <v>742</v>
      </c>
      <c r="D754" s="342">
        <v>228056.76304492657</v>
      </c>
    </row>
    <row r="755" spans="1:4" ht="15.95">
      <c r="A755" s="345">
        <v>0.35240989160609226</v>
      </c>
      <c r="B755" s="347" t="s">
        <v>1240</v>
      </c>
      <c r="C755" s="346">
        <v>743</v>
      </c>
      <c r="D755" s="342">
        <v>390055.62326025451</v>
      </c>
    </row>
    <row r="756" spans="1:4" ht="15.95">
      <c r="A756" s="345">
        <v>0.75006385841449574</v>
      </c>
      <c r="B756" s="347" t="s">
        <v>1240</v>
      </c>
      <c r="C756" s="346">
        <v>744</v>
      </c>
      <c r="D756" s="342">
        <v>297699.22380589857</v>
      </c>
    </row>
    <row r="757" spans="1:4" ht="15.95">
      <c r="A757" s="345">
        <v>0.41720939358790277</v>
      </c>
      <c r="B757" s="347" t="s">
        <v>1240</v>
      </c>
      <c r="C757" s="346">
        <v>745</v>
      </c>
      <c r="D757" s="342">
        <v>100388.81498530856</v>
      </c>
    </row>
    <row r="758" spans="1:4" ht="15.95">
      <c r="A758" s="345">
        <v>6.1305493475568906E-2</v>
      </c>
      <c r="B758" s="347" t="s">
        <v>1240</v>
      </c>
      <c r="C758" s="346">
        <v>746</v>
      </c>
      <c r="D758" s="342">
        <v>224914.65734311286</v>
      </c>
    </row>
    <row r="759" spans="1:4" ht="15.95">
      <c r="A759" s="345">
        <v>0.15819218834216109</v>
      </c>
      <c r="B759" s="347" t="s">
        <v>1240</v>
      </c>
      <c r="C759" s="346">
        <v>747</v>
      </c>
      <c r="D759" s="342">
        <v>556383.45422983775</v>
      </c>
    </row>
    <row r="760" spans="1:4" ht="15.95">
      <c r="A760" s="345">
        <v>0.93664871733543298</v>
      </c>
      <c r="B760" s="347" t="s">
        <v>1240</v>
      </c>
      <c r="C760" s="346">
        <v>748</v>
      </c>
      <c r="D760" s="342">
        <v>348177.07841454144</v>
      </c>
    </row>
    <row r="761" spans="1:4" ht="15.95">
      <c r="A761" s="345">
        <v>0.68783792126333954</v>
      </c>
      <c r="B761" s="347" t="s">
        <v>1240</v>
      </c>
      <c r="C761" s="346">
        <v>749</v>
      </c>
      <c r="D761" s="342">
        <v>316698.62547266087</v>
      </c>
    </row>
    <row r="762" spans="1:4" ht="15.95">
      <c r="A762" s="345">
        <v>0.2972252478672327</v>
      </c>
      <c r="B762" s="347" t="s">
        <v>1240</v>
      </c>
      <c r="C762" s="346">
        <v>750</v>
      </c>
      <c r="D762" s="342">
        <v>-55282.714370902628</v>
      </c>
    </row>
    <row r="763" spans="1:4" ht="15.95">
      <c r="A763" s="345">
        <v>0.63571643072456263</v>
      </c>
      <c r="B763" s="347" t="s">
        <v>1240</v>
      </c>
      <c r="C763" s="346">
        <v>751</v>
      </c>
      <c r="D763" s="342">
        <v>314241.39268757426</v>
      </c>
    </row>
    <row r="764" spans="1:4" ht="15.95">
      <c r="A764" s="345">
        <v>0.45564412084781747</v>
      </c>
      <c r="B764" s="347" t="s">
        <v>1240</v>
      </c>
      <c r="C764" s="346">
        <v>752</v>
      </c>
      <c r="D764" s="342">
        <v>319320.78080545319</v>
      </c>
    </row>
    <row r="765" spans="1:4" ht="15.95">
      <c r="A765" s="345">
        <v>0.48792908109625732</v>
      </c>
      <c r="B765" s="347" t="s">
        <v>1240</v>
      </c>
      <c r="C765" s="346">
        <v>753</v>
      </c>
      <c r="D765" s="342">
        <v>334910.48353512702</v>
      </c>
    </row>
    <row r="766" spans="1:4" ht="15.95">
      <c r="A766" s="345">
        <v>0.58529682682833029</v>
      </c>
      <c r="B766" s="347" t="s">
        <v>1240</v>
      </c>
      <c r="C766" s="346">
        <v>754</v>
      </c>
      <c r="D766" s="342">
        <v>187225.53479796741</v>
      </c>
    </row>
    <row r="767" spans="1:4" ht="15.95">
      <c r="A767" s="345">
        <v>0.69684032078357105</v>
      </c>
      <c r="B767" s="347" t="s">
        <v>1240</v>
      </c>
      <c r="C767" s="346">
        <v>755</v>
      </c>
      <c r="D767" s="342">
        <v>153955.0738052649</v>
      </c>
    </row>
    <row r="768" spans="1:4" ht="15.95">
      <c r="A768" s="345">
        <v>7.6523465906030319E-2</v>
      </c>
      <c r="B768" s="347" t="s">
        <v>1240</v>
      </c>
      <c r="C768" s="346">
        <v>756</v>
      </c>
      <c r="D768" s="342">
        <v>489693.69637139654</v>
      </c>
    </row>
    <row r="769" spans="1:4" ht="15.95">
      <c r="A769" s="345">
        <v>0.7309398320066397</v>
      </c>
      <c r="B769" s="347" t="s">
        <v>1240</v>
      </c>
      <c r="C769" s="346">
        <v>757</v>
      </c>
      <c r="D769" s="342">
        <v>482507.26249366626</v>
      </c>
    </row>
    <row r="770" spans="1:4" ht="15.95">
      <c r="A770" s="345">
        <v>0.29388033537357972</v>
      </c>
      <c r="B770" s="347" t="s">
        <v>1240</v>
      </c>
      <c r="C770" s="346">
        <v>758</v>
      </c>
      <c r="D770" s="342">
        <v>400897.61799169588</v>
      </c>
    </row>
    <row r="771" spans="1:4" ht="15.95">
      <c r="A771" s="345">
        <v>0.51306102994358982</v>
      </c>
      <c r="B771" s="347" t="s">
        <v>1240</v>
      </c>
      <c r="C771" s="346">
        <v>759</v>
      </c>
      <c r="D771" s="342">
        <v>382836.40882153483</v>
      </c>
    </row>
    <row r="772" spans="1:4" ht="15.95">
      <c r="A772" s="345">
        <v>0.66490005162858179</v>
      </c>
      <c r="B772" s="347" t="s">
        <v>1240</v>
      </c>
      <c r="C772" s="346">
        <v>760</v>
      </c>
      <c r="D772" s="342">
        <v>99758.728180699982</v>
      </c>
    </row>
    <row r="773" spans="1:4" ht="15.95">
      <c r="A773" s="345">
        <v>0.95515326640500076</v>
      </c>
      <c r="B773" s="347" t="s">
        <v>1240</v>
      </c>
      <c r="C773" s="346">
        <v>761</v>
      </c>
      <c r="D773" s="342">
        <v>229424.71803972614</v>
      </c>
    </row>
    <row r="774" spans="1:4" ht="15.95">
      <c r="A774" s="345">
        <v>8.5844127429324124E-2</v>
      </c>
      <c r="B774" s="347" t="s">
        <v>1240</v>
      </c>
      <c r="C774" s="346">
        <v>762</v>
      </c>
      <c r="D774" s="342">
        <v>281997.91213320196</v>
      </c>
    </row>
    <row r="775" spans="1:4" ht="15.95">
      <c r="A775" s="345">
        <v>0.94903653848664116</v>
      </c>
      <c r="B775" s="347" t="s">
        <v>1240</v>
      </c>
      <c r="C775" s="346">
        <v>763</v>
      </c>
      <c r="D775" s="342">
        <v>-48056.313387709437</v>
      </c>
    </row>
    <row r="776" spans="1:4" ht="15.95">
      <c r="A776" s="345">
        <v>0.24963980023279897</v>
      </c>
      <c r="B776" s="347" t="s">
        <v>1240</v>
      </c>
      <c r="C776" s="346">
        <v>764</v>
      </c>
      <c r="D776" s="342">
        <v>677128.53096502647</v>
      </c>
    </row>
    <row r="777" spans="1:4" ht="15.95">
      <c r="A777" s="345">
        <v>0.43389397085825643</v>
      </c>
      <c r="B777" s="347" t="s">
        <v>1240</v>
      </c>
      <c r="C777" s="346">
        <v>765</v>
      </c>
      <c r="D777" s="342">
        <v>305416.9175947425</v>
      </c>
    </row>
    <row r="778" spans="1:4" ht="15.95">
      <c r="A778" s="345">
        <v>0.53568753443198369</v>
      </c>
      <c r="B778" s="347" t="s">
        <v>1240</v>
      </c>
      <c r="C778" s="346">
        <v>766</v>
      </c>
      <c r="D778" s="342">
        <v>578259.01293740608</v>
      </c>
    </row>
    <row r="779" spans="1:4" ht="15.95">
      <c r="A779" s="345">
        <v>0.91218213474868359</v>
      </c>
      <c r="B779" s="347" t="s">
        <v>1240</v>
      </c>
      <c r="C779" s="346">
        <v>767</v>
      </c>
      <c r="D779" s="342">
        <v>226363.31864115922</v>
      </c>
    </row>
    <row r="780" spans="1:4" ht="15.95">
      <c r="A780" s="345">
        <v>0.46131137840610248</v>
      </c>
      <c r="B780" s="347" t="s">
        <v>1240</v>
      </c>
      <c r="C780" s="346">
        <v>768</v>
      </c>
      <c r="D780" s="342">
        <v>300349.8365910477</v>
      </c>
    </row>
    <row r="781" spans="1:4" ht="15.95">
      <c r="A781" s="345">
        <v>0.39155099647742198</v>
      </c>
      <c r="B781" s="347" t="s">
        <v>1240</v>
      </c>
      <c r="C781" s="346">
        <v>769</v>
      </c>
      <c r="D781" s="342">
        <v>588185.42437918321</v>
      </c>
    </row>
    <row r="782" spans="1:4" ht="15.95">
      <c r="A782" s="345">
        <v>0.35067114871942751</v>
      </c>
      <c r="B782" s="347" t="s">
        <v>1240</v>
      </c>
      <c r="C782" s="346">
        <v>770</v>
      </c>
      <c r="D782" s="342">
        <v>60177.953747522552</v>
      </c>
    </row>
    <row r="783" spans="1:4" ht="15.95">
      <c r="A783" s="345">
        <v>0.21562823954776544</v>
      </c>
      <c r="B783" s="347" t="s">
        <v>1240</v>
      </c>
      <c r="C783" s="346">
        <v>771</v>
      </c>
      <c r="D783" s="342">
        <v>32637.968000708148</v>
      </c>
    </row>
    <row r="784" spans="1:4" ht="15.95">
      <c r="A784" s="345">
        <v>0.45855488021238089</v>
      </c>
      <c r="B784" s="347" t="s">
        <v>1240</v>
      </c>
      <c r="C784" s="346">
        <v>772</v>
      </c>
      <c r="D784" s="342">
        <v>368235.33506068168</v>
      </c>
    </row>
    <row r="785" spans="1:4" ht="15.95">
      <c r="A785" s="345">
        <v>0.99332184913315502</v>
      </c>
      <c r="B785" s="347" t="s">
        <v>1240</v>
      </c>
      <c r="C785" s="346">
        <v>773</v>
      </c>
      <c r="D785" s="342">
        <v>263098.33094390435</v>
      </c>
    </row>
    <row r="786" spans="1:4" ht="15.95">
      <c r="A786" s="345">
        <v>0.3716467698822209</v>
      </c>
      <c r="B786" s="347" t="s">
        <v>1240</v>
      </c>
      <c r="C786" s="346">
        <v>774</v>
      </c>
      <c r="D786" s="342">
        <v>90019.444117694395</v>
      </c>
    </row>
    <row r="787" spans="1:4" ht="15.95">
      <c r="A787" s="345">
        <v>0.328737350197019</v>
      </c>
      <c r="B787" s="347" t="s">
        <v>1240</v>
      </c>
      <c r="C787" s="346">
        <v>775</v>
      </c>
      <c r="D787" s="342">
        <v>281646.8253370563</v>
      </c>
    </row>
    <row r="788" spans="1:4" ht="15.95">
      <c r="A788" s="345">
        <v>0.67302224073510397</v>
      </c>
      <c r="B788" s="347" t="s">
        <v>1240</v>
      </c>
      <c r="C788" s="346">
        <v>776</v>
      </c>
      <c r="D788" s="342">
        <v>317791.11285057454</v>
      </c>
    </row>
    <row r="789" spans="1:4" ht="15.95">
      <c r="A789" s="345">
        <v>0.87080203107802956</v>
      </c>
      <c r="B789" s="347" t="s">
        <v>1240</v>
      </c>
      <c r="C789" s="346">
        <v>777</v>
      </c>
      <c r="D789" s="342">
        <v>569403.8562162728</v>
      </c>
    </row>
    <row r="790" spans="1:4" ht="15.95">
      <c r="A790" s="345">
        <v>0.40453139352467704</v>
      </c>
      <c r="B790" s="347" t="s">
        <v>1240</v>
      </c>
      <c r="C790" s="346">
        <v>778</v>
      </c>
      <c r="D790" s="342">
        <v>360582.2943208525</v>
      </c>
    </row>
    <row r="791" spans="1:4" ht="15.95">
      <c r="A791" s="345">
        <v>0.62629103216180149</v>
      </c>
      <c r="B791" s="347" t="s">
        <v>1240</v>
      </c>
      <c r="C791" s="346">
        <v>779</v>
      </c>
      <c r="D791" s="342">
        <v>69493.050509388093</v>
      </c>
    </row>
    <row r="792" spans="1:4" ht="15.95">
      <c r="A792" s="345">
        <v>0.78459983188750548</v>
      </c>
      <c r="B792" s="347" t="s">
        <v>1240</v>
      </c>
      <c r="C792" s="346">
        <v>780</v>
      </c>
      <c r="D792" s="342">
        <v>232963.03811993939</v>
      </c>
    </row>
    <row r="793" spans="1:4" ht="15.95">
      <c r="A793" s="345">
        <v>0.46730178690858348</v>
      </c>
      <c r="B793" s="347" t="s">
        <v>1240</v>
      </c>
      <c r="C793" s="346">
        <v>781</v>
      </c>
      <c r="D793" s="342">
        <v>122579.60092145856</v>
      </c>
    </row>
    <row r="794" spans="1:4" ht="15.95">
      <c r="A794" s="345">
        <v>0.59843506062045582</v>
      </c>
      <c r="B794" s="347" t="s">
        <v>1240</v>
      </c>
      <c r="C794" s="346">
        <v>782</v>
      </c>
      <c r="D794" s="342">
        <v>713703.02372636064</v>
      </c>
    </row>
    <row r="795" spans="1:4" ht="15.95">
      <c r="A795" s="345">
        <v>0.62775276439324901</v>
      </c>
      <c r="B795" s="347" t="s">
        <v>1240</v>
      </c>
      <c r="C795" s="346">
        <v>783</v>
      </c>
      <c r="D795" s="342">
        <v>699844.18798020622</v>
      </c>
    </row>
    <row r="796" spans="1:4" ht="15.95">
      <c r="A796" s="345">
        <v>7.7209290224438454E-2</v>
      </c>
      <c r="B796" s="347" t="s">
        <v>1240</v>
      </c>
      <c r="C796" s="346">
        <v>784</v>
      </c>
      <c r="D796" s="342">
        <v>-46443.050404467853</v>
      </c>
    </row>
    <row r="797" spans="1:4" ht="15.95">
      <c r="A797" s="345">
        <v>0.4811430700944952</v>
      </c>
      <c r="B797" s="347" t="s">
        <v>1240</v>
      </c>
      <c r="C797" s="346">
        <v>785</v>
      </c>
      <c r="D797" s="342">
        <v>429405.90463262261</v>
      </c>
    </row>
    <row r="798" spans="1:4" ht="15.95">
      <c r="A798" s="345">
        <v>0.99118020677052276</v>
      </c>
      <c r="B798" s="347" t="s">
        <v>1240</v>
      </c>
      <c r="C798" s="346">
        <v>786</v>
      </c>
      <c r="D798" s="342">
        <v>96686.10429321276</v>
      </c>
    </row>
    <row r="799" spans="1:4" ht="15.95">
      <c r="A799" s="345">
        <v>0.68282796698615167</v>
      </c>
      <c r="B799" s="347" t="s">
        <v>1240</v>
      </c>
      <c r="C799" s="346">
        <v>787</v>
      </c>
      <c r="D799" s="342">
        <v>168635.285167519</v>
      </c>
    </row>
    <row r="800" spans="1:4" ht="15.95">
      <c r="A800" s="345">
        <v>0.35041816252672642</v>
      </c>
      <c r="B800" s="347" t="s">
        <v>1240</v>
      </c>
      <c r="C800" s="346">
        <v>788</v>
      </c>
      <c r="D800" s="342">
        <v>753073.9891165616</v>
      </c>
    </row>
    <row r="801" spans="1:4" ht="15.95">
      <c r="A801" s="345">
        <v>7.8305425045560262E-2</v>
      </c>
      <c r="B801" s="347" t="s">
        <v>1240</v>
      </c>
      <c r="C801" s="346">
        <v>789</v>
      </c>
      <c r="D801" s="342">
        <v>672540.86142713879</v>
      </c>
    </row>
    <row r="802" spans="1:4" ht="15.95">
      <c r="A802" s="345">
        <v>2.1944454822231507E-2</v>
      </c>
      <c r="B802" s="347" t="s">
        <v>1240</v>
      </c>
      <c r="C802" s="346">
        <v>790</v>
      </c>
      <c r="D802" s="342">
        <v>335870.9548913124</v>
      </c>
    </row>
    <row r="803" spans="1:4" ht="15.95">
      <c r="A803" s="345">
        <v>0.550301793938066</v>
      </c>
      <c r="B803" s="347" t="s">
        <v>1240</v>
      </c>
      <c r="C803" s="346">
        <v>791</v>
      </c>
      <c r="D803" s="342">
        <v>96954.140172377462</v>
      </c>
    </row>
    <row r="804" spans="1:4" ht="15.95">
      <c r="A804" s="345">
        <v>2.4191767571744016E-2</v>
      </c>
      <c r="B804" s="347" t="s">
        <v>1240</v>
      </c>
      <c r="C804" s="346">
        <v>792</v>
      </c>
      <c r="D804" s="342">
        <v>684977.98374336166</v>
      </c>
    </row>
    <row r="805" spans="1:4" ht="15.95">
      <c r="A805" s="345">
        <v>5.7058062234300766E-2</v>
      </c>
      <c r="B805" s="347" t="s">
        <v>1240</v>
      </c>
      <c r="C805" s="346">
        <v>793</v>
      </c>
      <c r="D805" s="342">
        <v>-23241.645460211905</v>
      </c>
    </row>
    <row r="806" spans="1:4" ht="15.95">
      <c r="A806" s="345">
        <v>9.191418832041176E-2</v>
      </c>
      <c r="B806" s="347" t="s">
        <v>1240</v>
      </c>
      <c r="C806" s="346">
        <v>794</v>
      </c>
      <c r="D806" s="342">
        <v>241659.49516266258</v>
      </c>
    </row>
    <row r="807" spans="1:4" ht="15.95">
      <c r="A807" s="345">
        <v>0.47588297774064292</v>
      </c>
      <c r="B807" s="347" t="s">
        <v>1240</v>
      </c>
      <c r="C807" s="346">
        <v>795</v>
      </c>
      <c r="D807" s="342">
        <v>-12200.669253456639</v>
      </c>
    </row>
    <row r="808" spans="1:4" ht="15.95">
      <c r="A808" s="345">
        <v>0.46643910210368233</v>
      </c>
      <c r="B808" s="347" t="s">
        <v>1240</v>
      </c>
      <c r="C808" s="346">
        <v>796</v>
      </c>
      <c r="D808" s="342">
        <v>399161.04578919034</v>
      </c>
    </row>
    <row r="809" spans="1:4" ht="15.95">
      <c r="A809" s="345">
        <v>0.76141462993195841</v>
      </c>
      <c r="B809" s="347" t="s">
        <v>1240</v>
      </c>
      <c r="C809" s="346">
        <v>797</v>
      </c>
      <c r="D809" s="342">
        <v>294988.14231331833</v>
      </c>
    </row>
    <row r="810" spans="1:4" ht="15.95">
      <c r="A810" s="345">
        <v>0.93556972383996562</v>
      </c>
      <c r="B810" s="347" t="s">
        <v>1240</v>
      </c>
      <c r="C810" s="346">
        <v>798</v>
      </c>
      <c r="D810" s="342">
        <v>143017.77388627548</v>
      </c>
    </row>
    <row r="811" spans="1:4" ht="15.95">
      <c r="A811" s="345">
        <v>0.46452063646762287</v>
      </c>
      <c r="B811" s="347" t="s">
        <v>1240</v>
      </c>
      <c r="C811" s="346">
        <v>799</v>
      </c>
      <c r="D811" s="342">
        <v>514892.56078829151</v>
      </c>
    </row>
    <row r="812" spans="1:4" ht="15.95">
      <c r="A812" s="345">
        <v>0.39345891251065257</v>
      </c>
      <c r="B812" s="347" t="s">
        <v>1240</v>
      </c>
      <c r="C812" s="346">
        <v>800</v>
      </c>
      <c r="D812" s="342">
        <v>242586.1644896837</v>
      </c>
    </row>
    <row r="813" spans="1:4" ht="15.95">
      <c r="A813" s="345">
        <v>0.70889685253033241</v>
      </c>
      <c r="B813" s="347" t="s">
        <v>1240</v>
      </c>
      <c r="C813" s="346">
        <v>801</v>
      </c>
      <c r="D813" s="342">
        <v>36583.952966182027</v>
      </c>
    </row>
    <row r="814" spans="1:4" ht="15.95">
      <c r="A814" s="345">
        <v>0.58227626595572046</v>
      </c>
      <c r="B814" s="347" t="s">
        <v>1240</v>
      </c>
      <c r="C814" s="346">
        <v>802</v>
      </c>
      <c r="D814" s="342">
        <v>393967.57713376614</v>
      </c>
    </row>
    <row r="815" spans="1:4" ht="15.95">
      <c r="A815" s="345">
        <v>0.80671662401317856</v>
      </c>
      <c r="B815" s="347" t="s">
        <v>1240</v>
      </c>
      <c r="C815" s="346">
        <v>803</v>
      </c>
      <c r="D815" s="342">
        <v>195898.49969184631</v>
      </c>
    </row>
    <row r="816" spans="1:4" ht="15.95">
      <c r="A816" s="345">
        <v>0.87832146211216466</v>
      </c>
      <c r="B816" s="347" t="s">
        <v>1240</v>
      </c>
      <c r="C816" s="346">
        <v>804</v>
      </c>
      <c r="D816" s="342">
        <v>364333.52896606154</v>
      </c>
    </row>
    <row r="817" spans="1:4" ht="15.95">
      <c r="A817" s="345">
        <v>0.40698914442788048</v>
      </c>
      <c r="B817" s="347" t="s">
        <v>1240</v>
      </c>
      <c r="C817" s="346">
        <v>805</v>
      </c>
      <c r="D817" s="342">
        <v>166370.02367890486</v>
      </c>
    </row>
    <row r="818" spans="1:4" ht="15.95">
      <c r="A818" s="345">
        <v>0.17233633221154099</v>
      </c>
      <c r="B818" s="347" t="s">
        <v>1240</v>
      </c>
      <c r="C818" s="346">
        <v>806</v>
      </c>
      <c r="D818" s="342">
        <v>370746.92296198173</v>
      </c>
    </row>
    <row r="819" spans="1:4" ht="15.95">
      <c r="A819" s="345">
        <v>0.78450228198763183</v>
      </c>
      <c r="B819" s="347" t="s">
        <v>1240</v>
      </c>
      <c r="C819" s="346">
        <v>807</v>
      </c>
      <c r="D819" s="342">
        <v>617718.16181742609</v>
      </c>
    </row>
    <row r="820" spans="1:4" ht="15.95">
      <c r="A820" s="345">
        <v>0.78204525618041509</v>
      </c>
      <c r="B820" s="347" t="s">
        <v>1240</v>
      </c>
      <c r="C820" s="346">
        <v>808</v>
      </c>
      <c r="D820" s="342">
        <v>279351.74865372712</v>
      </c>
    </row>
    <row r="821" spans="1:4" ht="15.95">
      <c r="A821" s="345">
        <v>0.46843683697501315</v>
      </c>
      <c r="B821" s="347" t="s">
        <v>1240</v>
      </c>
      <c r="C821" s="346">
        <v>809</v>
      </c>
      <c r="D821" s="342">
        <v>165688.35223089578</v>
      </c>
    </row>
    <row r="822" spans="1:4" ht="15.95">
      <c r="A822" s="345">
        <v>0.21575315263483097</v>
      </c>
      <c r="B822" s="347" t="s">
        <v>1240</v>
      </c>
      <c r="C822" s="346">
        <v>810</v>
      </c>
      <c r="D822" s="342">
        <v>219250.42487836909</v>
      </c>
    </row>
    <row r="823" spans="1:4" ht="15.95">
      <c r="A823" s="345">
        <v>0.32724186441895764</v>
      </c>
      <c r="B823" s="347" t="s">
        <v>1240</v>
      </c>
      <c r="C823" s="346">
        <v>811</v>
      </c>
      <c r="D823" s="342">
        <v>413805.33337594522</v>
      </c>
    </row>
    <row r="824" spans="1:4" ht="15.95">
      <c r="A824" s="345">
        <v>0.32150749254653488</v>
      </c>
      <c r="B824" s="347" t="s">
        <v>1240</v>
      </c>
      <c r="C824" s="346">
        <v>812</v>
      </c>
      <c r="D824" s="342">
        <v>166413.29053424252</v>
      </c>
    </row>
    <row r="825" spans="1:4" ht="15.95">
      <c r="A825" s="345">
        <v>0.73897629974836188</v>
      </c>
      <c r="B825" s="347" t="s">
        <v>1240</v>
      </c>
      <c r="C825" s="346">
        <v>813</v>
      </c>
      <c r="D825" s="342">
        <v>480074.17428348935</v>
      </c>
    </row>
    <row r="826" spans="1:4" ht="15.95">
      <c r="A826" s="345">
        <v>0.58414900073111031</v>
      </c>
      <c r="B826" s="347" t="s">
        <v>1240</v>
      </c>
      <c r="C826" s="346">
        <v>814</v>
      </c>
      <c r="D826" s="342">
        <v>679581.41512296489</v>
      </c>
    </row>
    <row r="827" spans="1:4" ht="15.95">
      <c r="A827" s="345">
        <v>0.18594300580322165</v>
      </c>
      <c r="B827" s="347" t="s">
        <v>1240</v>
      </c>
      <c r="C827" s="346">
        <v>815</v>
      </c>
      <c r="D827" s="342">
        <v>80885.345576965949</v>
      </c>
    </row>
    <row r="828" spans="1:4" ht="15.95">
      <c r="A828" s="345">
        <v>6.8053147190551E-2</v>
      </c>
      <c r="B828" s="347" t="s">
        <v>1240</v>
      </c>
      <c r="C828" s="346">
        <v>816</v>
      </c>
      <c r="D828" s="342">
        <v>332328.51941453596</v>
      </c>
    </row>
    <row r="829" spans="1:4" ht="15.95">
      <c r="A829" s="345">
        <v>0.68877741856653352</v>
      </c>
      <c r="B829" s="347" t="s">
        <v>1240</v>
      </c>
      <c r="C829" s="346">
        <v>817</v>
      </c>
      <c r="D829" s="342">
        <v>187762.58561839699</v>
      </c>
    </row>
    <row r="830" spans="1:4" ht="15.95">
      <c r="A830" s="345">
        <v>0.13010718934849219</v>
      </c>
      <c r="B830" s="347" t="s">
        <v>1240</v>
      </c>
      <c r="C830" s="346">
        <v>818</v>
      </c>
      <c r="D830" s="342">
        <v>82808.244262336986</v>
      </c>
    </row>
    <row r="831" spans="1:4" ht="15.95">
      <c r="A831" s="345">
        <v>0.19395605252659498</v>
      </c>
      <c r="B831" s="347" t="s">
        <v>1240</v>
      </c>
      <c r="C831" s="346">
        <v>819</v>
      </c>
      <c r="D831" s="342">
        <v>194832.97125202371</v>
      </c>
    </row>
    <row r="832" spans="1:4" ht="15.95">
      <c r="A832" s="345">
        <v>0.44015489443769418</v>
      </c>
      <c r="B832" s="347" t="s">
        <v>1240</v>
      </c>
      <c r="C832" s="346">
        <v>820</v>
      </c>
      <c r="D832" s="342">
        <v>288571.14096959052</v>
      </c>
    </row>
    <row r="833" spans="1:4" ht="15.95">
      <c r="A833" s="345">
        <v>0.24474381497273545</v>
      </c>
      <c r="B833" s="347" t="s">
        <v>1240</v>
      </c>
      <c r="C833" s="346">
        <v>821</v>
      </c>
      <c r="D833" s="342">
        <v>49387.959464321611</v>
      </c>
    </row>
    <row r="834" spans="1:4" ht="15.95">
      <c r="A834" s="345">
        <v>0.63765941357273337</v>
      </c>
      <c r="B834" s="347" t="s">
        <v>1240</v>
      </c>
      <c r="C834" s="346">
        <v>822</v>
      </c>
      <c r="D834" s="342">
        <v>665364.6291811259</v>
      </c>
    </row>
    <row r="835" spans="1:4" ht="15.95">
      <c r="A835" s="345">
        <v>0.92367151562625371</v>
      </c>
      <c r="B835" s="347" t="s">
        <v>1240</v>
      </c>
      <c r="C835" s="346">
        <v>823</v>
      </c>
      <c r="D835" s="342">
        <v>292500.59558639862</v>
      </c>
    </row>
    <row r="836" spans="1:4" ht="15.95">
      <c r="A836" s="345">
        <v>0.59455901913729103</v>
      </c>
      <c r="B836" s="347" t="s">
        <v>1240</v>
      </c>
      <c r="C836" s="346">
        <v>824</v>
      </c>
      <c r="D836" s="342">
        <v>283130.53588673985</v>
      </c>
    </row>
    <row r="837" spans="1:4" ht="15.95">
      <c r="A837" s="345">
        <v>0.94063349753220704</v>
      </c>
      <c r="B837" s="347" t="s">
        <v>1240</v>
      </c>
      <c r="C837" s="346">
        <v>825</v>
      </c>
      <c r="D837" s="342">
        <v>338528.36784872413</v>
      </c>
    </row>
    <row r="838" spans="1:4" ht="15.95">
      <c r="A838" s="345">
        <v>0.16137324101711481</v>
      </c>
      <c r="B838" s="347" t="s">
        <v>1240</v>
      </c>
      <c r="C838" s="346">
        <v>826</v>
      </c>
      <c r="D838" s="342">
        <v>169641.51738824625</v>
      </c>
    </row>
    <row r="839" spans="1:4" ht="15.95">
      <c r="A839" s="345">
        <v>0.90707907881777505</v>
      </c>
      <c r="B839" s="347" t="s">
        <v>1240</v>
      </c>
      <c r="C839" s="346">
        <v>827</v>
      </c>
      <c r="D839" s="342">
        <v>-3529.4262661791872</v>
      </c>
    </row>
    <row r="840" spans="1:4" ht="15.95">
      <c r="A840" s="345">
        <v>0.52474691747881708</v>
      </c>
      <c r="B840" s="347" t="s">
        <v>1240</v>
      </c>
      <c r="C840" s="346">
        <v>828</v>
      </c>
      <c r="D840" s="342">
        <v>106117.16505942564</v>
      </c>
    </row>
    <row r="841" spans="1:4" ht="15.95">
      <c r="A841" s="345">
        <v>0.2948171467064743</v>
      </c>
      <c r="B841" s="347" t="s">
        <v>1240</v>
      </c>
      <c r="C841" s="346">
        <v>829</v>
      </c>
      <c r="D841" s="342">
        <v>20092.021879273001</v>
      </c>
    </row>
    <row r="842" spans="1:4" ht="15.95">
      <c r="A842" s="345">
        <v>0.52600081212629546</v>
      </c>
      <c r="B842" s="347" t="s">
        <v>1240</v>
      </c>
      <c r="C842" s="346">
        <v>830</v>
      </c>
      <c r="D842" s="342">
        <v>358414.53255447187</v>
      </c>
    </row>
    <row r="843" spans="1:4" ht="15.95">
      <c r="A843" s="345">
        <v>0.14082739542989309</v>
      </c>
      <c r="B843" s="347" t="s">
        <v>1240</v>
      </c>
      <c r="C843" s="346">
        <v>831</v>
      </c>
      <c r="D843" s="342">
        <v>510269.49207687774</v>
      </c>
    </row>
    <row r="844" spans="1:4" ht="15.95">
      <c r="A844" s="345">
        <v>0.59051056721362949</v>
      </c>
      <c r="B844" s="347" t="s">
        <v>1240</v>
      </c>
      <c r="C844" s="346">
        <v>832</v>
      </c>
      <c r="D844" s="342">
        <v>229738.75637702178</v>
      </c>
    </row>
    <row r="845" spans="1:4" ht="15.95">
      <c r="A845" s="345">
        <v>0.93095582124202336</v>
      </c>
      <c r="B845" s="347" t="s">
        <v>1240</v>
      </c>
      <c r="C845" s="346">
        <v>833</v>
      </c>
      <c r="D845" s="342">
        <v>636444.97853149241</v>
      </c>
    </row>
    <row r="846" spans="1:4" ht="15.95">
      <c r="A846" s="345">
        <v>0.280402698949066</v>
      </c>
      <c r="B846" s="347" t="s">
        <v>1240</v>
      </c>
      <c r="C846" s="346">
        <v>834</v>
      </c>
      <c r="D846" s="342">
        <v>460746.33879864286</v>
      </c>
    </row>
    <row r="847" spans="1:4" ht="15.95">
      <c r="A847" s="345">
        <v>0.784195315672225</v>
      </c>
      <c r="B847" s="347" t="s">
        <v>1240</v>
      </c>
      <c r="C847" s="346">
        <v>835</v>
      </c>
      <c r="D847" s="342">
        <v>107872.92882069177</v>
      </c>
    </row>
    <row r="848" spans="1:4" ht="15.95">
      <c r="A848" s="345">
        <v>0.85495880539627223</v>
      </c>
      <c r="B848" s="347" t="s">
        <v>1240</v>
      </c>
      <c r="C848" s="346">
        <v>836</v>
      </c>
      <c r="D848" s="342">
        <v>232099.81453229091</v>
      </c>
    </row>
    <row r="849" spans="1:4" ht="15.95">
      <c r="A849" s="345">
        <v>0.83871843680586311</v>
      </c>
      <c r="B849" s="347" t="s">
        <v>1240</v>
      </c>
      <c r="C849" s="346">
        <v>837</v>
      </c>
      <c r="D849" s="342">
        <v>39175.134808802744</v>
      </c>
    </row>
    <row r="850" spans="1:4" ht="15.95">
      <c r="A850" s="345">
        <v>0.79568651488543696</v>
      </c>
      <c r="B850" s="347" t="s">
        <v>1240</v>
      </c>
      <c r="C850" s="346">
        <v>838</v>
      </c>
      <c r="D850" s="342">
        <v>393060.47413406684</v>
      </c>
    </row>
    <row r="851" spans="1:4" ht="15.95">
      <c r="A851" s="345">
        <v>0.26794573384015674</v>
      </c>
      <c r="B851" s="347" t="s">
        <v>1240</v>
      </c>
      <c r="C851" s="346">
        <v>839</v>
      </c>
      <c r="D851" s="342">
        <v>339954.89883369766</v>
      </c>
    </row>
    <row r="852" spans="1:4" ht="15.95">
      <c r="A852" s="345">
        <v>0.47191316988742915</v>
      </c>
      <c r="B852" s="347" t="s">
        <v>1240</v>
      </c>
      <c r="C852" s="346">
        <v>840</v>
      </c>
      <c r="D852" s="342">
        <v>175763.38993552886</v>
      </c>
    </row>
    <row r="853" spans="1:4" ht="15.95">
      <c r="A853" s="345">
        <v>0.51565621872445766</v>
      </c>
      <c r="B853" s="347" t="s">
        <v>1240</v>
      </c>
      <c r="C853" s="346">
        <v>841</v>
      </c>
      <c r="D853" s="342">
        <v>399709.54365739925</v>
      </c>
    </row>
    <row r="854" spans="1:4" ht="15.95">
      <c r="A854" s="345">
        <v>0.2748751993688926</v>
      </c>
      <c r="B854" s="347" t="s">
        <v>1240</v>
      </c>
      <c r="C854" s="346">
        <v>842</v>
      </c>
      <c r="D854" s="342">
        <v>127804.82361786393</v>
      </c>
    </row>
    <row r="855" spans="1:4" ht="15.95">
      <c r="A855" s="345">
        <v>0.48176034253823863</v>
      </c>
      <c r="B855" s="347" t="s">
        <v>1240</v>
      </c>
      <c r="C855" s="346">
        <v>843</v>
      </c>
      <c r="D855" s="342">
        <v>213758.91106599965</v>
      </c>
    </row>
    <row r="856" spans="1:4" ht="15.95">
      <c r="A856" s="345">
        <v>0.89659559261465016</v>
      </c>
      <c r="B856" s="347" t="s">
        <v>1240</v>
      </c>
      <c r="C856" s="346">
        <v>844</v>
      </c>
      <c r="D856" s="342">
        <v>197427.89522478124</v>
      </c>
    </row>
    <row r="857" spans="1:4" ht="15.95">
      <c r="A857" s="345">
        <v>4.9670590468325226E-2</v>
      </c>
      <c r="B857" s="347" t="s">
        <v>1240</v>
      </c>
      <c r="C857" s="346">
        <v>845</v>
      </c>
      <c r="D857" s="342">
        <v>712947.35739856213</v>
      </c>
    </row>
    <row r="858" spans="1:4" ht="15.95">
      <c r="A858" s="345">
        <v>2.5416004941753223E-2</v>
      </c>
      <c r="B858" s="347" t="s">
        <v>1240</v>
      </c>
      <c r="C858" s="346">
        <v>846</v>
      </c>
      <c r="D858" s="342">
        <v>741078.72834802326</v>
      </c>
    </row>
    <row r="859" spans="1:4" ht="15.95">
      <c r="A859" s="345">
        <v>0.7173206804521588</v>
      </c>
      <c r="B859" s="347" t="s">
        <v>1240</v>
      </c>
      <c r="C859" s="346">
        <v>847</v>
      </c>
      <c r="D859" s="342">
        <v>473679.96066536638</v>
      </c>
    </row>
    <row r="860" spans="1:4" ht="15.95">
      <c r="A860" s="345">
        <v>0.89571197407869407</v>
      </c>
      <c r="B860" s="347" t="s">
        <v>1240</v>
      </c>
      <c r="C860" s="346">
        <v>848</v>
      </c>
      <c r="D860" s="342">
        <v>703404.37574182521</v>
      </c>
    </row>
    <row r="861" spans="1:4" ht="15.95">
      <c r="A861" s="345">
        <v>0.61365045265569607</v>
      </c>
      <c r="B861" s="347" t="s">
        <v>1240</v>
      </c>
      <c r="C861" s="346">
        <v>849</v>
      </c>
      <c r="D861" s="342">
        <v>417943.68191539473</v>
      </c>
    </row>
    <row r="862" spans="1:4" ht="15.95">
      <c r="A862" s="345">
        <v>0.37302462706745065</v>
      </c>
      <c r="B862" s="347" t="s">
        <v>1240</v>
      </c>
      <c r="C862" s="346">
        <v>850</v>
      </c>
      <c r="D862" s="342">
        <v>598514.48250183091</v>
      </c>
    </row>
    <row r="863" spans="1:4" ht="15.95">
      <c r="A863" s="345">
        <v>0.64549881455135683</v>
      </c>
      <c r="B863" s="347" t="s">
        <v>1240</v>
      </c>
      <c r="C863" s="346">
        <v>851</v>
      </c>
      <c r="D863" s="342">
        <v>569021.37909456808</v>
      </c>
    </row>
    <row r="864" spans="1:4" ht="15.95">
      <c r="A864" s="345">
        <v>0.13364538578019258</v>
      </c>
      <c r="B864" s="347" t="s">
        <v>1240</v>
      </c>
      <c r="C864" s="346">
        <v>852</v>
      </c>
      <c r="D864" s="342">
        <v>7975.4776298634242</v>
      </c>
    </row>
    <row r="865" spans="1:4" ht="15.95">
      <c r="A865" s="345">
        <v>0.26464448766624837</v>
      </c>
      <c r="B865" s="347" t="s">
        <v>1240</v>
      </c>
      <c r="C865" s="346">
        <v>853</v>
      </c>
      <c r="D865" s="342">
        <v>296368.35494497349</v>
      </c>
    </row>
    <row r="866" spans="1:4" ht="15.95">
      <c r="A866" s="345">
        <v>0.92245418276791979</v>
      </c>
      <c r="B866" s="347" t="s">
        <v>1240</v>
      </c>
      <c r="C866" s="346">
        <v>854</v>
      </c>
      <c r="D866" s="342">
        <v>258837.71916253469</v>
      </c>
    </row>
    <row r="867" spans="1:4" ht="15.95">
      <c r="A867" s="345">
        <v>0.59750198481358474</v>
      </c>
      <c r="B867" s="347" t="s">
        <v>1240</v>
      </c>
      <c r="C867" s="346">
        <v>855</v>
      </c>
      <c r="D867" s="342">
        <v>487845.54890008783</v>
      </c>
    </row>
    <row r="868" spans="1:4" ht="15.95">
      <c r="A868" s="345">
        <v>0.36332825052955176</v>
      </c>
      <c r="B868" s="347" t="s">
        <v>1240</v>
      </c>
      <c r="C868" s="346">
        <v>856</v>
      </c>
      <c r="D868" s="342">
        <v>718479.61246739561</v>
      </c>
    </row>
    <row r="869" spans="1:4" ht="15.95">
      <c r="A869" s="345">
        <v>0.26008152360323078</v>
      </c>
      <c r="B869" s="347" t="s">
        <v>1240</v>
      </c>
      <c r="C869" s="346">
        <v>857</v>
      </c>
      <c r="D869" s="342">
        <v>358887.76206452632</v>
      </c>
    </row>
    <row r="870" spans="1:4" ht="15.95">
      <c r="A870" s="345">
        <v>0.28512272323941668</v>
      </c>
      <c r="B870" s="347" t="s">
        <v>1240</v>
      </c>
      <c r="C870" s="346">
        <v>858</v>
      </c>
      <c r="D870" s="342">
        <v>340961.39252220397</v>
      </c>
    </row>
    <row r="871" spans="1:4" ht="15.95">
      <c r="A871" s="345">
        <v>0.84726753162872614</v>
      </c>
      <c r="B871" s="347" t="s">
        <v>1240</v>
      </c>
      <c r="C871" s="346">
        <v>859</v>
      </c>
      <c r="D871" s="342">
        <v>255095.35409136256</v>
      </c>
    </row>
    <row r="872" spans="1:4" ht="15.95">
      <c r="A872" s="345">
        <v>0.69360999131847534</v>
      </c>
      <c r="B872" s="347" t="s">
        <v>1240</v>
      </c>
      <c r="C872" s="346">
        <v>860</v>
      </c>
      <c r="D872" s="342">
        <v>257296.82209226838</v>
      </c>
    </row>
    <row r="873" spans="1:4" ht="15.95">
      <c r="A873" s="345">
        <v>0.85206189630358464</v>
      </c>
      <c r="B873" s="347" t="s">
        <v>1240</v>
      </c>
      <c r="C873" s="346">
        <v>861</v>
      </c>
      <c r="D873" s="342">
        <v>359064.13939401298</v>
      </c>
    </row>
    <row r="874" spans="1:4" ht="15.95">
      <c r="A874" s="345">
        <v>0.44769526129624415</v>
      </c>
      <c r="B874" s="347" t="s">
        <v>1240</v>
      </c>
      <c r="C874" s="346">
        <v>862</v>
      </c>
      <c r="D874" s="342">
        <v>213316.27394299139</v>
      </c>
    </row>
    <row r="875" spans="1:4" ht="15.95">
      <c r="A875" s="345">
        <v>0.12291224335189344</v>
      </c>
      <c r="B875" s="347" t="s">
        <v>1240</v>
      </c>
      <c r="C875" s="346">
        <v>863</v>
      </c>
      <c r="D875" s="342">
        <v>721948.95210507768</v>
      </c>
    </row>
    <row r="876" spans="1:4" ht="15.95">
      <c r="A876" s="345">
        <v>0.86842648947918555</v>
      </c>
      <c r="B876" s="347" t="s">
        <v>1240</v>
      </c>
      <c r="C876" s="346">
        <v>864</v>
      </c>
      <c r="D876" s="342">
        <v>770691.73647780134</v>
      </c>
    </row>
    <row r="877" spans="1:4" ht="15.95">
      <c r="A877" s="345">
        <v>0.89480345513633408</v>
      </c>
      <c r="B877" s="347" t="s">
        <v>1240</v>
      </c>
      <c r="C877" s="346">
        <v>865</v>
      </c>
      <c r="D877" s="342">
        <v>180386.15149771376</v>
      </c>
    </row>
    <row r="878" spans="1:4" ht="15.95">
      <c r="A878" s="345">
        <v>0.24346412649947402</v>
      </c>
      <c r="B878" s="347" t="s">
        <v>1240</v>
      </c>
      <c r="C878" s="346">
        <v>866</v>
      </c>
      <c r="D878" s="342">
        <v>253809.60969225597</v>
      </c>
    </row>
    <row r="879" spans="1:4" ht="15.95">
      <c r="A879" s="345">
        <v>0.66295381544516263</v>
      </c>
      <c r="B879" s="347" t="s">
        <v>1240</v>
      </c>
      <c r="C879" s="346">
        <v>867</v>
      </c>
      <c r="D879" s="342">
        <v>367715.70906004217</v>
      </c>
    </row>
    <row r="880" spans="1:4" ht="15.95">
      <c r="A880" s="345">
        <v>1.844402651719923E-2</v>
      </c>
      <c r="B880" s="347" t="s">
        <v>1240</v>
      </c>
      <c r="C880" s="346">
        <v>868</v>
      </c>
      <c r="D880" s="342">
        <v>103421.51228316454</v>
      </c>
    </row>
    <row r="881" spans="1:4" ht="15.95">
      <c r="A881" s="345">
        <v>0.35931126417340353</v>
      </c>
      <c r="B881" s="347" t="s">
        <v>1240</v>
      </c>
      <c r="C881" s="346">
        <v>869</v>
      </c>
      <c r="D881" s="342">
        <v>161262.47364549083</v>
      </c>
    </row>
    <row r="882" spans="1:4" ht="15.95">
      <c r="A882" s="345">
        <v>0.60660064791420787</v>
      </c>
      <c r="B882" s="347" t="s">
        <v>1240</v>
      </c>
      <c r="C882" s="346">
        <v>870</v>
      </c>
      <c r="D882" s="342">
        <v>376924.1994704986</v>
      </c>
    </row>
    <row r="883" spans="1:4" ht="15.95">
      <c r="A883" s="345">
        <v>0.73701374334412717</v>
      </c>
      <c r="B883" s="347" t="s">
        <v>1240</v>
      </c>
      <c r="C883" s="346">
        <v>871</v>
      </c>
      <c r="D883" s="342">
        <v>229134.30546355876</v>
      </c>
    </row>
    <row r="884" spans="1:4" ht="15.95">
      <c r="A884" s="345">
        <v>0.34807236774454753</v>
      </c>
      <c r="B884" s="347" t="s">
        <v>1240</v>
      </c>
      <c r="C884" s="346">
        <v>872</v>
      </c>
      <c r="D884" s="342">
        <v>500840.76704937732</v>
      </c>
    </row>
    <row r="885" spans="1:4" ht="15.95">
      <c r="A885" s="345">
        <v>0.74563311214717565</v>
      </c>
      <c r="B885" s="347" t="s">
        <v>1240</v>
      </c>
      <c r="C885" s="346">
        <v>873</v>
      </c>
      <c r="D885" s="342">
        <v>225191.80733384239</v>
      </c>
    </row>
    <row r="886" spans="1:4" ht="15.95">
      <c r="A886" s="345">
        <v>4.042100132432358E-2</v>
      </c>
      <c r="B886" s="347" t="s">
        <v>1240</v>
      </c>
      <c r="C886" s="346">
        <v>874</v>
      </c>
      <c r="D886" s="342">
        <v>438402.8874541223</v>
      </c>
    </row>
    <row r="887" spans="1:4" ht="15.95">
      <c r="A887" s="345">
        <v>0.76619796681245866</v>
      </c>
      <c r="B887" s="347" t="s">
        <v>1240</v>
      </c>
      <c r="C887" s="346">
        <v>875</v>
      </c>
      <c r="D887" s="342">
        <v>179135.27273808094</v>
      </c>
    </row>
    <row r="888" spans="1:4" ht="15.95">
      <c r="A888" s="345">
        <v>0.71712353690931852</v>
      </c>
      <c r="B888" s="347" t="s">
        <v>1240</v>
      </c>
      <c r="C888" s="346">
        <v>876</v>
      </c>
      <c r="D888" s="342">
        <v>-39048.65661115991</v>
      </c>
    </row>
    <row r="889" spans="1:4" ht="15.95">
      <c r="A889" s="345">
        <v>0.11969511337632877</v>
      </c>
      <c r="B889" s="347" t="s">
        <v>1240</v>
      </c>
      <c r="C889" s="346">
        <v>877</v>
      </c>
      <c r="D889" s="342">
        <v>645822.17571807583</v>
      </c>
    </row>
    <row r="890" spans="1:4" ht="15.95">
      <c r="A890" s="345">
        <v>0.62132143963648201</v>
      </c>
      <c r="B890" s="347" t="s">
        <v>1240</v>
      </c>
      <c r="C890" s="346">
        <v>878</v>
      </c>
      <c r="D890" s="342">
        <v>357112.50712084444</v>
      </c>
    </row>
    <row r="891" spans="1:4" ht="15.95">
      <c r="A891" s="345">
        <v>0.60507075877354433</v>
      </c>
      <c r="B891" s="347" t="s">
        <v>1240</v>
      </c>
      <c r="C891" s="346">
        <v>879</v>
      </c>
      <c r="D891" s="342">
        <v>329928.16598583758</v>
      </c>
    </row>
    <row r="892" spans="1:4" ht="15.95">
      <c r="A892" s="345">
        <v>0.25093038740388862</v>
      </c>
      <c r="B892" s="347" t="s">
        <v>1240</v>
      </c>
      <c r="C892" s="346">
        <v>880</v>
      </c>
      <c r="D892" s="342">
        <v>225470.60232661036</v>
      </c>
    </row>
    <row r="893" spans="1:4" ht="15.95">
      <c r="A893" s="345">
        <v>0.22054815957013851</v>
      </c>
      <c r="B893" s="347" t="s">
        <v>1240</v>
      </c>
      <c r="C893" s="346">
        <v>881</v>
      </c>
      <c r="D893" s="342">
        <v>367135.13837953727</v>
      </c>
    </row>
    <row r="894" spans="1:4" ht="15.95">
      <c r="A894" s="345">
        <v>0.74348174670207789</v>
      </c>
      <c r="B894" s="347" t="s">
        <v>1240</v>
      </c>
      <c r="C894" s="346">
        <v>882</v>
      </c>
      <c r="D894" s="342">
        <v>247155.66046843212</v>
      </c>
    </row>
    <row r="895" spans="1:4" ht="15.95">
      <c r="A895" s="345">
        <v>0.14046216263904132</v>
      </c>
      <c r="B895" s="347" t="s">
        <v>1240</v>
      </c>
      <c r="C895" s="346">
        <v>883</v>
      </c>
      <c r="D895" s="342">
        <v>421754.16021328303</v>
      </c>
    </row>
    <row r="896" spans="1:4" ht="15.95">
      <c r="A896" s="345">
        <v>0.96098706838645043</v>
      </c>
      <c r="B896" s="347" t="s">
        <v>1240</v>
      </c>
      <c r="C896" s="346">
        <v>884</v>
      </c>
      <c r="D896" s="342">
        <v>620281.37413705559</v>
      </c>
    </row>
    <row r="897" spans="1:4" ht="15.95">
      <c r="A897" s="345">
        <v>0.62483055457055536</v>
      </c>
      <c r="B897" s="347" t="s">
        <v>1240</v>
      </c>
      <c r="C897" s="346">
        <v>885</v>
      </c>
      <c r="D897" s="342">
        <v>317207.92782055936</v>
      </c>
    </row>
    <row r="898" spans="1:4" ht="15.95">
      <c r="A898" s="345">
        <v>0.75606554697025985</v>
      </c>
      <c r="B898" s="347" t="s">
        <v>1240</v>
      </c>
      <c r="C898" s="346">
        <v>886</v>
      </c>
      <c r="D898" s="342">
        <v>104815.77451256895</v>
      </c>
    </row>
    <row r="899" spans="1:4" ht="15.95">
      <c r="A899" s="345">
        <v>0.41075793089896862</v>
      </c>
      <c r="B899" s="347" t="s">
        <v>1240</v>
      </c>
      <c r="C899" s="346">
        <v>887</v>
      </c>
      <c r="D899" s="342">
        <v>675072.05429693917</v>
      </c>
    </row>
    <row r="900" spans="1:4" ht="15.95">
      <c r="A900" s="345">
        <v>0.81068085491413266</v>
      </c>
      <c r="B900" s="347" t="s">
        <v>1240</v>
      </c>
      <c r="C900" s="346">
        <v>888</v>
      </c>
      <c r="D900" s="342">
        <v>150936.10688575357</v>
      </c>
    </row>
    <row r="901" spans="1:4" ht="15.95">
      <c r="A901" s="345">
        <v>2.6158146455128373E-2</v>
      </c>
      <c r="B901" s="347" t="s">
        <v>1240</v>
      </c>
      <c r="C901" s="346">
        <v>889</v>
      </c>
      <c r="D901" s="342">
        <v>196685.23315715138</v>
      </c>
    </row>
    <row r="902" spans="1:4" ht="15.95">
      <c r="A902" s="345">
        <v>0.62509390370875417</v>
      </c>
      <c r="B902" s="347" t="s">
        <v>1240</v>
      </c>
      <c r="C902" s="346">
        <v>890</v>
      </c>
      <c r="D902" s="342">
        <v>293004.29152287426</v>
      </c>
    </row>
    <row r="903" spans="1:4" ht="15.95">
      <c r="A903" s="345">
        <v>0.72340364835991477</v>
      </c>
      <c r="B903" s="347" t="s">
        <v>1240</v>
      </c>
      <c r="C903" s="346">
        <v>891</v>
      </c>
      <c r="D903" s="342">
        <v>693599.62248179573</v>
      </c>
    </row>
    <row r="904" spans="1:4" ht="15.95">
      <c r="A904" s="345">
        <v>0.90528702050043064</v>
      </c>
      <c r="B904" s="347" t="s">
        <v>1240</v>
      </c>
      <c r="C904" s="346">
        <v>892</v>
      </c>
      <c r="D904" s="342">
        <v>234163.593035531</v>
      </c>
    </row>
    <row r="905" spans="1:4" ht="15.95">
      <c r="A905" s="345">
        <v>0.48879613534684341</v>
      </c>
      <c r="B905" s="347" t="s">
        <v>1240</v>
      </c>
      <c r="C905" s="346">
        <v>893</v>
      </c>
      <c r="D905" s="342">
        <v>274764.13488322985</v>
      </c>
    </row>
    <row r="906" spans="1:4" ht="15.95">
      <c r="A906" s="345">
        <v>0.34935169516126063</v>
      </c>
      <c r="B906" s="347" t="s">
        <v>1240</v>
      </c>
      <c r="C906" s="346">
        <v>894</v>
      </c>
      <c r="D906" s="342">
        <v>158842.37519873073</v>
      </c>
    </row>
    <row r="907" spans="1:4" ht="15.95">
      <c r="A907" s="345">
        <v>0.51006565782325786</v>
      </c>
      <c r="B907" s="347" t="s">
        <v>1240</v>
      </c>
      <c r="C907" s="346">
        <v>895</v>
      </c>
      <c r="D907" s="342">
        <v>425158.63645841577</v>
      </c>
    </row>
    <row r="908" spans="1:4" ht="15.95">
      <c r="A908" s="345">
        <v>0.36561248028451154</v>
      </c>
      <c r="B908" s="347" t="s">
        <v>1240</v>
      </c>
      <c r="C908" s="346">
        <v>896</v>
      </c>
      <c r="D908" s="342">
        <v>590498.83940605237</v>
      </c>
    </row>
    <row r="909" spans="1:4" ht="15.95">
      <c r="A909" s="345">
        <v>0.30829241495302173</v>
      </c>
      <c r="B909" s="347" t="s">
        <v>1240</v>
      </c>
      <c r="C909" s="346">
        <v>897</v>
      </c>
      <c r="D909" s="342">
        <v>420570.90085418359</v>
      </c>
    </row>
    <row r="910" spans="1:4" ht="15.95">
      <c r="A910" s="345">
        <v>0.97964259308134349</v>
      </c>
      <c r="B910" s="347" t="s">
        <v>1240</v>
      </c>
      <c r="C910" s="346">
        <v>898</v>
      </c>
      <c r="D910" s="342">
        <v>226112.39207275352</v>
      </c>
    </row>
    <row r="911" spans="1:4" ht="15.95">
      <c r="A911" s="345">
        <v>0.81731692256684585</v>
      </c>
      <c r="B911" s="347" t="s">
        <v>1240</v>
      </c>
      <c r="C911" s="346">
        <v>899</v>
      </c>
      <c r="D911" s="342">
        <v>188454.96888263477</v>
      </c>
    </row>
    <row r="912" spans="1:4" ht="15.95">
      <c r="A912" s="345">
        <v>6.9005824007195016E-2</v>
      </c>
      <c r="B912" s="347" t="s">
        <v>1240</v>
      </c>
      <c r="C912" s="346">
        <v>900</v>
      </c>
      <c r="D912" s="342">
        <v>265781.86319691595</v>
      </c>
    </row>
    <row r="913" spans="1:4" ht="15.95">
      <c r="A913" s="345">
        <v>8.135094071071014E-2</v>
      </c>
      <c r="B913" s="347" t="s">
        <v>1240</v>
      </c>
      <c r="C913" s="346">
        <v>901</v>
      </c>
      <c r="D913" s="342">
        <v>133736.98893711227</v>
      </c>
    </row>
    <row r="914" spans="1:4" ht="15.95">
      <c r="A914" s="345">
        <v>0.48039617530527945</v>
      </c>
      <c r="B914" s="347" t="s">
        <v>1240</v>
      </c>
      <c r="C914" s="346">
        <v>902</v>
      </c>
      <c r="D914" s="342">
        <v>821780.74173719506</v>
      </c>
    </row>
    <row r="915" spans="1:4" ht="15.95">
      <c r="A915" s="345">
        <v>0.33498902299992883</v>
      </c>
      <c r="B915" s="347" t="s">
        <v>1240</v>
      </c>
      <c r="C915" s="346">
        <v>903</v>
      </c>
      <c r="D915" s="342">
        <v>60659.286673170747</v>
      </c>
    </row>
    <row r="916" spans="1:4" ht="15.95">
      <c r="A916" s="345">
        <v>0.73340728726582383</v>
      </c>
      <c r="B916" s="347" t="s">
        <v>1240</v>
      </c>
      <c r="C916" s="346">
        <v>904</v>
      </c>
      <c r="D916" s="342">
        <v>189403.46046741283</v>
      </c>
    </row>
    <row r="917" spans="1:4" ht="15.95">
      <c r="A917" s="345">
        <v>0.30263049736303826</v>
      </c>
      <c r="B917" s="347" t="s">
        <v>1240</v>
      </c>
      <c r="C917" s="346">
        <v>905</v>
      </c>
      <c r="D917" s="342">
        <v>144153.56168048014</v>
      </c>
    </row>
    <row r="918" spans="1:4" ht="15.95">
      <c r="A918" s="345">
        <v>0.61469034891756413</v>
      </c>
      <c r="B918" s="347" t="s">
        <v>1240</v>
      </c>
      <c r="C918" s="346">
        <v>906</v>
      </c>
      <c r="D918" s="342">
        <v>228284.74860534095</v>
      </c>
    </row>
    <row r="919" spans="1:4" ht="15.95">
      <c r="A919" s="345">
        <v>0.26538738856432176</v>
      </c>
      <c r="B919" s="347" t="s">
        <v>1240</v>
      </c>
      <c r="C919" s="346">
        <v>907</v>
      </c>
      <c r="D919" s="342">
        <v>315553.37131197518</v>
      </c>
    </row>
    <row r="920" spans="1:4" ht="15.95">
      <c r="A920" s="345">
        <v>0.23573819994871503</v>
      </c>
      <c r="B920" s="347" t="s">
        <v>1240</v>
      </c>
      <c r="C920" s="346">
        <v>908</v>
      </c>
      <c r="D920" s="342">
        <v>118842.26074096793</v>
      </c>
    </row>
    <row r="921" spans="1:4" ht="15.95">
      <c r="A921" s="345">
        <v>0.7665521691462861</v>
      </c>
      <c r="B921" s="347" t="s">
        <v>1240</v>
      </c>
      <c r="C921" s="346">
        <v>909</v>
      </c>
      <c r="D921" s="342">
        <v>459104.57794802194</v>
      </c>
    </row>
    <row r="922" spans="1:4" ht="15.95">
      <c r="A922" s="345">
        <v>0.16387077461907495</v>
      </c>
      <c r="B922" s="347" t="s">
        <v>1240</v>
      </c>
      <c r="C922" s="346">
        <v>910</v>
      </c>
      <c r="D922" s="342">
        <v>797214.9546618585</v>
      </c>
    </row>
    <row r="923" spans="1:4" ht="15.95">
      <c r="A923" s="345">
        <v>0.44131737818164007</v>
      </c>
      <c r="B923" s="347" t="s">
        <v>1240</v>
      </c>
      <c r="C923" s="346">
        <v>911</v>
      </c>
      <c r="D923" s="342">
        <v>83841.997483585961</v>
      </c>
    </row>
    <row r="924" spans="1:4" ht="15.95">
      <c r="A924" s="345">
        <v>0.74364828776100234</v>
      </c>
      <c r="B924" s="347" t="s">
        <v>1240</v>
      </c>
      <c r="C924" s="346">
        <v>912</v>
      </c>
      <c r="D924" s="342">
        <v>187176.767076927</v>
      </c>
    </row>
    <row r="925" spans="1:4" ht="15.95">
      <c r="A925" s="345">
        <v>0.29629509691319345</v>
      </c>
      <c r="B925" s="347" t="s">
        <v>1240</v>
      </c>
      <c r="C925" s="346">
        <v>913</v>
      </c>
      <c r="D925" s="342">
        <v>100015.93399082497</v>
      </c>
    </row>
    <row r="926" spans="1:4" ht="15.95">
      <c r="A926" s="345">
        <v>0.32932069775828443</v>
      </c>
      <c r="B926" s="347" t="s">
        <v>1240</v>
      </c>
      <c r="C926" s="346">
        <v>914</v>
      </c>
      <c r="D926" s="342">
        <v>588812.67790161725</v>
      </c>
    </row>
    <row r="927" spans="1:4" ht="15.95">
      <c r="A927" s="345">
        <v>0.10376754556096679</v>
      </c>
      <c r="B927" s="347" t="s">
        <v>1240</v>
      </c>
      <c r="C927" s="346">
        <v>915</v>
      </c>
      <c r="D927" s="342">
        <v>173577.74513150868</v>
      </c>
    </row>
    <row r="928" spans="1:4" ht="15.95">
      <c r="A928" s="345">
        <v>0.13040676758950809</v>
      </c>
      <c r="B928" s="347" t="s">
        <v>1240</v>
      </c>
      <c r="C928" s="346">
        <v>916</v>
      </c>
      <c r="D928" s="342">
        <v>126124.3077331665</v>
      </c>
    </row>
    <row r="929" spans="1:4" ht="15.95">
      <c r="A929" s="345">
        <v>7.5145297650512144E-2</v>
      </c>
      <c r="B929" s="347" t="s">
        <v>1240</v>
      </c>
      <c r="C929" s="346">
        <v>917</v>
      </c>
      <c r="D929" s="342">
        <v>158822.91483766073</v>
      </c>
    </row>
    <row r="930" spans="1:4" ht="15.95">
      <c r="A930" s="345">
        <v>0.4084188194678926</v>
      </c>
      <c r="B930" s="347" t="s">
        <v>1240</v>
      </c>
      <c r="C930" s="346">
        <v>918</v>
      </c>
      <c r="D930" s="342">
        <v>661146.50771632395</v>
      </c>
    </row>
    <row r="931" spans="1:4" ht="15.95">
      <c r="A931" s="345">
        <v>0.28208574457008417</v>
      </c>
      <c r="B931" s="347" t="s">
        <v>1240</v>
      </c>
      <c r="C931" s="346">
        <v>919</v>
      </c>
      <c r="D931" s="342">
        <v>231780.52776539861</v>
      </c>
    </row>
    <row r="932" spans="1:4" ht="15.95">
      <c r="A932" s="345">
        <v>0.55429206373059636</v>
      </c>
      <c r="B932" s="347" t="s">
        <v>1240</v>
      </c>
      <c r="C932" s="346">
        <v>920</v>
      </c>
      <c r="D932" s="342">
        <v>450578.99739160552</v>
      </c>
    </row>
    <row r="933" spans="1:4" ht="15.95">
      <c r="A933" s="345">
        <v>0.34305954410028916</v>
      </c>
      <c r="B933" s="347" t="s">
        <v>1240</v>
      </c>
      <c r="C933" s="346">
        <v>921</v>
      </c>
      <c r="D933" s="342">
        <v>180436.53607891733</v>
      </c>
    </row>
    <row r="934" spans="1:4" ht="15.95">
      <c r="A934" s="345">
        <v>0.67161714036416831</v>
      </c>
      <c r="B934" s="347" t="s">
        <v>1240</v>
      </c>
      <c r="C934" s="346">
        <v>922</v>
      </c>
      <c r="D934" s="342">
        <v>300299.03748564865</v>
      </c>
    </row>
    <row r="935" spans="1:4" ht="15.95">
      <c r="A935" s="345">
        <v>0.91703327507060373</v>
      </c>
      <c r="B935" s="347" t="s">
        <v>1240</v>
      </c>
      <c r="C935" s="346">
        <v>923</v>
      </c>
      <c r="D935" s="342">
        <v>329859.37286169152</v>
      </c>
    </row>
    <row r="936" spans="1:4" ht="15.95">
      <c r="A936" s="345">
        <v>0.86211592405704729</v>
      </c>
      <c r="B936" s="347" t="s">
        <v>1240</v>
      </c>
      <c r="C936" s="346">
        <v>924</v>
      </c>
      <c r="D936" s="342">
        <v>477813.9230489824</v>
      </c>
    </row>
    <row r="937" spans="1:4" ht="15.95">
      <c r="A937" s="345">
        <v>0.14500405872519295</v>
      </c>
      <c r="B937" s="347" t="s">
        <v>1240</v>
      </c>
      <c r="C937" s="346">
        <v>925</v>
      </c>
      <c r="D937" s="342">
        <v>332381.62478929665</v>
      </c>
    </row>
    <row r="938" spans="1:4" ht="15.95">
      <c r="A938" s="345">
        <v>0.96905826080672508</v>
      </c>
      <c r="B938" s="347" t="s">
        <v>1240</v>
      </c>
      <c r="C938" s="346">
        <v>926</v>
      </c>
      <c r="D938" s="342">
        <v>834305.34945351374</v>
      </c>
    </row>
    <row r="939" spans="1:4" ht="15.95">
      <c r="A939" s="345">
        <v>0.89917524029400986</v>
      </c>
      <c r="B939" s="347" t="s">
        <v>1240</v>
      </c>
      <c r="C939" s="346">
        <v>927</v>
      </c>
      <c r="D939" s="342">
        <v>627273.34411695669</v>
      </c>
    </row>
    <row r="940" spans="1:4" ht="15.95">
      <c r="A940" s="345">
        <v>0.9176322196255946</v>
      </c>
      <c r="B940" s="347" t="s">
        <v>1240</v>
      </c>
      <c r="C940" s="346">
        <v>928</v>
      </c>
      <c r="D940" s="342">
        <v>18951.058374059154</v>
      </c>
    </row>
    <row r="941" spans="1:4" ht="15.95">
      <c r="A941" s="345">
        <v>0.90963329458563646</v>
      </c>
      <c r="B941" s="347" t="s">
        <v>1240</v>
      </c>
      <c r="C941" s="346">
        <v>929</v>
      </c>
      <c r="D941" s="342">
        <v>207608.93879322405</v>
      </c>
    </row>
    <row r="942" spans="1:4" ht="15.95">
      <c r="A942" s="345">
        <v>0.78336190765540514</v>
      </c>
      <c r="B942" s="347" t="s">
        <v>1240</v>
      </c>
      <c r="C942" s="346">
        <v>930</v>
      </c>
      <c r="D942" s="342">
        <v>20171.177121458109</v>
      </c>
    </row>
    <row r="943" spans="1:4" ht="15.95">
      <c r="A943" s="345">
        <v>0.58848927908425175</v>
      </c>
      <c r="B943" s="347" t="s">
        <v>1240</v>
      </c>
      <c r="C943" s="346">
        <v>931</v>
      </c>
      <c r="D943" s="342">
        <v>573727.81639119727</v>
      </c>
    </row>
    <row r="944" spans="1:4" ht="15.95">
      <c r="A944" s="345">
        <v>0.87195211611367462</v>
      </c>
      <c r="B944" s="347" t="s">
        <v>1240</v>
      </c>
      <c r="C944" s="346">
        <v>932</v>
      </c>
      <c r="D944" s="342">
        <v>187203.58387998259</v>
      </c>
    </row>
    <row r="945" spans="1:4" ht="15.95">
      <c r="A945" s="345">
        <v>6.4453177643967963E-2</v>
      </c>
      <c r="B945" s="347" t="s">
        <v>1240</v>
      </c>
      <c r="C945" s="346">
        <v>933</v>
      </c>
      <c r="D945" s="342">
        <v>120739.29528263281</v>
      </c>
    </row>
    <row r="946" spans="1:4" ht="15.95">
      <c r="A946" s="345">
        <v>0.33759609253271428</v>
      </c>
      <c r="B946" s="347" t="s">
        <v>1240</v>
      </c>
      <c r="C946" s="346">
        <v>934</v>
      </c>
      <c r="D946" s="342">
        <v>71368.939147667028</v>
      </c>
    </row>
    <row r="947" spans="1:4" ht="15.95">
      <c r="A947" s="345">
        <v>0.98254484861615399</v>
      </c>
      <c r="B947" s="347" t="s">
        <v>1240</v>
      </c>
      <c r="C947" s="346">
        <v>935</v>
      </c>
      <c r="D947" s="342">
        <v>248833.90843999223</v>
      </c>
    </row>
    <row r="948" spans="1:4" ht="15.95">
      <c r="A948" s="345">
        <v>0.23262286139881128</v>
      </c>
      <c r="B948" s="347" t="s">
        <v>1240</v>
      </c>
      <c r="C948" s="346">
        <v>936</v>
      </c>
      <c r="D948" s="342">
        <v>617112.43590100924</v>
      </c>
    </row>
    <row r="949" spans="1:4" ht="15.95">
      <c r="A949" s="345">
        <v>0.66274801054178289</v>
      </c>
      <c r="B949" s="347" t="s">
        <v>1240</v>
      </c>
      <c r="C949" s="346">
        <v>937</v>
      </c>
      <c r="D949" s="342">
        <v>135240.32731263991</v>
      </c>
    </row>
    <row r="950" spans="1:4" ht="15.95">
      <c r="A950" s="345">
        <v>0.84630920119247399</v>
      </c>
      <c r="B950" s="347" t="s">
        <v>1240</v>
      </c>
      <c r="C950" s="346">
        <v>938</v>
      </c>
      <c r="D950" s="342">
        <v>453704.19196989946</v>
      </c>
    </row>
    <row r="951" spans="1:4" ht="15.95">
      <c r="A951" s="345">
        <v>0.32700155505100825</v>
      </c>
      <c r="B951" s="347" t="s">
        <v>1240</v>
      </c>
      <c r="C951" s="346">
        <v>939</v>
      </c>
      <c r="D951" s="342">
        <v>293100.98943875404</v>
      </c>
    </row>
    <row r="952" spans="1:4" ht="15.95">
      <c r="A952" s="345">
        <v>0.40684047006594615</v>
      </c>
      <c r="B952" s="347" t="s">
        <v>1240</v>
      </c>
      <c r="C952" s="346">
        <v>940</v>
      </c>
      <c r="D952" s="342">
        <v>465456.20078042033</v>
      </c>
    </row>
    <row r="953" spans="1:4" ht="15.95">
      <c r="A953" s="345">
        <v>0.98389346409554657</v>
      </c>
      <c r="B953" s="347" t="s">
        <v>1240</v>
      </c>
      <c r="C953" s="346">
        <v>941</v>
      </c>
      <c r="D953" s="342">
        <v>679864.02442876622</v>
      </c>
    </row>
    <row r="954" spans="1:4" ht="15.95">
      <c r="A954" s="345">
        <v>0.81302567693156802</v>
      </c>
      <c r="B954" s="347" t="s">
        <v>1240</v>
      </c>
      <c r="C954" s="346">
        <v>942</v>
      </c>
      <c r="D954" s="342">
        <v>482215.58345058258</v>
      </c>
    </row>
    <row r="955" spans="1:4" ht="15.95">
      <c r="A955" s="345">
        <v>0.91257544089594989</v>
      </c>
      <c r="B955" s="347" t="s">
        <v>1240</v>
      </c>
      <c r="C955" s="346">
        <v>943</v>
      </c>
      <c r="D955" s="342">
        <v>72568.258222004399</v>
      </c>
    </row>
    <row r="956" spans="1:4" ht="15.95">
      <c r="A956" s="345">
        <v>0.53863444607524258</v>
      </c>
      <c r="B956" s="347" t="s">
        <v>1240</v>
      </c>
      <c r="C956" s="346">
        <v>944</v>
      </c>
      <c r="D956" s="342">
        <v>40619.294814749388</v>
      </c>
    </row>
    <row r="957" spans="1:4" ht="15.95">
      <c r="A957" s="345">
        <v>0.2907355239951489</v>
      </c>
      <c r="B957" s="347" t="s">
        <v>1240</v>
      </c>
      <c r="C957" s="346">
        <v>945</v>
      </c>
      <c r="D957" s="342">
        <v>463774.39069695584</v>
      </c>
    </row>
    <row r="958" spans="1:4" ht="15.95">
      <c r="A958" s="345">
        <v>0.60695157054947013</v>
      </c>
      <c r="B958" s="347" t="s">
        <v>1240</v>
      </c>
      <c r="C958" s="346">
        <v>946</v>
      </c>
      <c r="D958" s="342">
        <v>280333.37865280174</v>
      </c>
    </row>
    <row r="959" spans="1:4" ht="15.95">
      <c r="A959" s="345">
        <v>0.83453263116500886</v>
      </c>
      <c r="B959" s="347" t="s">
        <v>1240</v>
      </c>
      <c r="C959" s="346">
        <v>947</v>
      </c>
      <c r="D959" s="342">
        <v>632355.80145691987</v>
      </c>
    </row>
    <row r="960" spans="1:4" ht="15.95">
      <c r="A960" s="345">
        <v>0.65159868816343336</v>
      </c>
      <c r="B960" s="347" t="s">
        <v>1240</v>
      </c>
      <c r="C960" s="346">
        <v>948</v>
      </c>
      <c r="D960" s="342">
        <v>196894.67062414484</v>
      </c>
    </row>
    <row r="961" spans="1:4" ht="15.95">
      <c r="A961" s="345">
        <v>0.78766387996387044</v>
      </c>
      <c r="B961" s="347" t="s">
        <v>1240</v>
      </c>
      <c r="C961" s="346">
        <v>949</v>
      </c>
      <c r="D961" s="342">
        <v>378572.01426515193</v>
      </c>
    </row>
    <row r="962" spans="1:4" ht="15.95">
      <c r="A962" s="345">
        <v>0.69033549932356097</v>
      </c>
      <c r="B962" s="347" t="s">
        <v>1240</v>
      </c>
      <c r="C962" s="346">
        <v>950</v>
      </c>
      <c r="D962" s="342">
        <v>589411.87140064756</v>
      </c>
    </row>
    <row r="963" spans="1:4" ht="15.95">
      <c r="A963" s="345">
        <v>0.32648320384235086</v>
      </c>
      <c r="B963" s="347" t="s">
        <v>1240</v>
      </c>
      <c r="C963" s="346">
        <v>951</v>
      </c>
      <c r="D963" s="342">
        <v>154548.99181566644</v>
      </c>
    </row>
    <row r="964" spans="1:4" ht="15.95">
      <c r="A964" s="345">
        <v>0.60921839681762957</v>
      </c>
      <c r="B964" s="347" t="s">
        <v>1240</v>
      </c>
      <c r="C964" s="346">
        <v>952</v>
      </c>
      <c r="D964" s="342">
        <v>664827.01129901432</v>
      </c>
    </row>
    <row r="965" spans="1:4" ht="15.95">
      <c r="A965" s="345">
        <v>0.37103206209048811</v>
      </c>
      <c r="B965" s="347" t="s">
        <v>1240</v>
      </c>
      <c r="C965" s="346">
        <v>953</v>
      </c>
      <c r="D965" s="342">
        <v>647410.50793970493</v>
      </c>
    </row>
    <row r="966" spans="1:4" ht="15.95">
      <c r="A966" s="345">
        <v>0.10220191913891485</v>
      </c>
      <c r="B966" s="347" t="s">
        <v>1240</v>
      </c>
      <c r="C966" s="346">
        <v>954</v>
      </c>
      <c r="D966" s="342">
        <v>223955.87031227676</v>
      </c>
    </row>
    <row r="967" spans="1:4" ht="15.95">
      <c r="A967" s="345">
        <v>0.21207396777725651</v>
      </c>
      <c r="B967" s="347" t="s">
        <v>1240</v>
      </c>
      <c r="C967" s="346">
        <v>955</v>
      </c>
      <c r="D967" s="342">
        <v>439588.81904609385</v>
      </c>
    </row>
    <row r="968" spans="1:4" ht="15.95">
      <c r="A968" s="345">
        <v>0.4383055906343658</v>
      </c>
      <c r="B968" s="347" t="s">
        <v>1240</v>
      </c>
      <c r="C968" s="346">
        <v>956</v>
      </c>
      <c r="D968" s="342">
        <v>623390.66931526596</v>
      </c>
    </row>
    <row r="969" spans="1:4" ht="15.95">
      <c r="A969" s="345">
        <v>0.83544807787155007</v>
      </c>
      <c r="B969" s="347" t="s">
        <v>1240</v>
      </c>
      <c r="C969" s="346">
        <v>957</v>
      </c>
      <c r="D969" s="342">
        <v>261982.66733929515</v>
      </c>
    </row>
    <row r="970" spans="1:4" ht="15.95">
      <c r="A970" s="345">
        <v>0.3189335192774474</v>
      </c>
      <c r="B970" s="347" t="s">
        <v>1240</v>
      </c>
      <c r="C970" s="346">
        <v>958</v>
      </c>
      <c r="D970" s="342">
        <v>668494.23312369036</v>
      </c>
    </row>
    <row r="971" spans="1:4" ht="15.95">
      <c r="A971" s="345">
        <v>0.81491664162647048</v>
      </c>
      <c r="B971" s="347" t="s">
        <v>1240</v>
      </c>
      <c r="C971" s="346">
        <v>959</v>
      </c>
      <c r="D971" s="342">
        <v>529468.1319766338</v>
      </c>
    </row>
    <row r="972" spans="1:4" ht="15.95">
      <c r="A972" s="345">
        <v>0.74964234995130674</v>
      </c>
      <c r="B972" s="347" t="s">
        <v>1240</v>
      </c>
      <c r="C972" s="346">
        <v>960</v>
      </c>
      <c r="D972" s="342">
        <v>294411.77774274326</v>
      </c>
    </row>
    <row r="973" spans="1:4" ht="15.95">
      <c r="A973" s="345">
        <v>8.6167765192325274E-2</v>
      </c>
      <c r="B973" s="347" t="s">
        <v>1240</v>
      </c>
      <c r="C973" s="346">
        <v>961</v>
      </c>
      <c r="D973" s="342">
        <v>144551.63338925457</v>
      </c>
    </row>
    <row r="974" spans="1:4" ht="15.95">
      <c r="A974" s="345">
        <v>0.98586705478562964</v>
      </c>
      <c r="B974" s="347" t="s">
        <v>1240</v>
      </c>
      <c r="C974" s="346">
        <v>962</v>
      </c>
      <c r="D974" s="342">
        <v>203246.73073704191</v>
      </c>
    </row>
    <row r="975" spans="1:4" ht="15.95">
      <c r="A975" s="345">
        <v>0.71247336864800026</v>
      </c>
      <c r="B975" s="347" t="s">
        <v>1240</v>
      </c>
      <c r="C975" s="346">
        <v>963</v>
      </c>
      <c r="D975" s="342">
        <v>287076.38918450312</v>
      </c>
    </row>
    <row r="976" spans="1:4" ht="15.95">
      <c r="A976" s="345">
        <v>0.64904907527759037</v>
      </c>
      <c r="B976" s="347" t="s">
        <v>1240</v>
      </c>
      <c r="C976" s="346">
        <v>964</v>
      </c>
      <c r="D976" s="342">
        <v>146337.26577669638</v>
      </c>
    </row>
    <row r="977" spans="1:4" ht="15.95">
      <c r="A977" s="345">
        <v>8.8574011755711113E-2</v>
      </c>
      <c r="B977" s="347" t="s">
        <v>1240</v>
      </c>
      <c r="C977" s="346">
        <v>965</v>
      </c>
      <c r="D977" s="342">
        <v>199661.6186451586</v>
      </c>
    </row>
    <row r="978" spans="1:4" ht="15.95">
      <c r="A978" s="345">
        <v>0.24663906462134488</v>
      </c>
      <c r="B978" s="347" t="s">
        <v>1240</v>
      </c>
      <c r="C978" s="346">
        <v>966</v>
      </c>
      <c r="D978" s="342">
        <v>45341.160617902409</v>
      </c>
    </row>
    <row r="979" spans="1:4" ht="15.95">
      <c r="A979" s="345">
        <v>0.11080369065289353</v>
      </c>
      <c r="B979" s="347" t="s">
        <v>1240</v>
      </c>
      <c r="C979" s="346">
        <v>967</v>
      </c>
      <c r="D979" s="342">
        <v>302108.76280868216</v>
      </c>
    </row>
    <row r="980" spans="1:4" ht="15.95">
      <c r="A980" s="345">
        <v>0.52972635124192902</v>
      </c>
      <c r="B980" s="347" t="s">
        <v>1240</v>
      </c>
      <c r="C980" s="346">
        <v>968</v>
      </c>
      <c r="D980" s="342">
        <v>137933.43015569332</v>
      </c>
    </row>
    <row r="981" spans="1:4" ht="15.95">
      <c r="A981" s="345">
        <v>0.13047727529242181</v>
      </c>
      <c r="B981" s="347" t="s">
        <v>1240</v>
      </c>
      <c r="C981" s="346">
        <v>969</v>
      </c>
      <c r="D981" s="342">
        <v>143468.96849054238</v>
      </c>
    </row>
    <row r="982" spans="1:4" ht="15.95">
      <c r="A982" s="345">
        <v>0.907365782404434</v>
      </c>
      <c r="B982" s="347" t="s">
        <v>1240</v>
      </c>
      <c r="C982" s="346">
        <v>970</v>
      </c>
      <c r="D982" s="342">
        <v>190737.23457697243</v>
      </c>
    </row>
    <row r="983" spans="1:4" ht="15.95">
      <c r="A983" s="345">
        <v>0.85121958321341529</v>
      </c>
      <c r="B983" s="347" t="s">
        <v>1240</v>
      </c>
      <c r="C983" s="346">
        <v>971</v>
      </c>
      <c r="D983" s="342">
        <v>69940.237249877071</v>
      </c>
    </row>
    <row r="984" spans="1:4" ht="15.95">
      <c r="A984" s="345">
        <v>0.34006795322647276</v>
      </c>
      <c r="B984" s="347" t="s">
        <v>1240</v>
      </c>
      <c r="C984" s="346">
        <v>972</v>
      </c>
      <c r="D984" s="342">
        <v>359384.42433744064</v>
      </c>
    </row>
    <row r="985" spans="1:4" ht="15.95">
      <c r="A985" s="345">
        <v>6.9603382483868104E-2</v>
      </c>
      <c r="B985" s="347" t="s">
        <v>1240</v>
      </c>
      <c r="C985" s="346">
        <v>973</v>
      </c>
      <c r="D985" s="342">
        <v>-8570.0806890632957</v>
      </c>
    </row>
    <row r="986" spans="1:4" ht="15.95">
      <c r="A986" s="345">
        <v>0.71902864493183183</v>
      </c>
      <c r="B986" s="347" t="s">
        <v>1240</v>
      </c>
      <c r="C986" s="346">
        <v>974</v>
      </c>
      <c r="D986" s="342">
        <v>-19451.017787987133</v>
      </c>
    </row>
    <row r="987" spans="1:4" ht="15.95">
      <c r="A987" s="345">
        <v>0.80118977258689317</v>
      </c>
      <c r="B987" s="347" t="s">
        <v>1240</v>
      </c>
      <c r="C987" s="346">
        <v>975</v>
      </c>
      <c r="D987" s="342">
        <v>464171.82953350991</v>
      </c>
    </row>
    <row r="988" spans="1:4" ht="15.95">
      <c r="A988" s="345">
        <v>0.62239961899524543</v>
      </c>
      <c r="B988" s="347" t="s">
        <v>1240</v>
      </c>
      <c r="C988" s="346">
        <v>976</v>
      </c>
      <c r="D988" s="342">
        <v>160473.25165471993</v>
      </c>
    </row>
    <row r="989" spans="1:4" ht="15.95">
      <c r="A989" s="345">
        <v>9.4973463177770556E-2</v>
      </c>
      <c r="B989" s="347" t="s">
        <v>1240</v>
      </c>
      <c r="C989" s="346">
        <v>977</v>
      </c>
      <c r="D989" s="342">
        <v>142188.93168128398</v>
      </c>
    </row>
    <row r="990" spans="1:4" ht="15.95">
      <c r="A990" s="345">
        <v>0.6792703545656712</v>
      </c>
      <c r="B990" s="347" t="s">
        <v>1240</v>
      </c>
      <c r="C990" s="346">
        <v>978</v>
      </c>
      <c r="D990" s="342">
        <v>230303.65095342067</v>
      </c>
    </row>
    <row r="991" spans="1:4" ht="15.95">
      <c r="A991" s="345">
        <v>0.11588119275268616</v>
      </c>
      <c r="B991" s="347" t="s">
        <v>1240</v>
      </c>
      <c r="C991" s="346">
        <v>979</v>
      </c>
      <c r="D991" s="342">
        <v>436977.33061955473</v>
      </c>
    </row>
    <row r="992" spans="1:4" ht="15.95">
      <c r="A992" s="345">
        <v>0.87089591264696231</v>
      </c>
      <c r="B992" s="347" t="s">
        <v>1240</v>
      </c>
      <c r="C992" s="346">
        <v>980</v>
      </c>
      <c r="D992" s="342">
        <v>422373.47063930891</v>
      </c>
    </row>
    <row r="993" spans="1:4" ht="15.95">
      <c r="A993" s="345">
        <v>0.73425051065787716</v>
      </c>
      <c r="B993" s="347" t="s">
        <v>1240</v>
      </c>
      <c r="C993" s="346">
        <v>981</v>
      </c>
      <c r="D993" s="342">
        <v>19525.913387096487</v>
      </c>
    </row>
    <row r="994" spans="1:4" ht="15.95">
      <c r="A994" s="345">
        <v>0.66241039334708052</v>
      </c>
      <c r="B994" s="347" t="s">
        <v>1240</v>
      </c>
      <c r="C994" s="346">
        <v>982</v>
      </c>
      <c r="D994" s="342">
        <v>610240.36078317766</v>
      </c>
    </row>
    <row r="995" spans="1:4" ht="15.95">
      <c r="A995" s="345">
        <v>0.84124969446199227</v>
      </c>
      <c r="B995" s="347" t="s">
        <v>1240</v>
      </c>
      <c r="C995" s="346">
        <v>983</v>
      </c>
      <c r="D995" s="342">
        <v>263551.14330995921</v>
      </c>
    </row>
    <row r="996" spans="1:4" ht="15.95">
      <c r="A996" s="345">
        <v>0.74445969836315373</v>
      </c>
      <c r="B996" s="347" t="s">
        <v>1240</v>
      </c>
      <c r="C996" s="346">
        <v>984</v>
      </c>
      <c r="D996" s="342">
        <v>67208.892360052327</v>
      </c>
    </row>
    <row r="997" spans="1:4" ht="15.95">
      <c r="A997" s="345">
        <v>0.19697824786165141</v>
      </c>
      <c r="B997" s="347" t="s">
        <v>1240</v>
      </c>
      <c r="C997" s="346">
        <v>985</v>
      </c>
      <c r="D997" s="342">
        <v>548671.10778665286</v>
      </c>
    </row>
    <row r="998" spans="1:4" ht="15.95">
      <c r="A998" s="345">
        <v>0.53346499072216969</v>
      </c>
      <c r="B998" s="347" t="s">
        <v>1240</v>
      </c>
      <c r="C998" s="346">
        <v>986</v>
      </c>
      <c r="D998" s="342">
        <v>296555.16881490475</v>
      </c>
    </row>
    <row r="999" spans="1:4" ht="15.95">
      <c r="A999" s="345">
        <v>0.8453519190410429</v>
      </c>
      <c r="B999" s="347" t="s">
        <v>1240</v>
      </c>
      <c r="C999" s="346">
        <v>987</v>
      </c>
      <c r="D999" s="342">
        <v>277733.37815192575</v>
      </c>
    </row>
    <row r="1000" spans="1:4" ht="15.95">
      <c r="A1000" s="345">
        <v>0.79743968838225388</v>
      </c>
      <c r="B1000" s="347" t="s">
        <v>1240</v>
      </c>
      <c r="C1000" s="346">
        <v>988</v>
      </c>
      <c r="D1000" s="342">
        <v>488200.23030690337</v>
      </c>
    </row>
    <row r="1001" spans="1:4" ht="15.95">
      <c r="A1001" s="345">
        <v>0.94493541394125902</v>
      </c>
      <c r="B1001" s="347" t="s">
        <v>1240</v>
      </c>
      <c r="C1001" s="346">
        <v>989</v>
      </c>
      <c r="D1001" s="342">
        <v>66953.545443136478</v>
      </c>
    </row>
    <row r="1002" spans="1:4" ht="15.95">
      <c r="A1002" s="345">
        <v>0.69609779636419922</v>
      </c>
      <c r="B1002" s="347" t="s">
        <v>1240</v>
      </c>
      <c r="C1002" s="346">
        <v>990</v>
      </c>
      <c r="D1002" s="342">
        <v>229754.9538179636</v>
      </c>
    </row>
    <row r="1003" spans="1:4" ht="15.95">
      <c r="A1003" s="345">
        <v>0.22050671699885915</v>
      </c>
      <c r="B1003" s="347" t="s">
        <v>1240</v>
      </c>
      <c r="C1003" s="346">
        <v>991</v>
      </c>
      <c r="D1003" s="342">
        <v>378945.95278146886</v>
      </c>
    </row>
    <row r="1004" spans="1:4" ht="15.95">
      <c r="A1004" s="345">
        <v>0.58850367923119273</v>
      </c>
      <c r="B1004" s="347" t="s">
        <v>1240</v>
      </c>
      <c r="C1004" s="346">
        <v>992</v>
      </c>
      <c r="D1004" s="342">
        <v>494992.16472554323</v>
      </c>
    </row>
    <row r="1005" spans="1:4" ht="15.95">
      <c r="A1005" s="345">
        <v>0.57463452661731895</v>
      </c>
      <c r="B1005" s="347" t="s">
        <v>1240</v>
      </c>
      <c r="C1005" s="346">
        <v>993</v>
      </c>
      <c r="D1005" s="342">
        <v>5256.5162977508735</v>
      </c>
    </row>
    <row r="1006" spans="1:4" ht="15.95">
      <c r="A1006" s="345">
        <v>2.252253240966251E-2</v>
      </c>
      <c r="B1006" s="347" t="s">
        <v>1240</v>
      </c>
      <c r="C1006" s="346">
        <v>994</v>
      </c>
      <c r="D1006" s="342">
        <v>110155.62163541536</v>
      </c>
    </row>
    <row r="1007" spans="1:4" ht="15.95">
      <c r="A1007" s="345">
        <v>0.33504656251185561</v>
      </c>
      <c r="B1007" s="347" t="s">
        <v>1240</v>
      </c>
      <c r="C1007" s="346">
        <v>995</v>
      </c>
      <c r="D1007" s="342">
        <v>478029.13956849696</v>
      </c>
    </row>
    <row r="1008" spans="1:4" ht="15.95">
      <c r="A1008" s="345">
        <v>0.80150141085095428</v>
      </c>
      <c r="B1008" s="347" t="s">
        <v>1240</v>
      </c>
      <c r="C1008" s="346">
        <v>996</v>
      </c>
      <c r="D1008" s="342">
        <v>232334.40308475425</v>
      </c>
    </row>
    <row r="1009" spans="1:4" ht="15.95">
      <c r="A1009" s="345">
        <v>0.15369660992214929</v>
      </c>
      <c r="B1009" s="347" t="s">
        <v>1240</v>
      </c>
      <c r="C1009" s="346">
        <v>997</v>
      </c>
      <c r="D1009" s="342">
        <v>213224.08658193005</v>
      </c>
    </row>
    <row r="1010" spans="1:4" ht="15.95">
      <c r="A1010" s="345">
        <v>0.35297549607746026</v>
      </c>
      <c r="B1010" s="347" t="s">
        <v>1240</v>
      </c>
      <c r="C1010" s="346">
        <v>998</v>
      </c>
      <c r="D1010" s="342">
        <v>452049.98667728528</v>
      </c>
    </row>
    <row r="1011" spans="1:4" ht="15.95">
      <c r="A1011" s="345">
        <v>0.59772498816225084</v>
      </c>
      <c r="B1011" s="347" t="s">
        <v>1240</v>
      </c>
      <c r="C1011" s="346">
        <v>999</v>
      </c>
      <c r="D1011" s="342">
        <v>595262.32641512365</v>
      </c>
    </row>
    <row r="1012" spans="1:4" ht="15.95">
      <c r="A1012" s="345">
        <v>0.94574572867635698</v>
      </c>
      <c r="B1012" s="347" t="s">
        <v>1240</v>
      </c>
      <c r="C1012" s="346">
        <v>1000</v>
      </c>
      <c r="D1012" s="342">
        <v>533592.97442626394</v>
      </c>
    </row>
  </sheetData>
  <hyperlinks>
    <hyperlink ref="F1" location="Index!A1" display="Back to Index" xr:uid="{337D516E-FE5F-4697-B729-6CD70AC56C52}"/>
    <hyperlink ref="F3" location="'QM Simulation Summary Stats'!A1" display="Go to Simulation Summary" xr:uid="{CF43BABA-51FE-44AF-94C5-05B50472E1D4}"/>
    <hyperlink ref="F2" location="'QM Parameters for Simulation'!A1" display="Go to Parameters for Simulations" xr:uid="{4A155DE3-C15D-4736-B650-14BD6B8EA209}"/>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363B68BF7506E479EEB03D4C9FE488F" ma:contentTypeVersion="6" ma:contentTypeDescription="Create a new document." ma:contentTypeScope="" ma:versionID="33b5cb4b944e2ed80279a01a173cfb5b">
  <xsd:schema xmlns:xsd="http://www.w3.org/2001/XMLSchema" xmlns:xs="http://www.w3.org/2001/XMLSchema" xmlns:p="http://schemas.microsoft.com/office/2006/metadata/properties" xmlns:ns2="3d01ed9c-f6a0-426d-afa0-b0ec1b8f83f1" xmlns:ns3="3ed3730d-0cc5-476a-8a62-2a4c7092687e" targetNamespace="http://schemas.microsoft.com/office/2006/metadata/properties" ma:root="true" ma:fieldsID="0b7d9a4f19ae0516f987bbd9c2596c0b" ns2:_="" ns3:_="">
    <xsd:import namespace="3d01ed9c-f6a0-426d-afa0-b0ec1b8f83f1"/>
    <xsd:import namespace="3ed3730d-0cc5-476a-8a62-2a4c7092687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01ed9c-f6a0-426d-afa0-b0ec1b8f83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ed3730d-0cc5-476a-8a62-2a4c7092687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6DA159-8C37-41DF-AC40-3EA5B9FAAB3C}"/>
</file>

<file path=customXml/itemProps2.xml><?xml version="1.0" encoding="utf-8"?>
<ds:datastoreItem xmlns:ds="http://schemas.openxmlformats.org/officeDocument/2006/customXml" ds:itemID="{D67DA586-9FF5-4759-808B-B73C04EBD8EF}"/>
</file>

<file path=customXml/itemProps3.xml><?xml version="1.0" encoding="utf-8"?>
<ds:datastoreItem xmlns:ds="http://schemas.openxmlformats.org/officeDocument/2006/customXml" ds:itemID="{F49D0369-EFF8-488A-9970-C218BAD34C1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Dhruva, Avi</cp:lastModifiedBy>
  <cp:revision/>
  <dcterms:created xsi:type="dcterms:W3CDTF">2023-03-29T05:14:17Z</dcterms:created>
  <dcterms:modified xsi:type="dcterms:W3CDTF">2024-02-21T20:10:38Z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0x0101000363B68BF7506E479EEB03D4C9FE488F</vt:lpwstr>
  </property>
</Properties>
</file>