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<sst xmlns="http://schemas.openxmlformats.org/spreadsheetml/2006/main" count="157" uniqueCount="137">
  <si>
    <t>Source</t>
  </si>
  <si>
    <t>Funding Provided</t>
  </si>
  <si>
    <t>Equity</t>
  </si>
  <si>
    <t>Management</t>
  </si>
  <si>
    <t>Employees</t>
  </si>
  <si>
    <t>Baring Capital Investors</t>
  </si>
  <si>
    <t>Mezzanine Debt</t>
  </si>
  <si>
    <t>Senior Debt</t>
  </si>
  <si>
    <r>
      <rPr>
        <rFont val="Arial"/>
        <color theme="1"/>
        <sz val="10.0"/>
      </rPr>
      <t>Total Financing</t>
    </r>
    <r>
      <rPr>
        <rFont val="Arial"/>
        <color theme="1"/>
        <sz val="10.0"/>
        <vertAlign val="superscript"/>
      </rPr>
      <t>a</t>
    </r>
  </si>
  <si>
    <t>340</t>
  </si>
  <si>
    <t>Segements</t>
  </si>
  <si>
    <t>1988-1989</t>
  </si>
  <si>
    <t>1990</t>
  </si>
  <si>
    <t>1991</t>
  </si>
  <si>
    <t>1992</t>
  </si>
  <si>
    <t>1993</t>
  </si>
  <si>
    <t>1994</t>
  </si>
  <si>
    <t>Hot water radiators</t>
  </si>
  <si>
    <t>Towel dryers</t>
  </si>
  <si>
    <t>Electric dryers</t>
  </si>
  <si>
    <t>Hot-Water Radiators</t>
  </si>
  <si>
    <t xml:space="preserve">Towel-Drrying Radiators </t>
  </si>
  <si>
    <t xml:space="preserve">Electric Radiators </t>
  </si>
  <si>
    <t>YEAR</t>
  </si>
  <si>
    <t>1990E</t>
  </si>
  <si>
    <t>1991E</t>
  </si>
  <si>
    <t>1992E</t>
  </si>
  <si>
    <t>1993E</t>
  </si>
  <si>
    <t>SALES</t>
  </si>
  <si>
    <t>cost of debt</t>
  </si>
  <si>
    <t>Tranche</t>
  </si>
  <si>
    <t>Amount</t>
  </si>
  <si>
    <t>Fully Drawn Cost</t>
  </si>
  <si>
    <t>Weighted average</t>
  </si>
  <si>
    <t>Senior debt</t>
  </si>
  <si>
    <t xml:space="preserve">Sales </t>
  </si>
  <si>
    <t>(sales in1994 from exhibit3)</t>
  </si>
  <si>
    <t>Subordinate debt</t>
  </si>
  <si>
    <t xml:space="preserve">EBIT </t>
  </si>
  <si>
    <t>WC loan</t>
  </si>
  <si>
    <t>EBIT*(1-t)</t>
  </si>
  <si>
    <t>Total</t>
  </si>
  <si>
    <t>Depreciation</t>
  </si>
  <si>
    <t>Capex</t>
  </si>
  <si>
    <t>Change in WC</t>
  </si>
  <si>
    <t>FCF assets</t>
  </si>
  <si>
    <t>Terminal WACC</t>
  </si>
  <si>
    <t>Terminal value assets</t>
  </si>
  <si>
    <t>Terminal value debt</t>
  </si>
  <si>
    <t>Risk-free Rate (Rf)</t>
  </si>
  <si>
    <t>(France Long-Term Government from exhibit6)</t>
  </si>
  <si>
    <t>terminal equity</t>
  </si>
  <si>
    <t>Risk Premium(Rp)</t>
  </si>
  <si>
    <t>https://www.jstor.org/stable/2697753</t>
  </si>
  <si>
    <t>D/E</t>
  </si>
  <si>
    <t>https://alfred.stlouisfed.org/series?seid=TOTDTEFRA163N&amp;utm_source=series_page&amp;utm_medium=related_content&amp;utm_term=related_resources&amp;utm_campaign=alfred</t>
  </si>
  <si>
    <t>Cost of debt</t>
  </si>
  <si>
    <t>Asset beta</t>
  </si>
  <si>
    <t>https://pages.stern.nyu.edu/~adamodar/New_Home_Page/datafile/totalbeta.html</t>
  </si>
  <si>
    <t>Tax rate</t>
  </si>
  <si>
    <t>exhibit3</t>
  </si>
  <si>
    <t>Equity beta</t>
  </si>
  <si>
    <t>Cost of equity</t>
  </si>
  <si>
    <t>After tax WACC</t>
  </si>
  <si>
    <t xml:space="preserve">Terminal growth rate     </t>
  </si>
  <si>
    <t>https://data.worldbank.org/indicator/NY.GDP.MKTP.KD.ZG?most_recent_year_desc=true</t>
  </si>
  <si>
    <t>wc % of sales</t>
  </si>
  <si>
    <t>EBIT</t>
  </si>
  <si>
    <t>34,907</t>
  </si>
  <si>
    <t>43,120</t>
  </si>
  <si>
    <t>55,989</t>
  </si>
  <si>
    <t>70,897</t>
  </si>
  <si>
    <t>85,077</t>
  </si>
  <si>
    <t>Interest income of Target Co.</t>
  </si>
  <si>
    <t>3,399</t>
  </si>
  <si>
    <t>801</t>
  </si>
  <si>
    <t>613</t>
  </si>
  <si>
    <t>852</t>
  </si>
  <si>
    <t>1,114</t>
  </si>
  <si>
    <t>1,391</t>
  </si>
  <si>
    <t>Total interest expense</t>
  </si>
  <si>
    <t>Acquisition costs</t>
  </si>
  <si>
    <t>0</t>
  </si>
  <si>
    <t>Pretax profit</t>
  </si>
  <si>
    <t>Taxes @ 37%</t>
  </si>
  <si>
    <t>Net income</t>
  </si>
  <si>
    <t>11,700</t>
  </si>
  <si>
    <t>19,000</t>
  </si>
  <si>
    <t>20,000</t>
  </si>
  <si>
    <t>25,000</t>
  </si>
  <si>
    <t>Amortization of acquisition costs</t>
  </si>
  <si>
    <t>Capital expenditures</t>
  </si>
  <si>
    <t>Change in net working capital</t>
  </si>
  <si>
    <t>Cash flow available</t>
  </si>
  <si>
    <t>--</t>
  </si>
  <si>
    <t>Principal payments</t>
  </si>
  <si>
    <t>Equity cash flow</t>
  </si>
  <si>
    <t>Additional Balance Sheet Information</t>
  </si>
  <si>
    <t>Working capital</t>
  </si>
  <si>
    <t>63,162</t>
  </si>
  <si>
    <t>71,060</t>
  </si>
  <si>
    <t>78,521</t>
  </si>
  <si>
    <t>86,766</t>
  </si>
  <si>
    <t>95,443</t>
  </si>
  <si>
    <t>104,987</t>
  </si>
  <si>
    <t>Percentage of sales</t>
  </si>
  <si>
    <t>18.70%</t>
  </si>
  <si>
    <t>Cash</t>
  </si>
  <si>
    <t>2,300</t>
  </si>
  <si>
    <t>2,530</t>
  </si>
  <si>
    <t>2,783</t>
  </si>
  <si>
    <t>3,061</t>
  </si>
  <si>
    <t>3,367</t>
  </si>
  <si>
    <t>Debt Schedule</t>
  </si>
  <si>
    <t>Beginning Debt</t>
  </si>
  <si>
    <t>Interest expense</t>
  </si>
  <si>
    <t>(interest values from exhibit4)</t>
  </si>
  <si>
    <t>Principal payment</t>
  </si>
  <si>
    <t>Ending debt</t>
  </si>
  <si>
    <t>Beginning equity proposed by BCI</t>
  </si>
  <si>
    <t>Discounting cash flows by working backwards</t>
  </si>
  <si>
    <t>Yearly cashflows</t>
  </si>
  <si>
    <t>Closing</t>
  </si>
  <si>
    <t xml:space="preserve">Ending market value of Equity </t>
  </si>
  <si>
    <t>Ending debt + equity</t>
  </si>
  <si>
    <t>Debt/capital</t>
  </si>
  <si>
    <t>Equity/capital</t>
  </si>
  <si>
    <t>Levered (equity) beta</t>
  </si>
  <si>
    <t xml:space="preserve">Cost of equity </t>
  </si>
  <si>
    <t xml:space="preserve">IRR </t>
  </si>
  <si>
    <t>Hurdle rate</t>
  </si>
  <si>
    <t>Sensitivity analysis</t>
  </si>
  <si>
    <t>Enterprise Value</t>
  </si>
  <si>
    <t>WACC</t>
  </si>
  <si>
    <t>Growth rate</t>
  </si>
  <si>
    <t>Equity Value</t>
  </si>
  <si>
    <t>IRR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</si>
</sst>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%"/>
  </numFmts>
  <fonts count="1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color theme="1"/>
      <name val="Arial"/>
    </font>
    <font>
      <b/>
      <color rgb="FF000000"/>
      <name val="Arial"/>
    </font>
    <font>
      <color rgb="FF000000"/>
      <name val="Arial"/>
    </font>
    <font>
      <b/>
      <sz val="11.0"/>
      <color theme="1"/>
      <name val="Arial"/>
    </font>
    <font>
      <sz val="11.0"/>
      <color theme="1"/>
      <name val="Calibri"/>
    </font>
    <font>
      <b/>
      <color theme="1"/>
      <name val="Arial"/>
    </font>
    <font>
      <sz val="11.0"/>
      <color theme="1"/>
      <name val="Arial"/>
    </font>
    <font>
      <b/>
      <sz val="11.0"/>
      <color theme="1"/>
      <name val="Calibri"/>
    </font>
    <font>
      <b/>
      <color theme="1"/>
      <name val="Arial"/>
      <scheme val="minor"/>
    </font>
    <font>
      <color rgb="FF000000"/>
      <name val="Calibri"/>
    </font>
    <font>
      <u/>
      <color rgb="FF000000"/>
      <name val="Calibri"/>
    </font>
    <font>
      <sz val="9.0"/>
      <color rgb="FF1F1F1F"/>
      <name val="Arial"/>
    </font>
    <font>
      <b/>
      <sz val="12.0"/>
      <color theme="1"/>
      <name val="Arial"/>
    </font>
    <font/>
    <font>
      <sz val="9.0"/>
      <color rgb="FF1F1F1F"/>
      <name val="&quot;Google Sans&quot;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</fills>
  <borders count="12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0"/>
    </xf>
    <xf borderId="1" fillId="0" fontId="1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horizontal="left" shrinkToFit="0" vertical="top" wrapText="0"/>
    </xf>
    <xf borderId="0" fillId="0" fontId="2" numFmtId="0" xfId="0" applyAlignment="1" applyFont="1">
      <alignment horizontal="left" shrinkToFit="0" vertical="top" wrapText="0"/>
    </xf>
    <xf borderId="0" fillId="0" fontId="2" numFmtId="4" xfId="0" applyAlignment="1" applyFont="1" applyNumberFormat="1">
      <alignment horizontal="right" shrinkToFit="0" vertical="top" wrapText="0"/>
    </xf>
    <xf borderId="3" fillId="0" fontId="2" numFmtId="4" xfId="0" applyAlignment="1" applyBorder="1" applyFont="1" applyNumberFormat="1">
      <alignment horizontal="right" shrinkToFit="0" vertical="top" wrapText="0"/>
    </xf>
    <xf borderId="3" fillId="0" fontId="2" numFmtId="0" xfId="0" applyAlignment="1" applyBorder="1" applyFont="1">
      <alignment horizontal="left" shrinkToFit="0" vertical="top" wrapText="0"/>
    </xf>
    <xf borderId="1" fillId="0" fontId="2" numFmtId="0" xfId="0" applyAlignment="1" applyBorder="1" applyFont="1">
      <alignment horizontal="right" shrinkToFit="0" vertical="top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1" fillId="0" fontId="5" numFmtId="0" xfId="0" applyAlignment="1" applyBorder="1" applyFont="1">
      <alignment horizontal="left" readingOrder="0" shrinkToFit="0" vertical="top" wrapText="0"/>
    </xf>
    <xf borderId="3" fillId="0" fontId="5" numFmtId="0" xfId="0" applyAlignment="1" applyBorder="1" applyFont="1">
      <alignment horizontal="left" readingOrder="0" shrinkToFit="0" vertical="top" wrapText="0"/>
    </xf>
    <xf borderId="0" fillId="0" fontId="6" numFmtId="0" xfId="0" applyAlignment="1" applyFont="1">
      <alignment horizontal="right" readingOrder="0" shrinkToFit="0" vertical="top" wrapText="0"/>
    </xf>
    <xf borderId="3" fillId="0" fontId="7" numFmtId="0" xfId="0" applyAlignment="1" applyBorder="1" applyFont="1">
      <alignment readingOrder="0" vertical="bottom"/>
    </xf>
    <xf borderId="3" fillId="0" fontId="8" numFmtId="0" xfId="0" applyAlignment="1" applyBorder="1" applyFont="1">
      <alignment vertical="bottom"/>
    </xf>
    <xf borderId="4" fillId="2" fontId="9" numFmtId="0" xfId="0" applyAlignment="1" applyBorder="1" applyFill="1" applyFont="1">
      <alignment vertical="bottom"/>
    </xf>
    <xf borderId="3" fillId="2" fontId="9" numFmtId="0" xfId="0" applyAlignment="1" applyBorder="1" applyFont="1">
      <alignment horizontal="center" vertical="bottom"/>
    </xf>
    <xf borderId="0" fillId="2" fontId="3" numFmtId="0" xfId="0" applyAlignment="1" applyFont="1">
      <alignment readingOrder="0"/>
    </xf>
    <xf borderId="0" fillId="2" fontId="4" numFmtId="164" xfId="0" applyAlignment="1" applyFont="1" applyNumberFormat="1">
      <alignment horizontal="right" readingOrder="0" vertical="top"/>
    </xf>
    <xf borderId="0" fillId="2" fontId="4" numFmtId="10" xfId="0" applyAlignment="1" applyFont="1" applyNumberFormat="1">
      <alignment horizontal="right" readingOrder="0" vertical="bottom"/>
    </xf>
    <xf borderId="0" fillId="2" fontId="8" numFmtId="10" xfId="0" applyAlignment="1" applyFont="1" applyNumberFormat="1">
      <alignment horizontal="right" vertical="bottom"/>
    </xf>
    <xf borderId="0" fillId="0" fontId="10" numFmtId="0" xfId="0" applyAlignment="1" applyFont="1">
      <alignment readingOrder="0" vertical="bottom"/>
    </xf>
    <xf borderId="0" fillId="0" fontId="10" numFmtId="2" xfId="0" applyAlignment="1" applyFont="1" applyNumberFormat="1">
      <alignment horizontal="right" vertical="bottom"/>
    </xf>
    <xf borderId="0" fillId="2" fontId="3" numFmtId="0" xfId="0" applyFont="1"/>
    <xf borderId="0" fillId="2" fontId="4" numFmtId="165" xfId="0" applyAlignment="1" applyFont="1" applyNumberFormat="1">
      <alignment horizontal="right" readingOrder="0" vertical="bottom"/>
    </xf>
    <xf borderId="0" fillId="2" fontId="11" numFmtId="0" xfId="0" applyAlignment="1" applyFont="1">
      <alignment vertical="bottom"/>
    </xf>
    <xf borderId="0" fillId="2" fontId="11" numFmtId="164" xfId="0" applyAlignment="1" applyFont="1" applyNumberFormat="1">
      <alignment horizontal="right" vertical="bottom"/>
    </xf>
    <xf borderId="0" fillId="2" fontId="8" numFmtId="0" xfId="0" applyAlignment="1" applyFont="1">
      <alignment vertical="bottom"/>
    </xf>
    <xf borderId="0" fillId="2" fontId="11" numFmtId="10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2" fontId="10" numFmtId="0" xfId="0" applyAlignment="1" applyFont="1">
      <alignment vertical="bottom"/>
    </xf>
    <xf borderId="0" fillId="2" fontId="10" numFmtId="2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/>
    </xf>
    <xf borderId="0" fillId="0" fontId="10" numFmtId="4" xfId="0" applyAlignment="1" applyFont="1" applyNumberFormat="1">
      <alignment horizontal="right" vertical="bottom"/>
    </xf>
    <xf borderId="0" fillId="3" fontId="2" numFmtId="0" xfId="0" applyAlignment="1" applyFill="1" applyFont="1">
      <alignment readingOrder="0" shrinkToFit="0" vertical="bottom" wrapText="0"/>
    </xf>
    <xf borderId="0" fillId="3" fontId="3" numFmtId="10" xfId="0" applyAlignment="1" applyFont="1" applyNumberFormat="1">
      <alignment horizontal="center" readingOrder="0"/>
    </xf>
    <xf borderId="0" fillId="4" fontId="13" numFmtId="10" xfId="0" applyAlignment="1" applyFill="1" applyFont="1" applyNumberFormat="1">
      <alignment horizontal="center" readingOrder="0" shrinkToFit="0" wrapText="0"/>
    </xf>
    <xf borderId="0" fillId="5" fontId="14" numFmtId="0" xfId="0" applyAlignment="1" applyFill="1" applyFont="1">
      <alignment horizontal="center" readingOrder="0" shrinkToFit="0" wrapText="0"/>
    </xf>
    <xf borderId="0" fillId="4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3" fontId="2" numFmtId="0" xfId="0" applyAlignment="1" applyFont="1">
      <alignment shrinkToFit="0" vertical="bottom" wrapText="0"/>
    </xf>
    <xf borderId="0" fillId="3" fontId="2" numFmtId="10" xfId="0" applyAlignment="1" applyFont="1" applyNumberFormat="1">
      <alignment horizontal="center" shrinkToFit="0" vertical="bottom" wrapText="0"/>
    </xf>
    <xf borderId="0" fillId="3" fontId="2" numFmtId="9" xfId="0" applyAlignment="1" applyFont="1" applyNumberFormat="1">
      <alignment horizontal="center" shrinkToFit="0" vertical="bottom" wrapText="0"/>
    </xf>
    <xf borderId="0" fillId="3" fontId="3" numFmtId="0" xfId="0" applyAlignment="1" applyFont="1">
      <alignment horizontal="center"/>
    </xf>
    <xf borderId="0" fillId="5" fontId="3" numFmtId="0" xfId="0" applyAlignment="1" applyFont="1">
      <alignment readingOrder="0"/>
    </xf>
    <xf borderId="0" fillId="4" fontId="15" numFmtId="10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5" fillId="0" fontId="4" numFmtId="0" xfId="0" applyAlignment="1" applyBorder="1" applyFont="1">
      <alignment vertical="bottom"/>
    </xf>
    <xf borderId="1" fillId="0" fontId="7" numFmtId="0" xfId="0" applyAlignment="1" applyBorder="1" applyFont="1">
      <alignment horizontal="right" vertical="bottom"/>
    </xf>
    <xf borderId="6" fillId="0" fontId="7" numFmtId="0" xfId="0" applyAlignment="1" applyBorder="1" applyFont="1">
      <alignment horizontal="right" vertical="bottom"/>
    </xf>
    <xf borderId="7" fillId="2" fontId="10" numFmtId="0" xfId="0" applyAlignment="1" applyBorder="1" applyFont="1">
      <alignment vertical="bottom"/>
    </xf>
    <xf borderId="0" fillId="2" fontId="10" numFmtId="0" xfId="0" applyAlignment="1" applyFont="1">
      <alignment horizontal="right" vertical="bottom"/>
    </xf>
    <xf borderId="0" fillId="2" fontId="10" numFmtId="3" xfId="0" applyAlignment="1" applyFont="1" applyNumberFormat="1">
      <alignment horizontal="right" vertical="bottom"/>
    </xf>
    <xf borderId="8" fillId="2" fontId="10" numFmtId="0" xfId="0" applyAlignment="1" applyBorder="1" applyFont="1">
      <alignment horizontal="right" vertical="bottom"/>
    </xf>
    <xf borderId="8" fillId="2" fontId="10" numFmtId="3" xfId="0" applyAlignment="1" applyBorder="1" applyFont="1" applyNumberFormat="1">
      <alignment horizontal="right" vertical="bottom"/>
    </xf>
    <xf borderId="7" fillId="2" fontId="7" numFmtId="0" xfId="0" applyAlignment="1" applyBorder="1" applyFont="1">
      <alignment vertical="bottom"/>
    </xf>
    <xf borderId="4" fillId="2" fontId="7" numFmtId="0" xfId="0" applyAlignment="1" applyBorder="1" applyFont="1">
      <alignment vertical="bottom"/>
    </xf>
    <xf borderId="3" fillId="2" fontId="10" numFmtId="0" xfId="0" applyAlignment="1" applyBorder="1" applyFont="1">
      <alignment horizontal="right" vertical="bottom"/>
    </xf>
    <xf borderId="3" fillId="2" fontId="10" numFmtId="3" xfId="0" applyAlignment="1" applyBorder="1" applyFont="1" applyNumberFormat="1">
      <alignment horizontal="right" vertical="bottom"/>
    </xf>
    <xf borderId="9" fillId="2" fontId="10" numFmtId="3" xfId="0" applyAlignment="1" applyBorder="1" applyFont="1" applyNumberFormat="1">
      <alignment horizontal="right" vertical="bottom"/>
    </xf>
    <xf borderId="7" fillId="2" fontId="10" numFmtId="0" xfId="0" applyAlignment="1" applyBorder="1" applyFont="1">
      <alignment vertical="top"/>
    </xf>
    <xf borderId="7" fillId="2" fontId="7" numFmtId="0" xfId="0" applyAlignment="1" applyBorder="1" applyFont="1">
      <alignment vertical="top"/>
    </xf>
    <xf borderId="0" fillId="2" fontId="4" numFmtId="0" xfId="0" applyAlignment="1" applyFont="1">
      <alignment vertical="bottom"/>
    </xf>
    <xf borderId="0" fillId="2" fontId="4" numFmtId="3" xfId="0" applyAlignment="1" applyFont="1" applyNumberFormat="1">
      <alignment vertical="bottom"/>
    </xf>
    <xf borderId="10" fillId="2" fontId="7" numFmtId="0" xfId="0" applyAlignment="1" applyBorder="1" applyFont="1">
      <alignment vertical="bottom"/>
    </xf>
    <xf borderId="1" fillId="2" fontId="7" numFmtId="0" xfId="0" applyAlignment="1" applyBorder="1" applyFont="1">
      <alignment horizontal="right" vertical="bottom"/>
    </xf>
    <xf borderId="6" fillId="2" fontId="7" numFmtId="0" xfId="0" applyAlignment="1" applyBorder="1" applyFont="1">
      <alignment horizontal="right" vertical="bottom"/>
    </xf>
    <xf borderId="4" fillId="0" fontId="10" numFmtId="0" xfId="0" applyAlignment="1" applyBorder="1" applyFont="1">
      <alignment vertical="bottom"/>
    </xf>
    <xf borderId="3" fillId="0" fontId="10" numFmtId="3" xfId="0" applyAlignment="1" applyBorder="1" applyFont="1" applyNumberFormat="1">
      <alignment horizontal="right" vertical="bottom"/>
    </xf>
    <xf borderId="3" fillId="0" fontId="10" numFmtId="0" xfId="0" applyAlignment="1" applyBorder="1" applyFont="1">
      <alignment horizontal="right" vertical="bottom"/>
    </xf>
    <xf borderId="9" fillId="0" fontId="10" numFmtId="0" xfId="0" applyAlignment="1" applyBorder="1" applyFont="1">
      <alignment horizontal="right" vertical="bottom"/>
    </xf>
    <xf borderId="3" fillId="0" fontId="4" numFmtId="0" xfId="0" applyAlignment="1" applyBorder="1" applyFont="1">
      <alignment vertical="bottom"/>
    </xf>
    <xf borderId="7" fillId="0" fontId="7" numFmtId="0" xfId="0" applyAlignment="1" applyBorder="1" applyFont="1">
      <alignment vertical="bottom"/>
    </xf>
    <xf borderId="3" fillId="0" fontId="7" numFmtId="0" xfId="0" applyAlignment="1" applyBorder="1" applyFont="1">
      <alignment horizontal="right" vertical="bottom"/>
    </xf>
    <xf borderId="9" fillId="0" fontId="7" numFmtId="0" xfId="0" applyAlignment="1" applyBorder="1" applyFont="1">
      <alignment horizontal="right" vertical="bottom"/>
    </xf>
    <xf borderId="7" fillId="0" fontId="10" numFmtId="0" xfId="0" applyAlignment="1" applyBorder="1" applyFont="1">
      <alignment vertical="bottom"/>
    </xf>
    <xf borderId="0" fillId="0" fontId="10" numFmtId="3" xfId="0" applyAlignment="1" applyFont="1" applyNumberFormat="1">
      <alignment horizontal="right" vertical="bottom"/>
    </xf>
    <xf borderId="8" fillId="0" fontId="10" numFmtId="3" xfId="0" applyAlignment="1" applyBorder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8" fillId="0" fontId="10" numFmtId="0" xfId="0" applyAlignment="1" applyBorder="1" applyFont="1">
      <alignment horizontal="right" vertical="bottom"/>
    </xf>
    <xf borderId="9" fillId="0" fontId="10" numFmtId="3" xfId="0" applyAlignment="1" applyBorder="1" applyFont="1" applyNumberFormat="1">
      <alignment horizontal="right" vertical="bottom"/>
    </xf>
    <xf borderId="0" fillId="0" fontId="7" numFmtId="0" xfId="0" applyAlignment="1" applyFont="1">
      <alignment vertical="bottom"/>
    </xf>
    <xf borderId="10" fillId="0" fontId="7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vertical="bottom"/>
    </xf>
    <xf borderId="11" fillId="0" fontId="4" numFmtId="0" xfId="0" applyAlignment="1" applyBorder="1" applyFont="1">
      <alignment vertical="bottom"/>
    </xf>
    <xf borderId="0" fillId="0" fontId="7" numFmtId="0" xfId="0" applyAlignment="1" applyFont="1">
      <alignment horizontal="right" vertical="bottom"/>
    </xf>
    <xf borderId="8" fillId="0" fontId="7" numFmtId="0" xfId="0" applyAlignment="1" applyBorder="1" applyFont="1">
      <alignment horizontal="right" vertical="bottom"/>
    </xf>
    <xf borderId="8" fillId="0" fontId="10" numFmtId="2" xfId="0" applyAlignment="1" applyBorder="1" applyFont="1" applyNumberFormat="1">
      <alignment horizontal="right" vertical="bottom"/>
    </xf>
    <xf borderId="0" fillId="0" fontId="4" numFmtId="2" xfId="0" applyAlignment="1" applyFont="1" applyNumberFormat="1">
      <alignment vertical="bottom"/>
    </xf>
    <xf borderId="3" fillId="0" fontId="10" numFmtId="10" xfId="0" applyAlignment="1" applyBorder="1" applyFont="1" applyNumberFormat="1">
      <alignment horizontal="right" vertical="bottom"/>
    </xf>
    <xf borderId="9" fillId="0" fontId="10" numFmtId="10" xfId="0" applyAlignment="1" applyBorder="1" applyFont="1" applyNumberFormat="1">
      <alignment horizontal="right" vertical="bottom"/>
    </xf>
    <xf borderId="0" fillId="6" fontId="10" numFmtId="0" xfId="0" applyAlignment="1" applyFill="1" applyFont="1">
      <alignment readingOrder="0" vertical="bottom"/>
    </xf>
    <xf borderId="0" fillId="6" fontId="7" numFmtId="10" xfId="0" applyAlignment="1" applyFont="1" applyNumberFormat="1">
      <alignment horizontal="right" vertical="bottom"/>
    </xf>
    <xf borderId="0" fillId="0" fontId="10" numFmtId="9" xfId="0" applyAlignment="1" applyFont="1" applyNumberFormat="1">
      <alignment horizontal="right" vertical="bottom"/>
    </xf>
    <xf borderId="0" fillId="0" fontId="10" numFmtId="9" xfId="0" applyAlignment="1" applyFont="1" applyNumberFormat="1">
      <alignment horizontal="right" readingOrder="0" vertical="bottom"/>
    </xf>
    <xf borderId="0" fillId="0" fontId="16" numFmtId="0" xfId="0" applyAlignment="1" applyFont="1">
      <alignment vertical="bottom"/>
    </xf>
    <xf borderId="3" fillId="0" fontId="7" numFmtId="0" xfId="0" applyAlignment="1" applyBorder="1" applyFont="1">
      <alignment horizontal="center" vertical="bottom"/>
    </xf>
    <xf borderId="3" fillId="0" fontId="17" numFmtId="0" xfId="0" applyBorder="1" applyFont="1"/>
    <xf borderId="9" fillId="0" fontId="4" numFmtId="10" xfId="0" applyAlignment="1" applyBorder="1" applyFont="1" applyNumberFormat="1">
      <alignment vertical="bottom"/>
    </xf>
    <xf borderId="9" fillId="0" fontId="17" numFmtId="0" xfId="0" applyBorder="1" applyFont="1"/>
    <xf borderId="0" fillId="2" fontId="18" numFmtId="0" xfId="0" applyAlignment="1" applyFont="1">
      <alignment readingOrder="0"/>
    </xf>
    <xf borderId="9" fillId="0" fontId="7" numFmtId="10" xfId="0" applyAlignment="1" applyBorder="1" applyFont="1" applyNumberFormat="1">
      <alignment horizontal="right" vertical="bottom"/>
    </xf>
    <xf borderId="9" fillId="7" fontId="10" numFmtId="164" xfId="0" applyAlignment="1" applyBorder="1" applyFill="1" applyFont="1" applyNumberFormat="1">
      <alignment horizontal="right" vertical="bottom"/>
    </xf>
    <xf borderId="0" fillId="0" fontId="4" numFmtId="10" xfId="0" applyAlignment="1" applyFont="1" applyNumberFormat="1">
      <alignment vertical="bottom"/>
    </xf>
    <xf borderId="0" fillId="7" fontId="4" numFmtId="10" xfId="0" applyAlignment="1" applyFont="1" applyNumberFormat="1">
      <alignment vertical="bottom"/>
    </xf>
    <xf borderId="0" fillId="7" fontId="4" numFmtId="0" xfId="0" applyAlignment="1" applyFont="1">
      <alignment vertical="bottom"/>
    </xf>
    <xf borderId="3" fillId="7" fontId="7" numFmtId="0" xfId="0" applyAlignment="1" applyBorder="1" applyFont="1">
      <alignment horizontal="center" vertical="bottom"/>
    </xf>
    <xf borderId="9" fillId="7" fontId="4" numFmtId="10" xfId="0" applyAlignment="1" applyBorder="1" applyFont="1" applyNumberFormat="1">
      <alignment vertical="bottom"/>
    </xf>
    <xf borderId="9" fillId="7" fontId="10" numFmtId="10" xfId="0" applyAlignment="1" applyBorder="1" applyFont="1" applyNumberFormat="1">
      <alignment horizontal="right" vertical="bottom"/>
    </xf>
    <xf borderId="9" fillId="8" fontId="10" numFmtId="10" xfId="0" applyAlignment="1" applyBorder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Funding Provided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Sheet2!$A$3:$A$7</c:f>
            </c:strRef>
          </c:cat>
          <c:val>
            <c:numRef>
              <c:f>Sheet2!$B$3:$B$7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Hot water radiators, Towel dryers and Electric dryers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Sheet2!$A$23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Sheet2!$B$22:$G$22</c:f>
            </c:strRef>
          </c:cat>
          <c:val>
            <c:numRef>
              <c:f>Sheet2!$B$23:$G$23</c:f>
              <c:numCache/>
            </c:numRef>
          </c:val>
        </c:ser>
        <c:ser>
          <c:idx val="1"/>
          <c:order val="1"/>
          <c:tx>
            <c:strRef>
              <c:f>Sheet2!$A$24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Sheet2!$B$22:$G$22</c:f>
            </c:strRef>
          </c:cat>
          <c:val>
            <c:numRef>
              <c:f>Sheet2!$B$24:$G$24</c:f>
              <c:numCache/>
            </c:numRef>
          </c:val>
        </c:ser>
        <c:ser>
          <c:idx val="2"/>
          <c:order val="2"/>
          <c:tx>
            <c:strRef>
              <c:f>Sheet2!$A$25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Sheet2!$B$22:$G$22</c:f>
            </c:strRef>
          </c:cat>
          <c:val>
            <c:numRef>
              <c:f>Sheet2!$B$25:$G$25</c:f>
              <c:numCache/>
            </c:numRef>
          </c:val>
        </c:ser>
        <c:axId val="1357462383"/>
        <c:axId val="417931808"/>
      </c:barChart>
      <c:catAx>
        <c:axId val="135746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931808"/>
      </c:catAx>
      <c:valAx>
        <c:axId val="417931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462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Sheet2!$A$40:$A$42</c:f>
            </c:strRef>
          </c:cat>
          <c:val>
            <c:numRef>
              <c:f>Sheet2!$B$40:$B$42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Sheet2!$A$57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Sheet2!$B$56:$K$56</c:f>
            </c:strRef>
          </c:cat>
          <c:val>
            <c:numRef>
              <c:f>Sheet2!$B$57:$K$57</c:f>
              <c:numCache/>
            </c:numRef>
          </c:val>
        </c:ser>
        <c:axId val="1333581195"/>
        <c:axId val="1747726613"/>
      </c:barChart>
      <c:catAx>
        <c:axId val="1333581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726613"/>
      </c:catAx>
      <c:valAx>
        <c:axId val="1747726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581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676275</xdr:colOff>
      <xdr:row>0</xdr:row>
      <xdr:rowOff>104775</xdr:rowOff>
    </xdr:from>
    <xdr:ext cx="46863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18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400050</xdr:colOff>
      <xdr:row>33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152400</xdr:colOff>
      <xdr:row>61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6D7A8"/>
      </a:accent1>
      <a:accent2>
        <a:srgbClr val="6AA84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stor.org/stable/2697753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1</v>
      </c>
    </row>
    <row r="2">
      <c r="A2" s="3" t="s">
        <v>2</v>
      </c>
      <c r="B2" s="3"/>
    </row>
    <row r="3">
      <c r="A3" s="4" t="s">
        <v>3</v>
      </c>
      <c r="B3" s="5">
        <v>2.0</v>
      </c>
    </row>
    <row r="4">
      <c r="A4" s="4" t="s">
        <v>4</v>
      </c>
      <c r="B4" s="5">
        <v>3.0</v>
      </c>
    </row>
    <row r="5">
      <c r="A5" s="4" t="s">
        <v>5</v>
      </c>
      <c r="B5" s="5">
        <v>80.0</v>
      </c>
    </row>
    <row r="6">
      <c r="A6" s="4" t="s">
        <v>6</v>
      </c>
      <c r="B6" s="5">
        <v>65.0</v>
      </c>
    </row>
    <row r="7">
      <c r="A7" s="4" t="s">
        <v>7</v>
      </c>
      <c r="B7" s="6">
        <v>190.0</v>
      </c>
    </row>
    <row r="8">
      <c r="A8" s="7" t="s">
        <v>8</v>
      </c>
      <c r="B8" s="8" t="s">
        <v>9</v>
      </c>
    </row>
    <row r="22">
      <c r="A22" s="9" t="s">
        <v>10</v>
      </c>
      <c r="B22" s="10" t="s">
        <v>11</v>
      </c>
      <c r="C22" s="10" t="s">
        <v>12</v>
      </c>
      <c r="D22" s="10" t="s">
        <v>13</v>
      </c>
      <c r="E22" s="10" t="s">
        <v>14</v>
      </c>
      <c r="F22" s="10" t="s">
        <v>15</v>
      </c>
      <c r="G22" s="10" t="s">
        <v>16</v>
      </c>
    </row>
    <row r="23">
      <c r="A23" s="10" t="s">
        <v>17</v>
      </c>
      <c r="B23" s="10">
        <v>0.06</v>
      </c>
      <c r="C23" s="10">
        <v>0.025</v>
      </c>
      <c r="D23" s="10">
        <v>0.025</v>
      </c>
      <c r="E23" s="10">
        <v>0.025</v>
      </c>
      <c r="F23" s="10">
        <v>0.025</v>
      </c>
      <c r="G23" s="10">
        <v>0.025</v>
      </c>
    </row>
    <row r="24">
      <c r="A24" s="10" t="s">
        <v>18</v>
      </c>
      <c r="B24" s="10">
        <v>0.45</v>
      </c>
      <c r="C24" s="10">
        <v>0.25</v>
      </c>
      <c r="D24" s="10">
        <v>0.2</v>
      </c>
      <c r="E24" s="10">
        <v>0.15</v>
      </c>
      <c r="F24" s="10">
        <v>0.1</v>
      </c>
      <c r="G24" s="10">
        <v>0.1</v>
      </c>
    </row>
    <row r="25">
      <c r="A25" s="10" t="s">
        <v>19</v>
      </c>
      <c r="B25" s="10">
        <v>0.2</v>
      </c>
      <c r="C25" s="10">
        <v>0.2</v>
      </c>
      <c r="D25" s="10">
        <v>0.2</v>
      </c>
      <c r="E25" s="10">
        <v>0.2</v>
      </c>
      <c r="F25" s="10">
        <v>0.2</v>
      </c>
      <c r="G25" s="10">
        <v>0.2</v>
      </c>
    </row>
    <row r="40">
      <c r="A40" s="11" t="s">
        <v>20</v>
      </c>
      <c r="B40" s="12">
        <v>0.5</v>
      </c>
    </row>
    <row r="41">
      <c r="A41" s="11" t="s">
        <v>21</v>
      </c>
      <c r="B41" s="12">
        <v>0.4</v>
      </c>
    </row>
    <row r="42">
      <c r="A42" s="11" t="s">
        <v>22</v>
      </c>
      <c r="B42" s="12">
        <v>0.1</v>
      </c>
    </row>
    <row r="56">
      <c r="A56" s="13" t="s">
        <v>23</v>
      </c>
      <c r="B56" s="14">
        <v>1985.0</v>
      </c>
      <c r="C56" s="14">
        <v>1986.0</v>
      </c>
      <c r="D56" s="14">
        <v>1987.0</v>
      </c>
      <c r="E56" s="14">
        <v>1988.0</v>
      </c>
      <c r="F56" s="15">
        <v>1989.0</v>
      </c>
      <c r="G56" s="14" t="s">
        <v>24</v>
      </c>
      <c r="H56" s="14" t="s">
        <v>25</v>
      </c>
      <c r="I56" s="14" t="s">
        <v>26</v>
      </c>
      <c r="J56" s="14" t="s">
        <v>27</v>
      </c>
      <c r="K56" s="14">
        <v>1994.0</v>
      </c>
    </row>
    <row r="57">
      <c r="A57" s="13" t="s">
        <v>28</v>
      </c>
      <c r="B57" s="16">
        <v>144.5</v>
      </c>
      <c r="C57" s="16">
        <v>183.2</v>
      </c>
      <c r="D57" s="16">
        <v>227.3</v>
      </c>
      <c r="E57" s="16">
        <v>280.6</v>
      </c>
      <c r="F57" s="16">
        <v>337.4</v>
      </c>
      <c r="G57" s="16">
        <v>380.0</v>
      </c>
      <c r="H57" s="16">
        <v>419.9</v>
      </c>
      <c r="I57" s="16">
        <v>463.99</v>
      </c>
      <c r="J57" s="16">
        <v>510.388</v>
      </c>
      <c r="K57" s="16">
        <v>561.427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5"/>
    <col customWidth="1" min="7" max="7" width="19.63"/>
  </cols>
  <sheetData>
    <row r="1">
      <c r="A1" s="17" t="s">
        <v>29</v>
      </c>
      <c r="B1" s="18"/>
      <c r="C1" s="18"/>
    </row>
    <row r="2">
      <c r="A2" s="19" t="s">
        <v>30</v>
      </c>
      <c r="B2" s="20" t="s">
        <v>31</v>
      </c>
      <c r="C2" s="20" t="s">
        <v>32</v>
      </c>
      <c r="D2" s="20" t="s">
        <v>33</v>
      </c>
      <c r="G2" s="13">
        <v>1995.0</v>
      </c>
    </row>
    <row r="3">
      <c r="A3" s="21" t="s">
        <v>34</v>
      </c>
      <c r="B3" s="22">
        <v>190000.0</v>
      </c>
      <c r="C3" s="23">
        <v>0.12</v>
      </c>
      <c r="D3" s="24">
        <f t="shared" ref="D3:D5" si="1">B3/$B$6*C3</f>
        <v>0.07949790795</v>
      </c>
      <c r="G3" s="25" t="s">
        <v>35</v>
      </c>
      <c r="H3" s="26">
        <f>561427*(1+B22)</f>
        <v>578269.81</v>
      </c>
      <c r="I3" s="13" t="s">
        <v>36</v>
      </c>
    </row>
    <row r="4">
      <c r="A4" s="21" t="s">
        <v>37</v>
      </c>
      <c r="B4" s="22">
        <v>65000.0</v>
      </c>
      <c r="C4" s="23">
        <v>0.135</v>
      </c>
      <c r="D4" s="24">
        <f t="shared" si="1"/>
        <v>0.03059623431</v>
      </c>
      <c r="G4" s="25" t="s">
        <v>38</v>
      </c>
      <c r="H4" s="26">
        <f>G26*(1+B22)</f>
        <v>87629.31</v>
      </c>
    </row>
    <row r="5">
      <c r="A5" s="27" t="s">
        <v>39</v>
      </c>
      <c r="B5" s="22">
        <v>31800.0</v>
      </c>
      <c r="C5" s="28">
        <v>0.11</v>
      </c>
      <c r="D5" s="24">
        <f t="shared" si="1"/>
        <v>0.01219665272</v>
      </c>
      <c r="G5" s="25" t="s">
        <v>40</v>
      </c>
      <c r="H5" s="26">
        <f>H4*(1-B17)</f>
        <v>55206.4653</v>
      </c>
    </row>
    <row r="6">
      <c r="A6" s="29" t="s">
        <v>41</v>
      </c>
      <c r="B6" s="30">
        <f>SUM(B3:B5)</f>
        <v>286800</v>
      </c>
      <c r="C6" s="31"/>
      <c r="D6" s="32">
        <f>SUM(D3:D5)</f>
        <v>0.122290795</v>
      </c>
      <c r="G6" s="33" t="s">
        <v>42</v>
      </c>
      <c r="H6" s="26">
        <v>25000.0</v>
      </c>
    </row>
    <row r="7">
      <c r="G7" s="33" t="s">
        <v>43</v>
      </c>
      <c r="H7" s="26">
        <v>25000.0</v>
      </c>
    </row>
    <row r="8">
      <c r="G8" s="33" t="s">
        <v>44</v>
      </c>
      <c r="H8" s="26">
        <f>H3*B23-G42</f>
        <v>3149.45447</v>
      </c>
    </row>
    <row r="9">
      <c r="G9" s="33" t="s">
        <v>45</v>
      </c>
      <c r="H9" s="26">
        <f>H5+H6-H7-H8</f>
        <v>52057.01083</v>
      </c>
    </row>
    <row r="10">
      <c r="A10" s="34" t="s">
        <v>46</v>
      </c>
      <c r="G10" s="35" t="s">
        <v>47</v>
      </c>
      <c r="H10" s="36">
        <f>H9/(B21-B22)</f>
        <v>550740.9176</v>
      </c>
    </row>
    <row r="11">
      <c r="A11" s="37"/>
      <c r="B11" s="38"/>
      <c r="G11" s="33" t="s">
        <v>48</v>
      </c>
      <c r="H11" s="39">
        <f>G50</f>
        <v>211260.91</v>
      </c>
    </row>
    <row r="12">
      <c r="A12" s="40" t="s">
        <v>49</v>
      </c>
      <c r="B12" s="41">
        <v>0.1006</v>
      </c>
      <c r="C12" s="13" t="s">
        <v>50</v>
      </c>
      <c r="G12" s="25" t="s">
        <v>51</v>
      </c>
      <c r="H12" s="26">
        <f>H10-H11</f>
        <v>339480.0076</v>
      </c>
    </row>
    <row r="13">
      <c r="A13" s="40" t="s">
        <v>52</v>
      </c>
      <c r="B13" s="42">
        <v>0.0343</v>
      </c>
      <c r="C13" s="43" t="s">
        <v>53</v>
      </c>
    </row>
    <row r="14">
      <c r="A14" s="40" t="s">
        <v>54</v>
      </c>
      <c r="B14" s="44">
        <v>0.8</v>
      </c>
      <c r="C14" s="45" t="s">
        <v>55</v>
      </c>
    </row>
    <row r="15">
      <c r="A15" s="46" t="s">
        <v>56</v>
      </c>
      <c r="B15" s="47">
        <f>D6</f>
        <v>0.122290795</v>
      </c>
    </row>
    <row r="16">
      <c r="A16" s="46" t="s">
        <v>57</v>
      </c>
      <c r="B16" s="44">
        <v>1.2</v>
      </c>
      <c r="C16" s="45" t="s">
        <v>58</v>
      </c>
    </row>
    <row r="17">
      <c r="A17" s="46" t="s">
        <v>59</v>
      </c>
      <c r="B17" s="48">
        <v>0.37</v>
      </c>
      <c r="C17" s="13" t="s">
        <v>60</v>
      </c>
    </row>
    <row r="18">
      <c r="A18" s="46" t="s">
        <v>61</v>
      </c>
      <c r="B18" s="49">
        <f>B16*(1+B14*(1-B17))</f>
        <v>1.8048</v>
      </c>
    </row>
    <row r="19">
      <c r="A19" s="46" t="s">
        <v>62</v>
      </c>
      <c r="B19" s="47">
        <f>B12+B13*B18</f>
        <v>0.16250464</v>
      </c>
    </row>
    <row r="20">
      <c r="A20" s="46" t="s">
        <v>56</v>
      </c>
      <c r="B20" s="47">
        <f>B15</f>
        <v>0.122290795</v>
      </c>
    </row>
    <row r="21">
      <c r="A21" s="46" t="s">
        <v>63</v>
      </c>
      <c r="B21" s="47">
        <f>(B19*(1/(B14+1)))+(B20*(1-1/(B14+1))*(1-B17))</f>
        <v>0.1245217781</v>
      </c>
    </row>
    <row r="22">
      <c r="A22" s="50" t="s">
        <v>64</v>
      </c>
      <c r="B22" s="51">
        <v>0.03</v>
      </c>
      <c r="C22" s="45" t="s">
        <v>65</v>
      </c>
    </row>
    <row r="23">
      <c r="A23" s="13" t="s">
        <v>66</v>
      </c>
      <c r="B23" s="52">
        <v>0.187</v>
      </c>
      <c r="C23" s="13" t="s">
        <v>60</v>
      </c>
    </row>
    <row r="25">
      <c r="A25" s="53"/>
      <c r="B25" s="54">
        <v>1989.0</v>
      </c>
      <c r="C25" s="54">
        <v>1990.0</v>
      </c>
      <c r="D25" s="54">
        <v>1991.0</v>
      </c>
      <c r="E25" s="54">
        <v>1992.0</v>
      </c>
      <c r="F25" s="54">
        <v>1993.0</v>
      </c>
      <c r="G25" s="55">
        <v>1994.0</v>
      </c>
    </row>
    <row r="26">
      <c r="A26" s="56" t="s">
        <v>67</v>
      </c>
      <c r="B26" s="57" t="s">
        <v>68</v>
      </c>
      <c r="C26" s="57" t="s">
        <v>69</v>
      </c>
      <c r="D26" s="57" t="s">
        <v>70</v>
      </c>
      <c r="E26" s="57" t="s">
        <v>71</v>
      </c>
      <c r="F26" s="58">
        <v>77205.0</v>
      </c>
      <c r="G26" s="59" t="s">
        <v>72</v>
      </c>
    </row>
    <row r="27">
      <c r="A27" s="56" t="s">
        <v>73</v>
      </c>
      <c r="B27" s="57" t="s">
        <v>74</v>
      </c>
      <c r="C27" s="57" t="s">
        <v>75</v>
      </c>
      <c r="D27" s="57" t="s">
        <v>76</v>
      </c>
      <c r="E27" s="57" t="s">
        <v>77</v>
      </c>
      <c r="F27" s="57" t="s">
        <v>78</v>
      </c>
      <c r="G27" s="59" t="s">
        <v>79</v>
      </c>
    </row>
    <row r="28">
      <c r="A28" s="56" t="s">
        <v>80</v>
      </c>
      <c r="B28" s="58">
        <v>7119.0</v>
      </c>
      <c r="C28" s="58">
        <v>18487.0</v>
      </c>
      <c r="D28" s="58">
        <v>34104.0</v>
      </c>
      <c r="E28" s="58">
        <v>33679.0</v>
      </c>
      <c r="F28" s="58">
        <v>31663.0</v>
      </c>
      <c r="G28" s="60">
        <v>29184.0</v>
      </c>
    </row>
    <row r="29">
      <c r="A29" s="56" t="s">
        <v>81</v>
      </c>
      <c r="B29" s="57" t="s">
        <v>82</v>
      </c>
      <c r="C29" s="57">
        <v>-3333.0</v>
      </c>
      <c r="D29" s="57">
        <v>-3333.0</v>
      </c>
      <c r="E29" s="57">
        <v>-3333.0</v>
      </c>
      <c r="F29" s="57" t="s">
        <v>82</v>
      </c>
      <c r="G29" s="59" t="s">
        <v>82</v>
      </c>
    </row>
    <row r="30">
      <c r="A30" s="61" t="s">
        <v>83</v>
      </c>
      <c r="B30" s="58">
        <f t="shared" ref="B30:G30" si="2">B26+B27-B28+B29</f>
        <v>31187</v>
      </c>
      <c r="C30" s="58">
        <f t="shared" si="2"/>
        <v>22101</v>
      </c>
      <c r="D30" s="58">
        <f t="shared" si="2"/>
        <v>19165</v>
      </c>
      <c r="E30" s="58">
        <f t="shared" si="2"/>
        <v>34737</v>
      </c>
      <c r="F30" s="58">
        <f t="shared" si="2"/>
        <v>46656</v>
      </c>
      <c r="G30" s="60">
        <f t="shared" si="2"/>
        <v>57284</v>
      </c>
    </row>
    <row r="31">
      <c r="A31" s="56" t="s">
        <v>84</v>
      </c>
      <c r="B31" s="57">
        <f t="shared" ref="B31:G31" si="3">B30*0.37</f>
        <v>11539.19</v>
      </c>
      <c r="C31" s="57">
        <f t="shared" si="3"/>
        <v>8177.37</v>
      </c>
      <c r="D31" s="57">
        <f t="shared" si="3"/>
        <v>7091.05</v>
      </c>
      <c r="E31" s="57">
        <f t="shared" si="3"/>
        <v>12852.69</v>
      </c>
      <c r="F31" s="57">
        <f t="shared" si="3"/>
        <v>17262.72</v>
      </c>
      <c r="G31" s="59">
        <f t="shared" si="3"/>
        <v>21195.08</v>
      </c>
    </row>
    <row r="32">
      <c r="A32" s="61" t="s">
        <v>85</v>
      </c>
      <c r="B32" s="58">
        <f t="shared" ref="B32:G32" si="4">B30-B31</f>
        <v>19647.81</v>
      </c>
      <c r="C32" s="58">
        <f t="shared" si="4"/>
        <v>13923.63</v>
      </c>
      <c r="D32" s="58">
        <f t="shared" si="4"/>
        <v>12073.95</v>
      </c>
      <c r="E32" s="58">
        <f t="shared" si="4"/>
        <v>21884.31</v>
      </c>
      <c r="F32" s="58">
        <f t="shared" si="4"/>
        <v>29393.28</v>
      </c>
      <c r="G32" s="60">
        <f t="shared" si="4"/>
        <v>36088.92</v>
      </c>
    </row>
    <row r="33">
      <c r="A33" s="56" t="s">
        <v>42</v>
      </c>
      <c r="B33" s="57" t="s">
        <v>86</v>
      </c>
      <c r="C33" s="57" t="s">
        <v>87</v>
      </c>
      <c r="D33" s="57" t="s">
        <v>88</v>
      </c>
      <c r="E33" s="57" t="s">
        <v>89</v>
      </c>
      <c r="F33" s="57" t="s">
        <v>89</v>
      </c>
      <c r="G33" s="59" t="s">
        <v>89</v>
      </c>
    </row>
    <row r="34">
      <c r="A34" s="56" t="s">
        <v>90</v>
      </c>
      <c r="B34" s="57" t="s">
        <v>82</v>
      </c>
      <c r="C34" s="57">
        <v>3333.0</v>
      </c>
      <c r="D34" s="57">
        <v>3333.0</v>
      </c>
      <c r="E34" s="57">
        <v>3333.0</v>
      </c>
      <c r="F34" s="57" t="s">
        <v>82</v>
      </c>
      <c r="G34" s="59" t="s">
        <v>82</v>
      </c>
    </row>
    <row r="35">
      <c r="A35" s="56" t="s">
        <v>91</v>
      </c>
      <c r="B35" s="58">
        <v>29000.0</v>
      </c>
      <c r="C35" s="58">
        <v>20000.0</v>
      </c>
      <c r="D35" s="58">
        <v>25000.0</v>
      </c>
      <c r="E35" s="58">
        <v>25000.0</v>
      </c>
      <c r="F35" s="58">
        <v>25000.0</v>
      </c>
      <c r="G35" s="60">
        <v>25000.0</v>
      </c>
    </row>
    <row r="36">
      <c r="A36" s="56" t="s">
        <v>92</v>
      </c>
      <c r="B36" s="57"/>
      <c r="C36" s="57">
        <v>-7898.0</v>
      </c>
      <c r="D36" s="57">
        <v>-7461.0</v>
      </c>
      <c r="E36" s="57">
        <v>-8245.0</v>
      </c>
      <c r="F36" s="57">
        <v>-8676.0</v>
      </c>
      <c r="G36" s="59">
        <v>-9544.0</v>
      </c>
    </row>
    <row r="37">
      <c r="A37" s="62" t="s">
        <v>93</v>
      </c>
      <c r="B37" s="63" t="s">
        <v>94</v>
      </c>
      <c r="C37" s="64">
        <f t="shared" ref="C37:G37" si="5">C32+C33+C34-C35+C36</f>
        <v>8358.63</v>
      </c>
      <c r="D37" s="64">
        <f t="shared" si="5"/>
        <v>2945.95</v>
      </c>
      <c r="E37" s="64">
        <f t="shared" si="5"/>
        <v>16972.31</v>
      </c>
      <c r="F37" s="64">
        <f t="shared" si="5"/>
        <v>20717.28</v>
      </c>
      <c r="G37" s="65">
        <f t="shared" si="5"/>
        <v>26544.92</v>
      </c>
    </row>
    <row r="38">
      <c r="A38" s="66" t="s">
        <v>95</v>
      </c>
      <c r="B38" s="57"/>
      <c r="C38" s="58">
        <f t="shared" ref="C38:G38" si="6">C37</f>
        <v>8358.63</v>
      </c>
      <c r="D38" s="58">
        <f t="shared" si="6"/>
        <v>2945.95</v>
      </c>
      <c r="E38" s="58">
        <f t="shared" si="6"/>
        <v>16972.31</v>
      </c>
      <c r="F38" s="58">
        <f t="shared" si="6"/>
        <v>20717.28</v>
      </c>
      <c r="G38" s="58">
        <f t="shared" si="6"/>
        <v>26544.92</v>
      </c>
    </row>
    <row r="39">
      <c r="A39" s="67" t="s">
        <v>96</v>
      </c>
      <c r="B39" s="68"/>
      <c r="C39" s="69">
        <f t="shared" ref="C39:G39" si="7">C37-C38</f>
        <v>0</v>
      </c>
      <c r="D39" s="69">
        <f t="shared" si="7"/>
        <v>0</v>
      </c>
      <c r="E39" s="69">
        <f t="shared" si="7"/>
        <v>0</v>
      </c>
      <c r="F39" s="69">
        <f t="shared" si="7"/>
        <v>0</v>
      </c>
      <c r="G39" s="69">
        <f t="shared" si="7"/>
        <v>0</v>
      </c>
    </row>
    <row r="40">
      <c r="A40" s="27"/>
      <c r="B40" s="27"/>
      <c r="C40" s="27"/>
      <c r="D40" s="27"/>
      <c r="E40" s="27"/>
      <c r="F40" s="27"/>
      <c r="G40" s="27"/>
    </row>
    <row r="41">
      <c r="A41" s="70" t="s">
        <v>97</v>
      </c>
      <c r="B41" s="71">
        <v>1989.0</v>
      </c>
      <c r="C41" s="71">
        <v>1990.0</v>
      </c>
      <c r="D41" s="71">
        <v>1991.0</v>
      </c>
      <c r="E41" s="71">
        <v>1992.0</v>
      </c>
      <c r="F41" s="71">
        <v>1993.0</v>
      </c>
      <c r="G41" s="72">
        <v>1994.0</v>
      </c>
    </row>
    <row r="42">
      <c r="A42" s="56" t="s">
        <v>98</v>
      </c>
      <c r="B42" s="57" t="s">
        <v>99</v>
      </c>
      <c r="C42" s="57" t="s">
        <v>100</v>
      </c>
      <c r="D42" s="57" t="s">
        <v>101</v>
      </c>
      <c r="E42" s="57" t="s">
        <v>102</v>
      </c>
      <c r="F42" s="57" t="s">
        <v>103</v>
      </c>
      <c r="G42" s="59" t="s">
        <v>104</v>
      </c>
    </row>
    <row r="43">
      <c r="A43" s="56" t="s">
        <v>105</v>
      </c>
      <c r="B43" s="57" t="s">
        <v>106</v>
      </c>
      <c r="C43" s="57" t="s">
        <v>106</v>
      </c>
      <c r="D43" s="57" t="s">
        <v>106</v>
      </c>
      <c r="E43" s="57" t="s">
        <v>106</v>
      </c>
      <c r="F43" s="57" t="s">
        <v>106</v>
      </c>
      <c r="G43" s="59" t="s">
        <v>106</v>
      </c>
    </row>
    <row r="44">
      <c r="A44" s="73" t="s">
        <v>107</v>
      </c>
      <c r="B44" s="74">
        <v>7500.0</v>
      </c>
      <c r="C44" s="75" t="s">
        <v>108</v>
      </c>
      <c r="D44" s="75" t="s">
        <v>109</v>
      </c>
      <c r="E44" s="75" t="s">
        <v>110</v>
      </c>
      <c r="F44" s="75" t="s">
        <v>111</v>
      </c>
      <c r="G44" s="76" t="s">
        <v>112</v>
      </c>
    </row>
    <row r="45">
      <c r="A45" s="77"/>
      <c r="B45" s="77"/>
      <c r="C45" s="77"/>
      <c r="D45" s="77"/>
      <c r="E45" s="77"/>
      <c r="F45" s="77"/>
      <c r="G45" s="77"/>
    </row>
    <row r="46">
      <c r="A46" s="78" t="s">
        <v>113</v>
      </c>
      <c r="B46" s="79">
        <v>1989.0</v>
      </c>
      <c r="C46" s="79">
        <v>1990.0</v>
      </c>
      <c r="D46" s="79">
        <v>1991.0</v>
      </c>
      <c r="E46" s="79">
        <v>1992.0</v>
      </c>
      <c r="F46" s="79">
        <v>1993.0</v>
      </c>
      <c r="G46" s="80">
        <v>1994.0</v>
      </c>
    </row>
    <row r="47">
      <c r="A47" s="81" t="s">
        <v>114</v>
      </c>
      <c r="B47" s="11"/>
      <c r="C47" s="82">
        <v>286800.0</v>
      </c>
      <c r="D47" s="82">
        <f t="shared" ref="D47:G47" si="8">C50</f>
        <v>278441.37</v>
      </c>
      <c r="E47" s="82">
        <f t="shared" si="8"/>
        <v>275495.42</v>
      </c>
      <c r="F47" s="82">
        <f t="shared" si="8"/>
        <v>258523.11</v>
      </c>
      <c r="G47" s="83">
        <f t="shared" si="8"/>
        <v>237805.83</v>
      </c>
    </row>
    <row r="48">
      <c r="A48" s="81" t="s">
        <v>115</v>
      </c>
      <c r="B48" s="11"/>
      <c r="C48" s="84">
        <v>18487.0</v>
      </c>
      <c r="D48" s="84">
        <v>34104.0</v>
      </c>
      <c r="E48" s="84">
        <v>33679.0</v>
      </c>
      <c r="F48" s="84">
        <v>31663.0</v>
      </c>
      <c r="G48" s="85">
        <v>29184.0</v>
      </c>
      <c r="H48" s="13" t="s">
        <v>116</v>
      </c>
    </row>
    <row r="49">
      <c r="A49" s="81" t="s">
        <v>117</v>
      </c>
      <c r="B49" s="11"/>
      <c r="C49" s="82">
        <f t="shared" ref="C49:G49" si="9">C37</f>
        <v>8358.63</v>
      </c>
      <c r="D49" s="82">
        <f t="shared" si="9"/>
        <v>2945.95</v>
      </c>
      <c r="E49" s="82">
        <f t="shared" si="9"/>
        <v>16972.31</v>
      </c>
      <c r="F49" s="82">
        <f t="shared" si="9"/>
        <v>20717.28</v>
      </c>
      <c r="G49" s="83">
        <f t="shared" si="9"/>
        <v>26544.92</v>
      </c>
    </row>
    <row r="50">
      <c r="A50" s="73" t="s">
        <v>118</v>
      </c>
      <c r="B50" s="77"/>
      <c r="C50" s="74">
        <f t="shared" ref="C50:G50" si="10">C47-C49</f>
        <v>278441.37</v>
      </c>
      <c r="D50" s="74">
        <f t="shared" si="10"/>
        <v>275495.42</v>
      </c>
      <c r="E50" s="74">
        <f t="shared" si="10"/>
        <v>258523.11</v>
      </c>
      <c r="F50" s="74">
        <f t="shared" si="10"/>
        <v>237805.83</v>
      </c>
      <c r="G50" s="86">
        <f t="shared" si="10"/>
        <v>211260.91</v>
      </c>
    </row>
    <row r="54">
      <c r="A54" s="87" t="s">
        <v>119</v>
      </c>
      <c r="B54" s="26">
        <v>85000.0</v>
      </c>
    </row>
    <row r="57">
      <c r="A57" s="88" t="s">
        <v>120</v>
      </c>
      <c r="B57" s="89"/>
      <c r="C57" s="89"/>
      <c r="D57" s="89"/>
      <c r="E57" s="89"/>
      <c r="F57" s="89"/>
      <c r="G57" s="90"/>
    </row>
    <row r="58">
      <c r="A58" s="78" t="s">
        <v>121</v>
      </c>
      <c r="B58" s="87" t="s">
        <v>122</v>
      </c>
      <c r="C58" s="91">
        <v>1990.0</v>
      </c>
      <c r="D58" s="91">
        <v>1991.0</v>
      </c>
      <c r="E58" s="91">
        <v>1992.0</v>
      </c>
      <c r="F58" s="91">
        <v>1993.0</v>
      </c>
      <c r="G58" s="92">
        <v>1994.0</v>
      </c>
    </row>
    <row r="59">
      <c r="A59" s="81" t="s">
        <v>123</v>
      </c>
      <c r="B59" s="26">
        <f t="shared" ref="B59:F59" si="11">C59/(1+C65)</f>
        <v>155528.0163</v>
      </c>
      <c r="C59" s="26">
        <f t="shared" si="11"/>
        <v>183688.9614</v>
      </c>
      <c r="D59" s="26">
        <f t="shared" si="11"/>
        <v>215809.2643</v>
      </c>
      <c r="E59" s="26">
        <f t="shared" si="11"/>
        <v>252140.1585</v>
      </c>
      <c r="F59" s="26">
        <f t="shared" si="11"/>
        <v>293186.7245</v>
      </c>
      <c r="G59" s="93">
        <f>H12</f>
        <v>339480.0076</v>
      </c>
    </row>
    <row r="60">
      <c r="A60" s="81" t="s">
        <v>124</v>
      </c>
      <c r="B60" s="94"/>
      <c r="C60" s="26">
        <f t="shared" ref="C60:F60" si="12">C59+C50</f>
        <v>462130.3314</v>
      </c>
      <c r="D60" s="26">
        <f t="shared" si="12"/>
        <v>491304.6843</v>
      </c>
      <c r="E60" s="26">
        <f t="shared" si="12"/>
        <v>510663.2685</v>
      </c>
      <c r="F60" s="26">
        <f t="shared" si="12"/>
        <v>530992.5545</v>
      </c>
      <c r="G60" s="93">
        <f>H10</f>
        <v>550740.9176</v>
      </c>
    </row>
    <row r="61">
      <c r="A61" s="81" t="s">
        <v>125</v>
      </c>
      <c r="B61" s="94"/>
      <c r="C61" s="26">
        <f t="shared" ref="C61:G61" si="13">1-C62</f>
        <v>0.6025169764</v>
      </c>
      <c r="D61" s="26">
        <f t="shared" si="13"/>
        <v>0.5607425062</v>
      </c>
      <c r="E61" s="26">
        <f t="shared" si="13"/>
        <v>0.5062496677</v>
      </c>
      <c r="F61" s="26">
        <f t="shared" si="13"/>
        <v>0.4478515339</v>
      </c>
      <c r="G61" s="93">
        <f t="shared" si="13"/>
        <v>0.3835939972</v>
      </c>
    </row>
    <row r="62">
      <c r="A62" s="81" t="s">
        <v>126</v>
      </c>
      <c r="B62" s="94"/>
      <c r="C62" s="26">
        <f t="shared" ref="C62:G62" si="14">C59/C60</f>
        <v>0.3974830236</v>
      </c>
      <c r="D62" s="26">
        <f t="shared" si="14"/>
        <v>0.4392574938</v>
      </c>
      <c r="E62" s="26">
        <f t="shared" si="14"/>
        <v>0.4937503323</v>
      </c>
      <c r="F62" s="26">
        <f t="shared" si="14"/>
        <v>0.5521484661</v>
      </c>
      <c r="G62" s="93">
        <f t="shared" si="14"/>
        <v>0.6164060028</v>
      </c>
    </row>
    <row r="63">
      <c r="A63" s="81" t="s">
        <v>57</v>
      </c>
      <c r="B63" s="94"/>
      <c r="C63" s="93">
        <f t="shared" ref="C63:G63" si="15">$B$16</f>
        <v>1.2</v>
      </c>
      <c r="D63" s="93">
        <f t="shared" si="15"/>
        <v>1.2</v>
      </c>
      <c r="E63" s="93">
        <f t="shared" si="15"/>
        <v>1.2</v>
      </c>
      <c r="F63" s="93">
        <f t="shared" si="15"/>
        <v>1.2</v>
      </c>
      <c r="G63" s="93">
        <f t="shared" si="15"/>
        <v>1.2</v>
      </c>
    </row>
    <row r="64">
      <c r="A64" s="81" t="s">
        <v>127</v>
      </c>
      <c r="B64" s="94"/>
      <c r="C64" s="26">
        <f t="shared" ref="C64:F64" si="16">C63*(1+(C61/C62)*(1-$B$17))</f>
        <v>2.345968022</v>
      </c>
      <c r="D64" s="26">
        <f t="shared" si="16"/>
        <v>2.165086175</v>
      </c>
      <c r="E64" s="26">
        <f t="shared" si="16"/>
        <v>1.97513821</v>
      </c>
      <c r="F64" s="26">
        <f t="shared" si="16"/>
        <v>1.813196958</v>
      </c>
      <c r="G64" s="93">
        <f>G63*(1+(G61/G62)*(1-B17))</f>
        <v>1.67046437</v>
      </c>
    </row>
    <row r="65">
      <c r="A65" s="73" t="s">
        <v>128</v>
      </c>
      <c r="B65" s="77"/>
      <c r="C65" s="95">
        <f t="shared" ref="C65:F65" si="17">$B$12+$B$13*C64</f>
        <v>0.1810667031</v>
      </c>
      <c r="D65" s="95">
        <f t="shared" si="17"/>
        <v>0.1748624558</v>
      </c>
      <c r="E65" s="95">
        <f t="shared" si="17"/>
        <v>0.1683472406</v>
      </c>
      <c r="F65" s="95">
        <f t="shared" si="17"/>
        <v>0.1627926556</v>
      </c>
      <c r="G65" s="96">
        <f>B12+B13*G64</f>
        <v>0.1578969279</v>
      </c>
    </row>
    <row r="68">
      <c r="A68" s="97" t="s">
        <v>129</v>
      </c>
      <c r="B68" s="98">
        <f>((H12/B54)^(1/5))-1</f>
        <v>0.3191040553</v>
      </c>
    </row>
    <row r="69">
      <c r="A69" s="33" t="s">
        <v>130</v>
      </c>
      <c r="B69" s="99">
        <v>0.3</v>
      </c>
      <c r="C69" s="100"/>
    </row>
    <row r="73">
      <c r="A73" s="101" t="s">
        <v>131</v>
      </c>
    </row>
    <row r="74">
      <c r="A74" s="102" t="s">
        <v>132</v>
      </c>
      <c r="B74" s="103"/>
      <c r="C74" s="103"/>
      <c r="D74" s="103"/>
      <c r="E74" s="103"/>
      <c r="F74" s="103"/>
      <c r="G74" s="103"/>
      <c r="H74" s="103"/>
      <c r="I74" s="103"/>
    </row>
    <row r="75">
      <c r="A75" s="104"/>
      <c r="B75" s="102" t="s">
        <v>133</v>
      </c>
      <c r="C75" s="103"/>
      <c r="D75" s="103"/>
      <c r="E75" s="103"/>
      <c r="F75" s="103"/>
      <c r="G75" s="103"/>
      <c r="H75" s="105"/>
    </row>
    <row r="76">
      <c r="A76" s="106" t="s">
        <v>134</v>
      </c>
      <c r="B76" s="107">
        <f t="shared" ref="B76:D76" si="18">C76-0.15%</f>
        <v>0.1200217781</v>
      </c>
      <c r="C76" s="107">
        <f t="shared" si="18"/>
        <v>0.1215217781</v>
      </c>
      <c r="D76" s="107">
        <f t="shared" si="18"/>
        <v>0.1230217781</v>
      </c>
      <c r="E76" s="107">
        <f>$B$21</f>
        <v>0.1245217781</v>
      </c>
      <c r="F76" s="107">
        <f t="shared" ref="F76:H76" si="19">E76+0.15%</f>
        <v>0.1260217781</v>
      </c>
      <c r="G76" s="107">
        <f t="shared" si="19"/>
        <v>0.1275217781</v>
      </c>
      <c r="H76" s="107">
        <f t="shared" si="19"/>
        <v>0.1290217781</v>
      </c>
    </row>
    <row r="77">
      <c r="A77" s="107">
        <f t="shared" ref="A77:A79" si="22">A78-0.1%</f>
        <v>0.027</v>
      </c>
      <c r="B77" s="108">
        <f t="shared" ref="B77:E77" si="20">$H$9/(B76-$A$77)</f>
        <v>559621.756</v>
      </c>
      <c r="C77" s="108">
        <f t="shared" si="20"/>
        <v>550740.9176</v>
      </c>
      <c r="D77" s="108">
        <f t="shared" si="20"/>
        <v>542137.5425</v>
      </c>
      <c r="E77" s="108">
        <f t="shared" si="20"/>
        <v>533798.8275</v>
      </c>
      <c r="F77" s="108">
        <f t="shared" ref="F77:H77" si="21">$H$9/(F$76-$A77)</f>
        <v>525712.7452</v>
      </c>
      <c r="G77" s="108">
        <f t="shared" si="21"/>
        <v>517867.9863</v>
      </c>
      <c r="H77" s="108">
        <f t="shared" si="21"/>
        <v>510253.9063</v>
      </c>
    </row>
    <row r="78">
      <c r="A78" s="107">
        <f t="shared" si="22"/>
        <v>0.028</v>
      </c>
      <c r="B78" s="108">
        <f t="shared" ref="B78:B83" si="24">$H$9/($B$76-A78)</f>
        <v>565703.1615</v>
      </c>
      <c r="C78" s="108">
        <f t="shared" ref="C78:C83" si="25">$H$9/($C$76-A78)</f>
        <v>556629.8231</v>
      </c>
      <c r="D78" s="108">
        <f t="shared" ref="D78:D83" si="26">$H$9/($D$76-A78)</f>
        <v>547842.9455</v>
      </c>
      <c r="E78" s="108">
        <f t="shared" ref="E78:E83" si="27">$H$9/($E$76-A78)</f>
        <v>539329.1735</v>
      </c>
      <c r="F78" s="108">
        <f t="shared" ref="F78:H78" si="23">$H$9/(F$76-$A78)</f>
        <v>531075.9692</v>
      </c>
      <c r="G78" s="108">
        <f t="shared" si="23"/>
        <v>523071.5507</v>
      </c>
      <c r="H78" s="108">
        <f t="shared" si="23"/>
        <v>515304.8361</v>
      </c>
    </row>
    <row r="79">
      <c r="A79" s="107">
        <f t="shared" si="22"/>
        <v>0.029</v>
      </c>
      <c r="B79" s="108">
        <f t="shared" si="24"/>
        <v>571918.1924</v>
      </c>
      <c r="C79" s="108">
        <f t="shared" si="25"/>
        <v>562646.0264</v>
      </c>
      <c r="D79" s="108">
        <f t="shared" si="26"/>
        <v>553669.712</v>
      </c>
      <c r="E79" s="108">
        <f t="shared" si="27"/>
        <v>544975.3118</v>
      </c>
      <c r="F79" s="108">
        <f t="shared" ref="F79:H79" si="28">$H$9/(F$76-$A79)</f>
        <v>536549.7502</v>
      </c>
      <c r="G79" s="108">
        <f t="shared" si="28"/>
        <v>528380.748</v>
      </c>
      <c r="H79" s="108">
        <f t="shared" si="28"/>
        <v>520456.7624</v>
      </c>
    </row>
    <row r="80">
      <c r="A80" s="107">
        <f>B22</f>
        <v>0.03</v>
      </c>
      <c r="B80" s="108">
        <f t="shared" si="24"/>
        <v>578271.3017</v>
      </c>
      <c r="C80" s="108">
        <f t="shared" si="25"/>
        <v>568793.7001</v>
      </c>
      <c r="D80" s="108">
        <f t="shared" si="26"/>
        <v>559621.756</v>
      </c>
      <c r="E80" s="108">
        <f t="shared" si="27"/>
        <v>550740.9176</v>
      </c>
      <c r="F80" s="108">
        <f t="shared" ref="F80:H80" si="29">$H$9/(F$76-$A80)</f>
        <v>542137.5425</v>
      </c>
      <c r="G80" s="108">
        <f t="shared" si="29"/>
        <v>533798.8275</v>
      </c>
      <c r="H80" s="108">
        <f t="shared" si="29"/>
        <v>525712.7452</v>
      </c>
    </row>
    <row r="81">
      <c r="A81" s="107">
        <f t="shared" ref="A81:A83" si="31">A80+0.1%</f>
        <v>0.031</v>
      </c>
      <c r="B81" s="108">
        <f t="shared" si="24"/>
        <v>584767.1425</v>
      </c>
      <c r="C81" s="108">
        <f t="shared" si="25"/>
        <v>575077.2012</v>
      </c>
      <c r="D81" s="108">
        <f t="shared" si="26"/>
        <v>565703.1615</v>
      </c>
      <c r="E81" s="108">
        <f t="shared" si="27"/>
        <v>556629.8231</v>
      </c>
      <c r="F81" s="108">
        <f t="shared" ref="F81:H81" si="30">$H$9/(F$76-$A81)</f>
        <v>547842.9455</v>
      </c>
      <c r="G81" s="108">
        <f t="shared" si="30"/>
        <v>539329.1735</v>
      </c>
      <c r="H81" s="108">
        <f t="shared" si="30"/>
        <v>531075.9692</v>
      </c>
    </row>
    <row r="82">
      <c r="A82" s="107">
        <f t="shared" si="31"/>
        <v>0.032</v>
      </c>
      <c r="B82" s="108">
        <f t="shared" si="24"/>
        <v>591410.5796</v>
      </c>
      <c r="C82" s="108">
        <f t="shared" si="25"/>
        <v>581501.0817</v>
      </c>
      <c r="D82" s="108">
        <f t="shared" si="26"/>
        <v>571918.1924</v>
      </c>
      <c r="E82" s="108">
        <f t="shared" si="27"/>
        <v>562646.0264</v>
      </c>
      <c r="F82" s="108">
        <f t="shared" ref="F82:H82" si="32">$H$9/(F$76-$A82)</f>
        <v>553669.712</v>
      </c>
      <c r="G82" s="108">
        <f t="shared" si="32"/>
        <v>544975.3118</v>
      </c>
      <c r="H82" s="108">
        <f t="shared" si="32"/>
        <v>536549.7502</v>
      </c>
    </row>
    <row r="83">
      <c r="A83" s="107">
        <f t="shared" si="31"/>
        <v>0.033</v>
      </c>
      <c r="B83" s="108">
        <f t="shared" si="24"/>
        <v>598206.7011</v>
      </c>
      <c r="C83" s="108">
        <f t="shared" si="25"/>
        <v>588070.0989</v>
      </c>
      <c r="D83" s="108">
        <f t="shared" si="26"/>
        <v>578271.3017</v>
      </c>
      <c r="E83" s="108">
        <f t="shared" si="27"/>
        <v>568793.7001</v>
      </c>
      <c r="F83" s="108">
        <f t="shared" ref="F83:H83" si="33">$H$9/(F$76-$A83)</f>
        <v>559621.756</v>
      </c>
      <c r="G83" s="108">
        <f t="shared" si="33"/>
        <v>550740.9176</v>
      </c>
      <c r="H83" s="108">
        <f t="shared" si="33"/>
        <v>542137.5425</v>
      </c>
    </row>
    <row r="84">
      <c r="A84" s="11"/>
      <c r="B84" s="109"/>
      <c r="C84" s="11"/>
      <c r="D84" s="11"/>
      <c r="E84" s="11"/>
      <c r="F84" s="11"/>
      <c r="G84" s="11"/>
      <c r="H84" s="11"/>
      <c r="I84" s="11"/>
    </row>
    <row r="85">
      <c r="A85" s="11"/>
      <c r="B85" s="109"/>
      <c r="C85" s="11"/>
      <c r="D85" s="11"/>
      <c r="E85" s="11"/>
      <c r="F85" s="11"/>
      <c r="G85" s="11"/>
      <c r="H85" s="11"/>
      <c r="I85" s="11"/>
    </row>
    <row r="86">
      <c r="A86" s="102" t="s">
        <v>135</v>
      </c>
      <c r="B86" s="103"/>
      <c r="C86" s="103"/>
      <c r="D86" s="103"/>
      <c r="E86" s="103"/>
      <c r="F86" s="103"/>
      <c r="G86" s="103"/>
      <c r="H86" s="103"/>
      <c r="I86" s="103"/>
    </row>
    <row r="87">
      <c r="A87" s="104"/>
      <c r="B87" s="102" t="s">
        <v>133</v>
      </c>
      <c r="C87" s="103"/>
      <c r="D87" s="103"/>
      <c r="E87" s="103"/>
      <c r="F87" s="103"/>
      <c r="G87" s="103"/>
      <c r="H87" s="105"/>
    </row>
    <row r="88">
      <c r="A88" s="106" t="s">
        <v>134</v>
      </c>
      <c r="B88" s="107">
        <f t="shared" ref="B88:D88" si="34">C88-0.15%</f>
        <v>0.1200217781</v>
      </c>
      <c r="C88" s="107">
        <f t="shared" si="34"/>
        <v>0.1215217781</v>
      </c>
      <c r="D88" s="107">
        <f t="shared" si="34"/>
        <v>0.1230217781</v>
      </c>
      <c r="E88" s="107">
        <f>$B$21</f>
        <v>0.1245217781</v>
      </c>
      <c r="F88" s="107">
        <f t="shared" ref="F88:H88" si="35">E88+0.15%</f>
        <v>0.1260217781</v>
      </c>
      <c r="G88" s="107">
        <f t="shared" si="35"/>
        <v>0.1275217781</v>
      </c>
      <c r="H88" s="107">
        <f t="shared" si="35"/>
        <v>0.1290217781</v>
      </c>
    </row>
    <row r="89">
      <c r="A89" s="107">
        <f t="shared" ref="A89:A91" si="37">A90-0.1%</f>
        <v>0.027</v>
      </c>
      <c r="B89" s="108">
        <f t="shared" ref="B89:H89" si="36">B77-$H$11</f>
        <v>348360.846</v>
      </c>
      <c r="C89" s="108">
        <f t="shared" si="36"/>
        <v>339480.0076</v>
      </c>
      <c r="D89" s="108">
        <f t="shared" si="36"/>
        <v>330876.6325</v>
      </c>
      <c r="E89" s="108">
        <f t="shared" si="36"/>
        <v>322537.9175</v>
      </c>
      <c r="F89" s="108">
        <f t="shared" si="36"/>
        <v>314451.8352</v>
      </c>
      <c r="G89" s="108">
        <f t="shared" si="36"/>
        <v>306607.0763</v>
      </c>
      <c r="H89" s="108">
        <f t="shared" si="36"/>
        <v>298992.9963</v>
      </c>
    </row>
    <row r="90">
      <c r="A90" s="107">
        <f t="shared" si="37"/>
        <v>0.028</v>
      </c>
      <c r="B90" s="108">
        <f t="shared" ref="B90:H90" si="38">B78-$H$11</f>
        <v>354442.2515</v>
      </c>
      <c r="C90" s="108">
        <f t="shared" si="38"/>
        <v>345368.9131</v>
      </c>
      <c r="D90" s="108">
        <f t="shared" si="38"/>
        <v>336582.0355</v>
      </c>
      <c r="E90" s="108">
        <f t="shared" si="38"/>
        <v>328068.2635</v>
      </c>
      <c r="F90" s="108">
        <f t="shared" si="38"/>
        <v>319815.0592</v>
      </c>
      <c r="G90" s="108">
        <f t="shared" si="38"/>
        <v>311810.6407</v>
      </c>
      <c r="H90" s="108">
        <f t="shared" si="38"/>
        <v>304043.9261</v>
      </c>
    </row>
    <row r="91">
      <c r="A91" s="107">
        <f t="shared" si="37"/>
        <v>0.029</v>
      </c>
      <c r="B91" s="108">
        <f t="shared" ref="B91:H91" si="39">B79-$H$11</f>
        <v>360657.2824</v>
      </c>
      <c r="C91" s="108">
        <f t="shared" si="39"/>
        <v>351385.1164</v>
      </c>
      <c r="D91" s="108">
        <f t="shared" si="39"/>
        <v>342408.802</v>
      </c>
      <c r="E91" s="108">
        <f t="shared" si="39"/>
        <v>333714.4018</v>
      </c>
      <c r="F91" s="108">
        <f t="shared" si="39"/>
        <v>325288.8402</v>
      </c>
      <c r="G91" s="108">
        <f t="shared" si="39"/>
        <v>317119.838</v>
      </c>
      <c r="H91" s="108">
        <f t="shared" si="39"/>
        <v>309195.8524</v>
      </c>
    </row>
    <row r="92">
      <c r="A92" s="107">
        <f>B22</f>
        <v>0.03</v>
      </c>
      <c r="B92" s="108">
        <f t="shared" ref="B92:H92" si="40">B80-$H$11</f>
        <v>367010.3917</v>
      </c>
      <c r="C92" s="108">
        <f t="shared" si="40"/>
        <v>357532.7901</v>
      </c>
      <c r="D92" s="108">
        <f t="shared" si="40"/>
        <v>348360.846</v>
      </c>
      <c r="E92" s="108">
        <f t="shared" si="40"/>
        <v>339480.0076</v>
      </c>
      <c r="F92" s="108">
        <f t="shared" si="40"/>
        <v>330876.6325</v>
      </c>
      <c r="G92" s="108">
        <f t="shared" si="40"/>
        <v>322537.9175</v>
      </c>
      <c r="H92" s="108">
        <f t="shared" si="40"/>
        <v>314451.8352</v>
      </c>
    </row>
    <row r="93">
      <c r="A93" s="107">
        <f t="shared" ref="A93:A95" si="42">A92+0.1%</f>
        <v>0.031</v>
      </c>
      <c r="B93" s="108">
        <f t="shared" ref="B93:H93" si="41">B81-$H$11</f>
        <v>373506.2325</v>
      </c>
      <c r="C93" s="108">
        <f t="shared" si="41"/>
        <v>363816.2912</v>
      </c>
      <c r="D93" s="108">
        <f t="shared" si="41"/>
        <v>354442.2515</v>
      </c>
      <c r="E93" s="108">
        <f t="shared" si="41"/>
        <v>345368.9131</v>
      </c>
      <c r="F93" s="108">
        <f t="shared" si="41"/>
        <v>336582.0355</v>
      </c>
      <c r="G93" s="108">
        <f t="shared" si="41"/>
        <v>328068.2635</v>
      </c>
      <c r="H93" s="108">
        <f t="shared" si="41"/>
        <v>319815.0592</v>
      </c>
    </row>
    <row r="94">
      <c r="A94" s="107">
        <f t="shared" si="42"/>
        <v>0.032</v>
      </c>
      <c r="B94" s="108">
        <f t="shared" ref="B94:H94" si="43">B82-$H$11</f>
        <v>380149.6696</v>
      </c>
      <c r="C94" s="108">
        <f t="shared" si="43"/>
        <v>370240.1717</v>
      </c>
      <c r="D94" s="108">
        <f t="shared" si="43"/>
        <v>360657.2824</v>
      </c>
      <c r="E94" s="108">
        <f t="shared" si="43"/>
        <v>351385.1164</v>
      </c>
      <c r="F94" s="108">
        <f t="shared" si="43"/>
        <v>342408.802</v>
      </c>
      <c r="G94" s="108">
        <f t="shared" si="43"/>
        <v>333714.4018</v>
      </c>
      <c r="H94" s="108">
        <f t="shared" si="43"/>
        <v>325288.8402</v>
      </c>
    </row>
    <row r="95">
      <c r="A95" s="107">
        <f t="shared" si="42"/>
        <v>0.033</v>
      </c>
      <c r="B95" s="108">
        <f t="shared" ref="B95:H95" si="44">B83-$H$11</f>
        <v>386945.7911</v>
      </c>
      <c r="C95" s="108">
        <f t="shared" si="44"/>
        <v>376809.1889</v>
      </c>
      <c r="D95" s="108">
        <f t="shared" si="44"/>
        <v>367010.3917</v>
      </c>
      <c r="E95" s="108">
        <f t="shared" si="44"/>
        <v>357532.7901</v>
      </c>
      <c r="F95" s="108">
        <f t="shared" si="44"/>
        <v>348360.846</v>
      </c>
      <c r="G95" s="108">
        <f t="shared" si="44"/>
        <v>339480.0076</v>
      </c>
      <c r="H95" s="108">
        <f t="shared" si="44"/>
        <v>330876.6325</v>
      </c>
    </row>
    <row r="96">
      <c r="A96" s="110"/>
      <c r="B96" s="111"/>
      <c r="C96" s="111"/>
      <c r="D96" s="111"/>
      <c r="E96" s="111"/>
      <c r="F96" s="111"/>
      <c r="G96" s="111"/>
      <c r="H96" s="111"/>
    </row>
    <row r="97">
      <c r="A97" s="110"/>
      <c r="B97" s="111"/>
      <c r="C97" s="111"/>
      <c r="D97" s="111"/>
      <c r="E97" s="111"/>
      <c r="F97" s="111"/>
      <c r="G97" s="111"/>
      <c r="H97" s="111"/>
    </row>
    <row r="98">
      <c r="A98" s="112" t="s">
        <v>136</v>
      </c>
      <c r="B98" s="103"/>
      <c r="C98" s="103"/>
      <c r="D98" s="103"/>
      <c r="E98" s="103"/>
      <c r="F98" s="103"/>
      <c r="G98" s="103"/>
      <c r="H98" s="103"/>
      <c r="I98" s="103"/>
    </row>
    <row r="99">
      <c r="A99" s="113"/>
      <c r="B99" s="112" t="s">
        <v>133</v>
      </c>
      <c r="C99" s="103"/>
      <c r="D99" s="103"/>
      <c r="E99" s="103"/>
      <c r="F99" s="103"/>
      <c r="G99" s="103"/>
      <c r="H99" s="105"/>
    </row>
    <row r="100">
      <c r="A100" s="106" t="s">
        <v>134</v>
      </c>
      <c r="B100" s="107">
        <f t="shared" ref="B100:D100" si="45">C100-0.15%</f>
        <v>0.1200217781</v>
      </c>
      <c r="C100" s="107">
        <f t="shared" si="45"/>
        <v>0.1215217781</v>
      </c>
      <c r="D100" s="107">
        <f t="shared" si="45"/>
        <v>0.1230217781</v>
      </c>
      <c r="E100" s="107">
        <f>$B$21</f>
        <v>0.1245217781</v>
      </c>
      <c r="F100" s="107">
        <f t="shared" ref="F100:H100" si="46">E100+0.15%</f>
        <v>0.1260217781</v>
      </c>
      <c r="G100" s="107">
        <f t="shared" si="46"/>
        <v>0.1275217781</v>
      </c>
      <c r="H100" s="107">
        <f t="shared" si="46"/>
        <v>0.1290217781</v>
      </c>
    </row>
    <row r="101">
      <c r="A101" s="107">
        <f t="shared" ref="A101:A103" si="48">A102-0.1%</f>
        <v>0.027</v>
      </c>
      <c r="B101" s="114">
        <f t="shared" ref="B101:H101" si="47">(B89/$B$54)^0.2-1</f>
        <v>0.3259345346</v>
      </c>
      <c r="C101" s="114">
        <f t="shared" si="47"/>
        <v>0.3191040553</v>
      </c>
      <c r="D101" s="114">
        <f t="shared" si="47"/>
        <v>0.3123492708</v>
      </c>
      <c r="E101" s="114">
        <f t="shared" si="47"/>
        <v>0.3056668276</v>
      </c>
      <c r="F101" s="114">
        <f t="shared" si="47"/>
        <v>0.2990535127</v>
      </c>
      <c r="G101" s="114">
        <f t="shared" si="47"/>
        <v>0.2925062435</v>
      </c>
      <c r="H101" s="114">
        <f t="shared" si="47"/>
        <v>0.2860220587</v>
      </c>
    </row>
    <row r="102">
      <c r="A102" s="107">
        <f t="shared" si="48"/>
        <v>0.028</v>
      </c>
      <c r="B102" s="114">
        <f t="shared" ref="B102:H102" si="49">(B90/$B$54)^0.2-1</f>
        <v>0.3305319638</v>
      </c>
      <c r="C102" s="114">
        <f t="shared" si="49"/>
        <v>0.3236490846</v>
      </c>
      <c r="D102" s="114">
        <f t="shared" si="49"/>
        <v>0.3168442186</v>
      </c>
      <c r="E102" s="114">
        <f t="shared" si="49"/>
        <v>0.3101139132</v>
      </c>
      <c r="F102" s="114">
        <f t="shared" si="49"/>
        <v>0.3034548632</v>
      </c>
      <c r="G102" s="114">
        <f t="shared" si="49"/>
        <v>0.2968638999</v>
      </c>
      <c r="H102" s="114">
        <f t="shared" si="49"/>
        <v>0.290337982</v>
      </c>
    </row>
    <row r="103">
      <c r="A103" s="107">
        <f t="shared" si="48"/>
        <v>0.029</v>
      </c>
      <c r="B103" s="114">
        <f t="shared" ref="B103:H103" si="50">(B91/$B$54)^0.2-1</f>
        <v>0.3351656665</v>
      </c>
      <c r="C103" s="114">
        <f t="shared" si="50"/>
        <v>0.3282287831</v>
      </c>
      <c r="D103" s="114">
        <f t="shared" si="50"/>
        <v>0.3213723014</v>
      </c>
      <c r="E103" s="114">
        <f t="shared" si="50"/>
        <v>0.3145926651</v>
      </c>
      <c r="F103" s="114">
        <f t="shared" si="50"/>
        <v>0.3078864718</v>
      </c>
      <c r="G103" s="114">
        <f t="shared" si="50"/>
        <v>0.301250463</v>
      </c>
      <c r="H103" s="114">
        <f t="shared" si="50"/>
        <v>0.2946815133</v>
      </c>
    </row>
    <row r="104">
      <c r="A104" s="107">
        <f>B22</f>
        <v>0.03</v>
      </c>
      <c r="B104" s="114">
        <f t="shared" ref="B104:H104" si="51">(B92/$B$54)^0.2-1</f>
        <v>0.3398367541</v>
      </c>
      <c r="C104" s="114">
        <f t="shared" si="51"/>
        <v>0.3328442123</v>
      </c>
      <c r="D104" s="114">
        <f t="shared" si="51"/>
        <v>0.3259345346</v>
      </c>
      <c r="E104" s="115">
        <f t="shared" si="51"/>
        <v>0.3191040553</v>
      </c>
      <c r="F104" s="114">
        <f t="shared" si="51"/>
        <v>0.3123492708</v>
      </c>
      <c r="G104" s="114">
        <f t="shared" si="51"/>
        <v>0.3056668276</v>
      </c>
      <c r="H104" s="114">
        <f t="shared" si="51"/>
        <v>0.2990535127</v>
      </c>
    </row>
    <row r="105">
      <c r="A105" s="107">
        <f t="shared" ref="A105:A107" si="53">A104+0.1%</f>
        <v>0.031</v>
      </c>
      <c r="B105" s="114">
        <f t="shared" ref="B105:H105" si="52">(B93/$B$54)^0.2-1</f>
        <v>0.3445463729</v>
      </c>
      <c r="C105" s="114">
        <f t="shared" si="52"/>
        <v>0.3374964664</v>
      </c>
      <c r="D105" s="114">
        <f t="shared" si="52"/>
        <v>0.3305319638</v>
      </c>
      <c r="E105" s="114">
        <f t="shared" si="52"/>
        <v>0.3236490846</v>
      </c>
      <c r="F105" s="114">
        <f t="shared" si="52"/>
        <v>0.3168442186</v>
      </c>
      <c r="G105" s="114">
        <f t="shared" si="52"/>
        <v>0.3101139132</v>
      </c>
      <c r="H105" s="114">
        <f t="shared" si="52"/>
        <v>0.3034548632</v>
      </c>
    </row>
    <row r="106">
      <c r="A106" s="107">
        <f t="shared" si="53"/>
        <v>0.032</v>
      </c>
      <c r="B106" s="114">
        <f t="shared" ref="B106:H106" si="54">(B94/$B$54)^0.2-1</f>
        <v>0.3492957062</v>
      </c>
      <c r="C106" s="114">
        <f t="shared" si="54"/>
        <v>0.3421866741</v>
      </c>
      <c r="D106" s="114">
        <f t="shared" si="54"/>
        <v>0.3351656665</v>
      </c>
      <c r="E106" s="114">
        <f t="shared" si="54"/>
        <v>0.3282287831</v>
      </c>
      <c r="F106" s="114">
        <f t="shared" si="54"/>
        <v>0.3213723014</v>
      </c>
      <c r="G106" s="114">
        <f t="shared" si="54"/>
        <v>0.3145926651</v>
      </c>
      <c r="H106" s="114">
        <f t="shared" si="54"/>
        <v>0.3078864718</v>
      </c>
    </row>
    <row r="107">
      <c r="A107" s="107">
        <f t="shared" si="53"/>
        <v>0.033</v>
      </c>
      <c r="B107" s="114">
        <f t="shared" ref="B107:H107" si="55">(B95/$B$54)^0.2-1</f>
        <v>0.3540859762</v>
      </c>
      <c r="C107" s="114">
        <f t="shared" si="55"/>
        <v>0.3469159998</v>
      </c>
      <c r="D107" s="114">
        <f t="shared" si="55"/>
        <v>0.3398367541</v>
      </c>
      <c r="E107" s="114">
        <f t="shared" si="55"/>
        <v>0.3328442123</v>
      </c>
      <c r="F107" s="114">
        <f t="shared" si="55"/>
        <v>0.3259345346</v>
      </c>
      <c r="G107" s="114">
        <f t="shared" si="55"/>
        <v>0.3191040553</v>
      </c>
      <c r="H107" s="114">
        <f t="shared" si="55"/>
        <v>0.3123492708</v>
      </c>
    </row>
    <row r="108">
      <c r="A108" s="11"/>
      <c r="B108" s="109"/>
      <c r="C108" s="11"/>
      <c r="D108" s="11"/>
      <c r="E108" s="11"/>
      <c r="F108" s="11"/>
      <c r="G108" s="11"/>
      <c r="H108" s="11"/>
      <c r="I108" s="11"/>
    </row>
    <row r="109">
      <c r="A109" s="11"/>
      <c r="B109" s="109"/>
      <c r="C109" s="11"/>
      <c r="D109" s="11"/>
      <c r="E109" s="11"/>
      <c r="F109" s="11"/>
      <c r="G109" s="11"/>
      <c r="H109" s="11"/>
      <c r="I109" s="11"/>
    </row>
  </sheetData>
  <mergeCells count="8">
    <mergeCell ref="A10:B10"/>
    <mergeCell ref="A73:I73"/>
    <mergeCell ref="A74:I74"/>
    <mergeCell ref="B75:H75"/>
    <mergeCell ref="A86:I86"/>
    <mergeCell ref="B87:H87"/>
    <mergeCell ref="A98:I98"/>
    <mergeCell ref="B99:H99"/>
  </mergeCells>
  <hyperlinks>
    <hyperlink r:id="rId1" ref="C13"/>
  </hyperlinks>
  <drawing r:id="rId2"/>
</worksheet>
</file>