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FB47A4D0-5424-4140-9872-ACEC11396B5B}" xr6:coauthVersionLast="36" xr6:coauthVersionMax="36" xr10:uidLastSave="{00000000-0000-0000-0000-000000000000}"/>
  <bookViews>
    <workbookView xWindow="0" yWindow="0" windowWidth="23040" windowHeight="9756" firstSheet="1" activeTab="2" xr2:uid="{00000000-000D-0000-FFFF-FFFF00000000}"/>
  </bookViews>
  <sheets>
    <sheet name="FCFF and FCFE" sheetId="1" r:id="rId1"/>
    <sheet name="FCFF from Net Income" sheetId="2" r:id="rId2"/>
    <sheet name="FCFF from CF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3" l="1"/>
  <c r="B30" i="3"/>
  <c r="B29" i="3"/>
  <c r="B27" i="3"/>
  <c r="C33" i="2"/>
  <c r="C9" i="2"/>
  <c r="C29" i="2"/>
  <c r="I22" i="2"/>
  <c r="C30" i="2"/>
  <c r="C28" i="2"/>
  <c r="C29" i="3" l="1"/>
  <c r="D29" i="3"/>
  <c r="C28" i="3" l="1"/>
  <c r="D28" i="3"/>
  <c r="C27" i="3"/>
  <c r="C30" i="3" s="1"/>
  <c r="D27" i="3"/>
  <c r="D30" i="3" s="1"/>
  <c r="G22" i="1"/>
  <c r="G20" i="1"/>
  <c r="G23" i="1" s="1"/>
  <c r="G7" i="1"/>
  <c r="G6" i="1"/>
  <c r="G10" i="1" s="1"/>
  <c r="G12" i="1" s="1"/>
  <c r="G14" i="1" s="1"/>
  <c r="G4" i="1"/>
  <c r="G26" i="1" l="1"/>
  <c r="G28" i="1" s="1"/>
  <c r="G30" i="1" s="1"/>
  <c r="D30" i="2" l="1"/>
  <c r="E30" i="2"/>
  <c r="D28" i="2"/>
  <c r="E28" i="2"/>
  <c r="E9" i="2"/>
  <c r="E29" i="2" s="1"/>
  <c r="D9" i="2"/>
  <c r="J22" i="2"/>
  <c r="K22" i="2"/>
  <c r="H22" i="2"/>
  <c r="I16" i="2"/>
  <c r="J16" i="2"/>
  <c r="K16" i="2"/>
  <c r="H16" i="2"/>
  <c r="H12" i="2"/>
  <c r="I8" i="2"/>
  <c r="I12" i="2" s="1"/>
  <c r="J8" i="2"/>
  <c r="J12" i="2" s="1"/>
  <c r="K8" i="2"/>
  <c r="K12" i="2" s="1"/>
  <c r="H8" i="2"/>
  <c r="D11" i="2" l="1"/>
  <c r="D29" i="2"/>
  <c r="D13" i="2"/>
  <c r="D15" i="2" s="1"/>
  <c r="E13" i="2"/>
  <c r="E15" i="2" s="1"/>
  <c r="C7" i="2"/>
  <c r="C11" i="2" s="1"/>
  <c r="C13" i="2" s="1"/>
  <c r="C15" i="2" s="1"/>
  <c r="D7" i="2"/>
  <c r="E7" i="2"/>
  <c r="E11" i="2" s="1"/>
  <c r="Q6" i="2" l="1"/>
  <c r="Q5" i="2"/>
  <c r="Q10" i="2"/>
  <c r="P10" i="2"/>
  <c r="O10" i="2"/>
  <c r="P5" i="2"/>
  <c r="P7" i="2" s="1"/>
  <c r="P11" i="2" s="1"/>
  <c r="P6" i="2"/>
  <c r="O5" i="2"/>
  <c r="O7" i="2" s="1"/>
  <c r="O11" i="2" s="1"/>
  <c r="O13" i="2" s="1"/>
  <c r="C31" i="2" s="1"/>
  <c r="O6" i="2"/>
  <c r="N6" i="2"/>
  <c r="N7" i="2" s="1"/>
  <c r="N11" i="2" s="1"/>
  <c r="P13" i="2" l="1"/>
  <c r="D31" i="2" s="1"/>
  <c r="Q7" i="2"/>
  <c r="Q11" i="2" s="1"/>
  <c r="Q13" i="2" s="1"/>
  <c r="E31" i="2" s="1"/>
  <c r="E27" i="2"/>
  <c r="E33" i="2" s="1"/>
  <c r="D27" i="2"/>
  <c r="D33" i="2" s="1"/>
  <c r="C27" i="2"/>
</calcChain>
</file>

<file path=xl/sharedStrings.xml><?xml version="1.0" encoding="utf-8"?>
<sst xmlns="http://schemas.openxmlformats.org/spreadsheetml/2006/main" count="110" uniqueCount="87">
  <si>
    <t>FCFF</t>
  </si>
  <si>
    <t>Cost of debt</t>
  </si>
  <si>
    <t xml:space="preserve">Required rate of return for equity </t>
  </si>
  <si>
    <t>Debt</t>
  </si>
  <si>
    <t>Equity</t>
  </si>
  <si>
    <t>Tax rate</t>
  </si>
  <si>
    <t>Growth rate</t>
  </si>
  <si>
    <t>g</t>
  </si>
  <si>
    <t>Target Capital Structure</t>
  </si>
  <si>
    <t>No. of outstanding shares</t>
  </si>
  <si>
    <t>WACC</t>
  </si>
  <si>
    <r>
      <t>FCFF</t>
    </r>
    <r>
      <rPr>
        <b/>
        <sz val="10"/>
        <color theme="1"/>
        <rFont val="Arial"/>
        <family val="2"/>
      </rPr>
      <t>1</t>
    </r>
  </si>
  <si>
    <t>WACC-g</t>
  </si>
  <si>
    <t>Firm value</t>
  </si>
  <si>
    <t>Equity Value</t>
  </si>
  <si>
    <t>Value per share</t>
  </si>
  <si>
    <t>EBITDA</t>
  </si>
  <si>
    <t>Depreciation expenses</t>
  </si>
  <si>
    <t>Operating income</t>
  </si>
  <si>
    <t>Income before tax</t>
  </si>
  <si>
    <t>Net Income</t>
  </si>
  <si>
    <t>Income Statement</t>
  </si>
  <si>
    <t>Balance sheet</t>
  </si>
  <si>
    <t>Cash</t>
  </si>
  <si>
    <t>Accounts receivable</t>
  </si>
  <si>
    <t>Inventory</t>
  </si>
  <si>
    <t>Current assets</t>
  </si>
  <si>
    <t>Fixed Assets</t>
  </si>
  <si>
    <t>Accumulated depreciation</t>
  </si>
  <si>
    <t>Total assets</t>
  </si>
  <si>
    <t>Account payables</t>
  </si>
  <si>
    <t>Current portion of long term debt</t>
  </si>
  <si>
    <t>Current liabilities</t>
  </si>
  <si>
    <t>Long-term debt</t>
  </si>
  <si>
    <t>Common stock</t>
  </si>
  <si>
    <t>Retained earnings</t>
  </si>
  <si>
    <t>Total liabilities and equity</t>
  </si>
  <si>
    <t>Working Capital</t>
  </si>
  <si>
    <t>Current assets excluding cash</t>
  </si>
  <si>
    <t>Account receivable</t>
  </si>
  <si>
    <t>Total current assets excluding cash</t>
  </si>
  <si>
    <t>Current liabilities excluding short-term debt</t>
  </si>
  <si>
    <t>Accounts payable</t>
  </si>
  <si>
    <t>Working capital</t>
  </si>
  <si>
    <t>Increase in working capital</t>
  </si>
  <si>
    <t>Noncash charges</t>
  </si>
  <si>
    <t>Interest expenses x (1-Tax rate)</t>
  </si>
  <si>
    <t>Investment in Fixed Capital</t>
  </si>
  <si>
    <t>Invetment in Working Capital</t>
  </si>
  <si>
    <t>Free Cash to the Firm</t>
  </si>
  <si>
    <t>Interest expense (at 6%)</t>
  </si>
  <si>
    <t>Income taxes (at 25%)</t>
  </si>
  <si>
    <t>Total cash flow</t>
  </si>
  <si>
    <t>Ending cash</t>
  </si>
  <si>
    <t>Cash paid for interest</t>
  </si>
  <si>
    <t>Cash paid for taxes</t>
  </si>
  <si>
    <t>Cash flow from operations</t>
  </si>
  <si>
    <t>Interest expensesx(1-tax rate)</t>
  </si>
  <si>
    <t>Investment in fixed capital</t>
  </si>
  <si>
    <t>Free cash flow to the firm (FCFF)</t>
  </si>
  <si>
    <t xml:space="preserve">                                                                                                                                            Years Ending 31 March</t>
  </si>
  <si>
    <t xml:space="preserve">Net income </t>
  </si>
  <si>
    <t xml:space="preserve">$97.52 </t>
  </si>
  <si>
    <t xml:space="preserve">$107.28 </t>
  </si>
  <si>
    <t>$118.00</t>
  </si>
  <si>
    <t xml:space="preserve">Plus: Depreciation </t>
  </si>
  <si>
    <t>Increase in accounts receivable</t>
  </si>
  <si>
    <t xml:space="preserve">Increase in inventory </t>
  </si>
  <si>
    <t xml:space="preserve">Increase in accounts payable </t>
  </si>
  <si>
    <t xml:space="preserve">Cash flow from operations </t>
  </si>
  <si>
    <t>Cash flow from investing activities</t>
  </si>
  <si>
    <t xml:space="preserve">Purchases of PP&amp;E </t>
  </si>
  <si>
    <t>Cash flow from financing activities</t>
  </si>
  <si>
    <t xml:space="preserve">Borrowing (repayment) </t>
  </si>
  <si>
    <t xml:space="preserve">Beginning cash </t>
  </si>
  <si>
    <t xml:space="preserve"> $108.92 </t>
  </si>
  <si>
    <t>$228.74</t>
  </si>
  <si>
    <t xml:space="preserve"> $360.54</t>
  </si>
  <si>
    <t>Notes:</t>
  </si>
  <si>
    <t xml:space="preserve">Cash paid for interest </t>
  </si>
  <si>
    <t xml:space="preserve">($15.68) </t>
  </si>
  <si>
    <t xml:space="preserve">($17.25) </t>
  </si>
  <si>
    <t>($18.97)</t>
  </si>
  <si>
    <t xml:space="preserve">Cash paid for taxes </t>
  </si>
  <si>
    <t xml:space="preserve">($41.80) </t>
  </si>
  <si>
    <t xml:space="preserve">($45.98) </t>
  </si>
  <si>
    <t>($50.57)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</si>
</sst>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,&quot; M&quot;"/>
    <numFmt numFmtId="165" formatCode="\$#0.00,,,&quot; B&quot;"/>
    <numFmt numFmtId="166" formatCode="\$#\ 0.0,,\ &quot;M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5" fillId="0" borderId="0" xfId="0" applyFont="1"/>
    <xf numFmtId="0" fontId="5" fillId="0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6" borderId="0" xfId="0" applyFont="1" applyFill="1"/>
    <xf numFmtId="2" fontId="0" fillId="0" borderId="0" xfId="0" applyNumberFormat="1"/>
    <xf numFmtId="2" fontId="5" fillId="0" borderId="0" xfId="0" applyNumberFormat="1" applyFont="1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6" fillId="0" borderId="0" xfId="0" applyFont="1"/>
    <xf numFmtId="2" fontId="0" fillId="0" borderId="0" xfId="0" applyNumberFormat="1" applyFill="1"/>
    <xf numFmtId="9" fontId="0" fillId="0" borderId="0" xfId="0" applyNumberFormat="1"/>
    <xf numFmtId="2" fontId="0" fillId="0" borderId="0" xfId="0" applyNumberFormat="1" applyFont="1"/>
    <xf numFmtId="10" fontId="2" fillId="3" borderId="0" xfId="1" applyNumberFormat="1" applyFont="1" applyFill="1"/>
    <xf numFmtId="0" fontId="2" fillId="3" borderId="0" xfId="0" applyNumberFormat="1" applyFont="1" applyFill="1"/>
    <xf numFmtId="164" fontId="2" fillId="3" borderId="0" xfId="0" applyNumberFormat="1" applyFont="1" applyFill="1"/>
    <xf numFmtId="10" fontId="2" fillId="3" borderId="0" xfId="0" applyNumberFormat="1" applyFont="1" applyFill="1"/>
    <xf numFmtId="166" fontId="2" fillId="3" borderId="0" xfId="0" applyNumberFormat="1" applyFont="1" applyFill="1"/>
    <xf numFmtId="2" fontId="2" fillId="3" borderId="0" xfId="0" applyNumberFormat="1" applyFont="1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Border="1"/>
    <xf numFmtId="2" fontId="2" fillId="0" borderId="0" xfId="0" applyNumberFormat="1" applyFont="1"/>
    <xf numFmtId="0" fontId="0" fillId="0" borderId="11" xfId="0" applyBorder="1" applyAlignment="1"/>
    <xf numFmtId="0" fontId="0" fillId="0" borderId="12" xfId="0" applyBorder="1" applyAlignment="1"/>
    <xf numFmtId="0" fontId="7" fillId="0" borderId="11" xfId="0" applyFont="1" applyBorder="1"/>
    <xf numFmtId="2" fontId="6" fillId="0" borderId="11" xfId="0" applyNumberFormat="1" applyFont="1" applyBorder="1"/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5" fillId="0" borderId="1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3" xfId="0" applyBorder="1"/>
    <xf numFmtId="0" fontId="0" fillId="0" borderId="4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3"/>
  <sheetViews>
    <sheetView topLeftCell="B7" zoomScale="80" zoomScaleNormal="80" workbookViewId="0">
      <selection activeCell="G12" sqref="G12"/>
    </sheetView>
  </sheetViews>
  <sheetFormatPr defaultColWidth="9.109375" defaultRowHeight="17.399999999999999" x14ac:dyDescent="0.3"/>
  <cols>
    <col min="1" max="2" width="24.44140625" style="1" customWidth="1"/>
    <col min="3" max="3" width="22" style="1" customWidth="1"/>
    <col min="4" max="5" width="9.109375" style="5"/>
    <col min="6" max="6" width="21.33203125" style="5" customWidth="1"/>
    <col min="7" max="7" width="17.109375" style="5" customWidth="1"/>
    <col min="8" max="24" width="9.109375" style="5"/>
    <col min="25" max="16384" width="9.109375" style="1"/>
  </cols>
  <sheetData>
    <row r="4" spans="1:7" x14ac:dyDescent="0.3">
      <c r="A4" s="1" t="s">
        <v>0</v>
      </c>
      <c r="C4" s="2">
        <v>950000000</v>
      </c>
      <c r="F4" s="6" t="s">
        <v>10</v>
      </c>
      <c r="G4" s="22">
        <f>(C12*C8) + (C11*C7*(1-C14))</f>
        <v>7.7594999999999997E-2</v>
      </c>
    </row>
    <row r="5" spans="1:7" x14ac:dyDescent="0.3">
      <c r="C5" s="2"/>
      <c r="G5" s="23"/>
    </row>
    <row r="6" spans="1:7" x14ac:dyDescent="0.3">
      <c r="A6" s="1" t="s">
        <v>6</v>
      </c>
      <c r="B6" s="1" t="s">
        <v>7</v>
      </c>
      <c r="C6" s="3">
        <v>0.04</v>
      </c>
      <c r="F6" s="6" t="s">
        <v>11</v>
      </c>
      <c r="G6" s="24">
        <f>C4*(1+C6)</f>
        <v>988000000</v>
      </c>
    </row>
    <row r="7" spans="1:7" x14ac:dyDescent="0.3">
      <c r="A7" s="1" t="s">
        <v>1</v>
      </c>
      <c r="C7" s="3">
        <v>5.2499999999999998E-2</v>
      </c>
      <c r="F7" s="6" t="s">
        <v>12</v>
      </c>
      <c r="G7" s="25">
        <f>G4-C6</f>
        <v>3.7594999999999996E-2</v>
      </c>
    </row>
    <row r="8" spans="1:7" x14ac:dyDescent="0.3">
      <c r="A8" s="1" t="s">
        <v>2</v>
      </c>
      <c r="C8" s="3">
        <v>0.105</v>
      </c>
      <c r="G8" s="23"/>
    </row>
    <row r="9" spans="1:7" x14ac:dyDescent="0.3">
      <c r="G9" s="23"/>
    </row>
    <row r="10" spans="1:7" x14ac:dyDescent="0.3">
      <c r="A10" s="1" t="s">
        <v>8</v>
      </c>
      <c r="F10" s="6" t="s">
        <v>13</v>
      </c>
      <c r="G10" s="26">
        <f>G6/G7</f>
        <v>26280090437.558189</v>
      </c>
    </row>
    <row r="11" spans="1:7" x14ac:dyDescent="0.3">
      <c r="A11" s="1" t="s">
        <v>3</v>
      </c>
      <c r="C11" s="3">
        <v>0.4</v>
      </c>
      <c r="G11" s="23"/>
    </row>
    <row r="12" spans="1:7" x14ac:dyDescent="0.3">
      <c r="A12" s="1" t="s">
        <v>4</v>
      </c>
      <c r="C12" s="3">
        <v>0.6</v>
      </c>
      <c r="F12" s="6" t="s">
        <v>14</v>
      </c>
      <c r="G12" s="26">
        <f>G10-C16</f>
        <v>24300090437.558189</v>
      </c>
    </row>
    <row r="13" spans="1:7" x14ac:dyDescent="0.3">
      <c r="G13" s="23"/>
    </row>
    <row r="14" spans="1:7" x14ac:dyDescent="0.3">
      <c r="A14" s="1" t="s">
        <v>5</v>
      </c>
      <c r="C14" s="3">
        <v>0.30499999999999999</v>
      </c>
      <c r="F14" s="6" t="s">
        <v>15</v>
      </c>
      <c r="G14" s="27">
        <f>G12/C17</f>
        <v>131.35184020301725</v>
      </c>
    </row>
    <row r="16" spans="1:7" x14ac:dyDescent="0.3">
      <c r="A16" s="1" t="s">
        <v>3</v>
      </c>
      <c r="C16" s="4">
        <v>1980000000</v>
      </c>
    </row>
    <row r="17" spans="1:7" x14ac:dyDescent="0.3">
      <c r="A17" s="1" t="s">
        <v>9</v>
      </c>
      <c r="C17" s="41">
        <v>185000000</v>
      </c>
    </row>
    <row r="20" spans="1:7" x14ac:dyDescent="0.3">
      <c r="A20" s="1" t="s">
        <v>0</v>
      </c>
      <c r="C20" s="2">
        <v>700000000</v>
      </c>
      <c r="F20" s="6" t="s">
        <v>10</v>
      </c>
      <c r="G20" s="22">
        <f>(C28*C24) + (C27*C23*(1-C30))</f>
        <v>0.10200380000000001</v>
      </c>
    </row>
    <row r="21" spans="1:7" x14ac:dyDescent="0.3">
      <c r="C21" s="2"/>
      <c r="G21" s="23"/>
    </row>
    <row r="22" spans="1:7" x14ac:dyDescent="0.3">
      <c r="A22" s="1" t="s">
        <v>6</v>
      </c>
      <c r="B22" s="1" t="s">
        <v>7</v>
      </c>
      <c r="C22" s="3">
        <v>0.05</v>
      </c>
      <c r="F22" s="6" t="s">
        <v>11</v>
      </c>
      <c r="G22" s="24">
        <f>C20*(1+C22)</f>
        <v>735000000</v>
      </c>
    </row>
    <row r="23" spans="1:7" x14ac:dyDescent="0.3">
      <c r="A23" s="1" t="s">
        <v>1</v>
      </c>
      <c r="C23" s="3">
        <v>5.7000000000000002E-2</v>
      </c>
      <c r="F23" s="6" t="s">
        <v>12</v>
      </c>
      <c r="G23" s="25">
        <f>G20-C22</f>
        <v>5.2003800000000003E-2</v>
      </c>
    </row>
    <row r="24" spans="1:7" x14ac:dyDescent="0.3">
      <c r="A24" s="1" t="s">
        <v>2</v>
      </c>
      <c r="C24" s="3">
        <v>0.11799999999999999</v>
      </c>
      <c r="G24" s="23"/>
    </row>
    <row r="25" spans="1:7" x14ac:dyDescent="0.3">
      <c r="G25" s="23"/>
    </row>
    <row r="26" spans="1:7" x14ac:dyDescent="0.3">
      <c r="A26" s="1" t="s">
        <v>8</v>
      </c>
      <c r="F26" s="6" t="s">
        <v>13</v>
      </c>
      <c r="G26" s="26">
        <f>G22/G23</f>
        <v>14133582545.890877</v>
      </c>
    </row>
    <row r="27" spans="1:7" x14ac:dyDescent="0.3">
      <c r="A27" s="1" t="s">
        <v>3</v>
      </c>
      <c r="C27" s="3">
        <v>0.2</v>
      </c>
      <c r="G27" s="23"/>
    </row>
    <row r="28" spans="1:7" x14ac:dyDescent="0.3">
      <c r="A28" s="1" t="s">
        <v>4</v>
      </c>
      <c r="C28" s="3">
        <v>0.8</v>
      </c>
      <c r="F28" s="6" t="s">
        <v>14</v>
      </c>
      <c r="G28" s="26">
        <f>G26-C32</f>
        <v>11933582545.890877</v>
      </c>
    </row>
    <row r="29" spans="1:7" x14ac:dyDescent="0.3">
      <c r="G29" s="23"/>
    </row>
    <row r="30" spans="1:7" x14ac:dyDescent="0.3">
      <c r="A30" s="1" t="s">
        <v>5</v>
      </c>
      <c r="C30" s="3">
        <v>0.33300000000000002</v>
      </c>
      <c r="F30" s="6" t="s">
        <v>15</v>
      </c>
      <c r="G30" s="27">
        <f>G28/C33</f>
        <v>59.667912729454386</v>
      </c>
    </row>
    <row r="32" spans="1:7" x14ac:dyDescent="0.3">
      <c r="A32" s="1" t="s">
        <v>3</v>
      </c>
      <c r="C32" s="4">
        <v>2200000000</v>
      </c>
    </row>
    <row r="33" spans="1:3" x14ac:dyDescent="0.3">
      <c r="A33" s="1" t="s">
        <v>9</v>
      </c>
      <c r="C33" s="41">
        <v>200000000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33"/>
  <sheetViews>
    <sheetView zoomScale="63" zoomScaleNormal="80" workbookViewId="0">
      <selection activeCell="C34" sqref="C34"/>
    </sheetView>
  </sheetViews>
  <sheetFormatPr defaultRowHeight="14.4" x14ac:dyDescent="0.3"/>
  <cols>
    <col min="1" max="1" width="39.44140625" customWidth="1"/>
    <col min="2" max="2" width="8.6640625" customWidth="1"/>
    <col min="7" max="7" width="33.5546875" customWidth="1"/>
    <col min="11" max="11" width="9.109375" customWidth="1"/>
    <col min="13" max="13" width="39.33203125" customWidth="1"/>
  </cols>
  <sheetData>
    <row r="2" spans="1:17" x14ac:dyDescent="0.3">
      <c r="A2" s="10" t="s">
        <v>21</v>
      </c>
      <c r="B2" s="15"/>
      <c r="C2" s="15"/>
      <c r="D2" s="15"/>
      <c r="E2" s="15"/>
      <c r="G2" s="11" t="s">
        <v>22</v>
      </c>
      <c r="H2" s="14"/>
      <c r="I2" s="14"/>
      <c r="J2" s="14"/>
      <c r="K2" s="14"/>
      <c r="M2" s="17" t="s">
        <v>37</v>
      </c>
      <c r="N2" s="17"/>
      <c r="O2" s="17"/>
      <c r="P2" s="17"/>
      <c r="Q2" s="17"/>
    </row>
    <row r="3" spans="1:17" x14ac:dyDescent="0.3">
      <c r="A3" s="8"/>
      <c r="B3" s="7">
        <v>2017</v>
      </c>
      <c r="C3" s="7">
        <v>2018</v>
      </c>
      <c r="D3" s="7">
        <v>2019</v>
      </c>
      <c r="E3" s="7">
        <v>2020</v>
      </c>
      <c r="G3" s="8"/>
      <c r="H3" s="7">
        <v>2017</v>
      </c>
      <c r="I3" s="7">
        <v>2018</v>
      </c>
      <c r="J3" s="7">
        <v>2019</v>
      </c>
      <c r="K3" s="7">
        <v>2020</v>
      </c>
      <c r="M3" s="16"/>
      <c r="N3" s="7">
        <v>2017</v>
      </c>
      <c r="O3" s="7">
        <v>2018</v>
      </c>
      <c r="P3" s="7">
        <v>2019</v>
      </c>
      <c r="Q3" s="7">
        <v>2020</v>
      </c>
    </row>
    <row r="4" spans="1:17" x14ac:dyDescent="0.3">
      <c r="M4" s="18" t="s">
        <v>38</v>
      </c>
      <c r="N4" s="12"/>
      <c r="O4" s="12"/>
      <c r="P4" s="12"/>
      <c r="Q4" s="19"/>
    </row>
    <row r="5" spans="1:17" x14ac:dyDescent="0.3">
      <c r="A5" t="s">
        <v>16</v>
      </c>
      <c r="C5" s="12">
        <v>786</v>
      </c>
      <c r="D5" s="12">
        <v>943.2</v>
      </c>
      <c r="E5" s="12">
        <v>1179</v>
      </c>
      <c r="G5" t="s">
        <v>23</v>
      </c>
      <c r="H5" s="12">
        <v>0</v>
      </c>
      <c r="I5" s="12">
        <v>385.85</v>
      </c>
      <c r="J5" s="12">
        <v>742.93</v>
      </c>
      <c r="K5" s="12">
        <v>1765</v>
      </c>
      <c r="M5" t="s">
        <v>39</v>
      </c>
      <c r="N5" s="12">
        <v>0</v>
      </c>
      <c r="O5" s="12">
        <f t="shared" ref="O5:Q6" si="0">I6</f>
        <v>357.27</v>
      </c>
      <c r="P5" s="12">
        <f t="shared" si="0"/>
        <v>410.25</v>
      </c>
      <c r="Q5" s="12">
        <f t="shared" si="0"/>
        <v>589.5</v>
      </c>
    </row>
    <row r="6" spans="1:17" x14ac:dyDescent="0.3">
      <c r="A6" t="s">
        <v>17</v>
      </c>
      <c r="C6" s="12">
        <v>86</v>
      </c>
      <c r="D6" s="12">
        <v>98.15</v>
      </c>
      <c r="E6" s="12">
        <v>105.25</v>
      </c>
      <c r="G6" t="s">
        <v>24</v>
      </c>
      <c r="H6" s="12">
        <v>0</v>
      </c>
      <c r="I6" s="12">
        <v>357.27</v>
      </c>
      <c r="J6" s="12">
        <v>410.25</v>
      </c>
      <c r="K6" s="12">
        <v>589.5</v>
      </c>
      <c r="M6" t="s">
        <v>25</v>
      </c>
      <c r="N6" s="12">
        <f>H7</f>
        <v>235</v>
      </c>
      <c r="O6" s="12">
        <f t="shared" si="0"/>
        <v>285</v>
      </c>
      <c r="P6" s="12">
        <f t="shared" si="0"/>
        <v>325</v>
      </c>
      <c r="Q6" s="12">
        <f t="shared" si="0"/>
        <v>384.88</v>
      </c>
    </row>
    <row r="7" spans="1:17" x14ac:dyDescent="0.3">
      <c r="A7" s="7" t="s">
        <v>18</v>
      </c>
      <c r="B7" s="7"/>
      <c r="C7" s="13">
        <f>C5-C6</f>
        <v>700</v>
      </c>
      <c r="D7" s="13">
        <f>D5-D6</f>
        <v>845.05000000000007</v>
      </c>
      <c r="E7" s="13">
        <f>E5-E6</f>
        <v>1073.75</v>
      </c>
      <c r="G7" t="s">
        <v>25</v>
      </c>
      <c r="H7" s="12">
        <v>235</v>
      </c>
      <c r="I7" s="12">
        <v>285</v>
      </c>
      <c r="J7" s="12">
        <v>325</v>
      </c>
      <c r="K7" s="12">
        <v>384.88</v>
      </c>
      <c r="M7" s="7" t="s">
        <v>40</v>
      </c>
      <c r="N7" s="13">
        <f>N5+N6</f>
        <v>235</v>
      </c>
      <c r="O7" s="13">
        <f t="shared" ref="O7:Q7" si="1">O5+O6</f>
        <v>642.27</v>
      </c>
      <c r="P7" s="13">
        <f t="shared" si="1"/>
        <v>735.25</v>
      </c>
      <c r="Q7" s="13">
        <f t="shared" si="1"/>
        <v>974.38</v>
      </c>
    </row>
    <row r="8" spans="1:17" x14ac:dyDescent="0.3">
      <c r="C8" s="12"/>
      <c r="D8" s="12"/>
      <c r="E8" s="12"/>
      <c r="G8" s="7" t="s">
        <v>26</v>
      </c>
      <c r="H8" s="13">
        <f>SUM(H5:H7)</f>
        <v>235</v>
      </c>
      <c r="I8" s="13">
        <f t="shared" ref="I8:K8" si="2">SUM(I5:I7)</f>
        <v>1028.1199999999999</v>
      </c>
      <c r="J8" s="13">
        <f t="shared" si="2"/>
        <v>1478.1799999999998</v>
      </c>
      <c r="K8" s="13">
        <f t="shared" si="2"/>
        <v>2739.38</v>
      </c>
      <c r="N8" s="12"/>
      <c r="O8" s="12"/>
      <c r="P8" s="12"/>
      <c r="Q8" s="12"/>
    </row>
    <row r="9" spans="1:17" x14ac:dyDescent="0.3">
      <c r="A9" t="s">
        <v>50</v>
      </c>
      <c r="C9" s="12">
        <f>H18*0.06</f>
        <v>52.819200000000002</v>
      </c>
      <c r="D9" s="12">
        <f t="shared" ref="D9" si="3">I18*0.06</f>
        <v>52.819200000000002</v>
      </c>
      <c r="E9" s="12">
        <f>J18*0.06</f>
        <v>63.382800000000003</v>
      </c>
      <c r="H9" s="12"/>
      <c r="I9" s="12"/>
      <c r="J9" s="12"/>
      <c r="K9" s="12"/>
      <c r="M9" s="18" t="s">
        <v>41</v>
      </c>
      <c r="N9" s="12"/>
      <c r="O9" s="12"/>
      <c r="P9" s="12"/>
      <c r="Q9" s="12"/>
    </row>
    <row r="10" spans="1:17" x14ac:dyDescent="0.3">
      <c r="C10" s="12"/>
      <c r="D10" s="12"/>
      <c r="E10" s="12"/>
      <c r="G10" t="s">
        <v>27</v>
      </c>
      <c r="H10" s="12">
        <v>1968</v>
      </c>
      <c r="I10" s="12">
        <v>1965</v>
      </c>
      <c r="J10" s="12">
        <v>2143</v>
      </c>
      <c r="K10" s="12">
        <v>2945.5</v>
      </c>
      <c r="M10" t="s">
        <v>42</v>
      </c>
      <c r="N10" s="12">
        <v>0</v>
      </c>
      <c r="O10" s="12">
        <f>I14</f>
        <v>178.63</v>
      </c>
      <c r="P10" s="12">
        <f>J14</f>
        <v>214.36</v>
      </c>
      <c r="Q10" s="12">
        <f>K14</f>
        <v>294.75</v>
      </c>
    </row>
    <row r="11" spans="1:17" x14ac:dyDescent="0.3">
      <c r="A11" s="7" t="s">
        <v>19</v>
      </c>
      <c r="B11" s="7"/>
      <c r="C11" s="13">
        <f>C7-C9</f>
        <v>647.18079999999998</v>
      </c>
      <c r="D11" s="13">
        <f t="shared" ref="D11:E11" si="4">D7-D9</f>
        <v>792.23080000000004</v>
      </c>
      <c r="E11" s="13">
        <f t="shared" si="4"/>
        <v>1010.3672</v>
      </c>
      <c r="G11" t="s">
        <v>28</v>
      </c>
      <c r="H11" s="12">
        <v>0</v>
      </c>
      <c r="I11" s="12">
        <v>160.77000000000001</v>
      </c>
      <c r="J11" s="12">
        <v>366.36</v>
      </c>
      <c r="K11" s="12">
        <v>721.04</v>
      </c>
      <c r="M11" t="s">
        <v>43</v>
      </c>
      <c r="N11" s="21">
        <f>N7-N10</f>
        <v>235</v>
      </c>
      <c r="O11" s="21">
        <f t="shared" ref="O11:Q11" si="5">O7-O10</f>
        <v>463.64</v>
      </c>
      <c r="P11" s="21">
        <f t="shared" si="5"/>
        <v>520.89</v>
      </c>
      <c r="Q11" s="21">
        <f t="shared" si="5"/>
        <v>679.63</v>
      </c>
    </row>
    <row r="12" spans="1:17" x14ac:dyDescent="0.3">
      <c r="A12" s="7"/>
      <c r="B12" s="7"/>
      <c r="C12" s="13"/>
      <c r="D12" s="12"/>
      <c r="E12" s="12"/>
      <c r="G12" s="7" t="s">
        <v>29</v>
      </c>
      <c r="H12" s="13">
        <f>H8+H10+H11</f>
        <v>2203</v>
      </c>
      <c r="I12" s="13">
        <f t="shared" ref="I12:K12" si="6">I8+I10+I11</f>
        <v>3153.89</v>
      </c>
      <c r="J12" s="13">
        <f t="shared" si="6"/>
        <v>3987.54</v>
      </c>
      <c r="K12" s="13">
        <f t="shared" si="6"/>
        <v>6405.92</v>
      </c>
      <c r="N12" s="12"/>
      <c r="O12" s="12"/>
      <c r="P12" s="12"/>
      <c r="Q12" s="12"/>
    </row>
    <row r="13" spans="1:17" x14ac:dyDescent="0.3">
      <c r="A13" t="s">
        <v>51</v>
      </c>
      <c r="C13" s="12">
        <f>C11*0.25</f>
        <v>161.79519999999999</v>
      </c>
      <c r="D13" s="12">
        <f t="shared" ref="D13:E13" si="7">D11*0.25</f>
        <v>198.05770000000001</v>
      </c>
      <c r="E13" s="12">
        <f t="shared" si="7"/>
        <v>252.59180000000001</v>
      </c>
      <c r="H13" s="12"/>
      <c r="I13" s="12"/>
      <c r="J13" s="12"/>
      <c r="K13" s="12"/>
      <c r="M13" s="7" t="s">
        <v>44</v>
      </c>
      <c r="N13" s="12"/>
      <c r="O13" s="13">
        <f>O11-N11</f>
        <v>228.64</v>
      </c>
      <c r="P13" s="13">
        <f t="shared" ref="P13:Q13" si="8">P11-O11</f>
        <v>57.25</v>
      </c>
      <c r="Q13" s="13">
        <f t="shared" si="8"/>
        <v>158.74</v>
      </c>
    </row>
    <row r="14" spans="1:17" x14ac:dyDescent="0.3">
      <c r="C14" s="12"/>
      <c r="D14" s="12"/>
      <c r="E14" s="12"/>
      <c r="G14" t="s">
        <v>30</v>
      </c>
      <c r="H14" s="12">
        <v>0</v>
      </c>
      <c r="I14" s="12">
        <v>178.63</v>
      </c>
      <c r="J14" s="12">
        <v>214.36</v>
      </c>
      <c r="K14" s="12">
        <v>294.75</v>
      </c>
    </row>
    <row r="15" spans="1:17" x14ac:dyDescent="0.3">
      <c r="A15" s="7" t="s">
        <v>20</v>
      </c>
      <c r="B15" s="7"/>
      <c r="C15" s="13">
        <f>C11-C13</f>
        <v>485.38559999999995</v>
      </c>
      <c r="D15" s="13">
        <f t="shared" ref="D15:E15" si="9">D11-D13</f>
        <v>594.17309999999998</v>
      </c>
      <c r="E15" s="13">
        <f t="shared" si="9"/>
        <v>757.77539999999999</v>
      </c>
      <c r="G15" t="s">
        <v>31</v>
      </c>
      <c r="H15" s="12">
        <v>0</v>
      </c>
      <c r="I15" s="12">
        <v>0</v>
      </c>
      <c r="J15" s="12">
        <v>0</v>
      </c>
      <c r="K15" s="12">
        <v>0</v>
      </c>
    </row>
    <row r="16" spans="1:17" x14ac:dyDescent="0.3">
      <c r="G16" s="7" t="s">
        <v>32</v>
      </c>
      <c r="H16" s="13">
        <f>H14+H15</f>
        <v>0</v>
      </c>
      <c r="I16" s="13">
        <f t="shared" ref="I16:K16" si="10">I14+I15</f>
        <v>178.63</v>
      </c>
      <c r="J16" s="13">
        <f t="shared" si="10"/>
        <v>214.36</v>
      </c>
      <c r="K16" s="13">
        <f t="shared" si="10"/>
        <v>294.75</v>
      </c>
    </row>
    <row r="17" spans="1:11" x14ac:dyDescent="0.3">
      <c r="H17" s="12"/>
      <c r="I17" s="12"/>
      <c r="J17" s="12"/>
      <c r="K17" s="12"/>
    </row>
    <row r="18" spans="1:11" x14ac:dyDescent="0.3">
      <c r="G18" t="s">
        <v>33</v>
      </c>
      <c r="H18" s="12">
        <v>880.32</v>
      </c>
      <c r="I18" s="12">
        <v>880.32</v>
      </c>
      <c r="J18" s="12">
        <v>1056.3800000000001</v>
      </c>
      <c r="K18" s="12">
        <v>1451.82</v>
      </c>
    </row>
    <row r="19" spans="1:11" x14ac:dyDescent="0.3">
      <c r="G19" t="s">
        <v>34</v>
      </c>
      <c r="H19" s="12">
        <v>1320.48</v>
      </c>
      <c r="I19" s="12">
        <v>1200.43</v>
      </c>
      <c r="J19" s="12">
        <v>1309.56</v>
      </c>
      <c r="K19" s="12">
        <v>1636.95</v>
      </c>
    </row>
    <row r="20" spans="1:11" x14ac:dyDescent="0.3">
      <c r="G20" t="s">
        <v>35</v>
      </c>
      <c r="H20" s="12">
        <v>0</v>
      </c>
      <c r="I20" s="12">
        <v>348.41</v>
      </c>
      <c r="J20" s="12">
        <v>798.21</v>
      </c>
      <c r="K20" s="12">
        <v>1568.75</v>
      </c>
    </row>
    <row r="21" spans="1:11" x14ac:dyDescent="0.3">
      <c r="H21" s="12"/>
      <c r="I21" s="12"/>
      <c r="J21" s="12"/>
      <c r="K21" s="12"/>
    </row>
    <row r="22" spans="1:11" x14ac:dyDescent="0.3">
      <c r="G22" s="7" t="s">
        <v>36</v>
      </c>
      <c r="H22" s="13">
        <f>H16+H18+H19+H20</f>
        <v>2200.8000000000002</v>
      </c>
      <c r="I22" s="13">
        <f>I16+I18+I19+I20</f>
        <v>2607.79</v>
      </c>
      <c r="J22" s="13">
        <f t="shared" ref="I22:K22" si="11">J16+J18+J19+J20</f>
        <v>3378.51</v>
      </c>
      <c r="K22" s="13">
        <f t="shared" si="11"/>
        <v>4952.2700000000004</v>
      </c>
    </row>
    <row r="25" spans="1:11" x14ac:dyDescent="0.3">
      <c r="A25" s="9" t="s">
        <v>0</v>
      </c>
      <c r="B25" s="7">
        <v>2017</v>
      </c>
      <c r="C25" s="7">
        <v>2018</v>
      </c>
      <c r="D25" s="7">
        <v>2019</v>
      </c>
      <c r="E25" s="7">
        <v>2020</v>
      </c>
    </row>
    <row r="27" spans="1:11" x14ac:dyDescent="0.3">
      <c r="A27" t="s">
        <v>20</v>
      </c>
      <c r="C27" s="12">
        <f>C15</f>
        <v>485.38559999999995</v>
      </c>
      <c r="D27" s="12">
        <f>D15</f>
        <v>594.17309999999998</v>
      </c>
      <c r="E27" s="12">
        <f>E15</f>
        <v>757.77539999999999</v>
      </c>
      <c r="F27" s="12"/>
    </row>
    <row r="28" spans="1:11" x14ac:dyDescent="0.3">
      <c r="A28" t="s">
        <v>45</v>
      </c>
      <c r="C28" s="12">
        <f>C6</f>
        <v>86</v>
      </c>
      <c r="D28" s="12">
        <f t="shared" ref="D28:E28" si="12">D6</f>
        <v>98.15</v>
      </c>
      <c r="E28" s="12">
        <f t="shared" si="12"/>
        <v>105.25</v>
      </c>
      <c r="F28" s="12"/>
    </row>
    <row r="29" spans="1:11" x14ac:dyDescent="0.3">
      <c r="A29" t="s">
        <v>46</v>
      </c>
      <c r="C29" s="12">
        <f>C9*(1-0.25)</f>
        <v>39.614400000000003</v>
      </c>
      <c r="D29" s="12">
        <f t="shared" ref="D29:E29" si="13">D9*(1-0.25)</f>
        <v>39.614400000000003</v>
      </c>
      <c r="E29" s="12">
        <f t="shared" si="13"/>
        <v>47.537100000000002</v>
      </c>
      <c r="F29" s="12"/>
    </row>
    <row r="30" spans="1:11" x14ac:dyDescent="0.3">
      <c r="A30" t="s">
        <v>47</v>
      </c>
      <c r="C30" s="12">
        <f>I10-H10</f>
        <v>-3</v>
      </c>
      <c r="D30" s="12">
        <f t="shared" ref="D30:E30" si="14">J10-I10</f>
        <v>178</v>
      </c>
      <c r="E30" s="12">
        <f t="shared" si="14"/>
        <v>802.5</v>
      </c>
      <c r="F30" s="12"/>
    </row>
    <row r="31" spans="1:11" x14ac:dyDescent="0.3">
      <c r="A31" t="s">
        <v>48</v>
      </c>
      <c r="C31" s="12">
        <f>O13</f>
        <v>228.64</v>
      </c>
      <c r="D31" s="12">
        <f t="shared" ref="D31:E31" si="15">P13</f>
        <v>57.25</v>
      </c>
      <c r="E31" s="12">
        <f t="shared" si="15"/>
        <v>158.74</v>
      </c>
      <c r="F31" s="12"/>
    </row>
    <row r="32" spans="1:11" x14ac:dyDescent="0.3">
      <c r="C32" s="12"/>
      <c r="D32" s="12"/>
      <c r="E32" s="12"/>
      <c r="F32" s="12"/>
    </row>
    <row r="33" spans="1:6" x14ac:dyDescent="0.3">
      <c r="A33" s="7" t="s">
        <v>49</v>
      </c>
      <c r="C33" s="12">
        <f>C27+C28+C29-C30-C31</f>
        <v>385.36</v>
      </c>
      <c r="D33" s="12">
        <f t="shared" ref="D33:E33" si="16">D27+D28+D29-D30-D31</f>
        <v>496.6875</v>
      </c>
      <c r="E33" s="12">
        <f t="shared" si="16"/>
        <v>-50.677500000000009</v>
      </c>
      <c r="F33" s="1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tabSelected="1" zoomScale="71" zoomScaleNormal="90" workbookViewId="0">
      <selection activeCell="C30" sqref="C30"/>
    </sheetView>
  </sheetViews>
  <sheetFormatPr defaultRowHeight="14.4" x14ac:dyDescent="0.3"/>
  <cols>
    <col min="1" max="1" width="32" customWidth="1"/>
    <col min="15" max="15" width="13.44140625" customWidth="1"/>
  </cols>
  <sheetData>
    <row r="1" spans="1:16" x14ac:dyDescent="0.3">
      <c r="A1" s="7"/>
      <c r="G1" s="48" t="s">
        <v>60</v>
      </c>
      <c r="H1" s="49"/>
      <c r="I1" s="49"/>
      <c r="J1" s="49"/>
      <c r="K1" s="49"/>
      <c r="L1" s="49"/>
      <c r="M1" s="49"/>
      <c r="N1" s="49"/>
      <c r="O1" s="49"/>
      <c r="P1" s="40"/>
    </row>
    <row r="2" spans="1:16" x14ac:dyDescent="0.3">
      <c r="B2" s="7"/>
      <c r="C2" s="7"/>
      <c r="D2" s="7"/>
      <c r="G2" s="42"/>
      <c r="H2" s="42"/>
      <c r="I2" s="42"/>
      <c r="J2" s="42"/>
      <c r="K2" s="42"/>
      <c r="L2" s="42"/>
      <c r="M2" s="42">
        <v>2018</v>
      </c>
      <c r="N2" s="42">
        <v>2019</v>
      </c>
      <c r="O2" s="43">
        <v>2020</v>
      </c>
      <c r="P2" s="40"/>
    </row>
    <row r="3" spans="1:16" x14ac:dyDescent="0.3">
      <c r="A3" s="7"/>
      <c r="G3" s="54" t="s">
        <v>56</v>
      </c>
      <c r="H3" s="55"/>
      <c r="I3" s="55"/>
      <c r="J3" s="55"/>
      <c r="K3" s="55"/>
      <c r="L3" s="55"/>
      <c r="M3" s="28"/>
      <c r="N3" s="28"/>
      <c r="O3" s="40"/>
      <c r="P3" s="40"/>
    </row>
    <row r="4" spans="1:16" x14ac:dyDescent="0.3">
      <c r="B4" s="12"/>
      <c r="G4" s="48" t="s">
        <v>61</v>
      </c>
      <c r="H4" s="49"/>
      <c r="I4" s="49"/>
      <c r="J4" s="49"/>
      <c r="K4" s="49"/>
      <c r="L4" s="49"/>
      <c r="M4" s="29" t="s">
        <v>62</v>
      </c>
      <c r="N4" s="29" t="s">
        <v>63</v>
      </c>
      <c r="O4" s="30" t="s">
        <v>64</v>
      </c>
    </row>
    <row r="5" spans="1:16" x14ac:dyDescent="0.3">
      <c r="B5" s="12"/>
      <c r="G5" s="48" t="s">
        <v>65</v>
      </c>
      <c r="H5" s="49"/>
      <c r="I5" s="49"/>
      <c r="J5" s="49"/>
      <c r="K5" s="49"/>
      <c r="L5" s="49"/>
      <c r="M5" s="31">
        <v>45</v>
      </c>
      <c r="N5" s="31">
        <v>49.5</v>
      </c>
      <c r="O5" s="32">
        <v>54.45</v>
      </c>
    </row>
    <row r="6" spans="1:16" x14ac:dyDescent="0.3">
      <c r="B6" s="12"/>
      <c r="G6" s="48" t="s">
        <v>66</v>
      </c>
      <c r="H6" s="49"/>
      <c r="I6" s="49"/>
      <c r="J6" s="49"/>
      <c r="K6" s="49"/>
      <c r="L6" s="49"/>
      <c r="M6" s="31">
        <v>-100</v>
      </c>
      <c r="N6" s="31">
        <v>-10</v>
      </c>
      <c r="O6" s="32">
        <v>-11</v>
      </c>
    </row>
    <row r="7" spans="1:16" x14ac:dyDescent="0.3">
      <c r="B7" s="12"/>
      <c r="G7" s="48" t="s">
        <v>67</v>
      </c>
      <c r="H7" s="49"/>
      <c r="I7" s="49"/>
      <c r="J7" s="49"/>
      <c r="K7" s="49"/>
      <c r="L7" s="49"/>
      <c r="M7" s="31">
        <v>-6</v>
      </c>
      <c r="N7" s="31">
        <v>-6.6</v>
      </c>
      <c r="O7" s="32">
        <v>-7.26</v>
      </c>
    </row>
    <row r="8" spans="1:16" x14ac:dyDescent="0.3">
      <c r="B8" s="12"/>
      <c r="G8" s="48" t="s">
        <v>68</v>
      </c>
      <c r="H8" s="49"/>
      <c r="I8" s="49"/>
      <c r="J8" s="49"/>
      <c r="K8" s="49"/>
      <c r="L8" s="49"/>
      <c r="M8" s="33">
        <v>50</v>
      </c>
      <c r="N8" s="33">
        <v>5</v>
      </c>
      <c r="O8" s="32">
        <v>5.5</v>
      </c>
    </row>
    <row r="9" spans="1:16" x14ac:dyDescent="0.3">
      <c r="G9" s="48" t="s">
        <v>69</v>
      </c>
      <c r="H9" s="49"/>
      <c r="I9" s="49"/>
      <c r="J9" s="49"/>
      <c r="K9" s="49"/>
      <c r="L9" s="49"/>
      <c r="M9" s="34">
        <v>86.52</v>
      </c>
      <c r="N9" s="34">
        <v>145.18</v>
      </c>
      <c r="O9" s="35">
        <v>159.69</v>
      </c>
    </row>
    <row r="10" spans="1:16" x14ac:dyDescent="0.3">
      <c r="B10" s="13"/>
      <c r="C10" s="7"/>
      <c r="D10" s="7"/>
      <c r="G10" s="52" t="s">
        <v>70</v>
      </c>
      <c r="H10" s="53"/>
      <c r="I10" s="53"/>
      <c r="J10" s="53"/>
      <c r="K10" s="53"/>
      <c r="L10" s="53"/>
      <c r="M10" s="29"/>
      <c r="N10" s="29"/>
      <c r="O10" s="30"/>
    </row>
    <row r="11" spans="1:16" x14ac:dyDescent="0.3">
      <c r="G11" s="48" t="s">
        <v>71</v>
      </c>
      <c r="H11" s="49"/>
      <c r="I11" s="49"/>
      <c r="J11" s="49"/>
      <c r="K11" s="49"/>
      <c r="L11" s="49"/>
      <c r="M11" s="29">
        <v>0</v>
      </c>
      <c r="N11" s="29">
        <v>-50</v>
      </c>
      <c r="O11" s="30">
        <v>-55</v>
      </c>
    </row>
    <row r="12" spans="1:16" x14ac:dyDescent="0.3">
      <c r="A12" s="7"/>
      <c r="G12" s="52" t="s">
        <v>72</v>
      </c>
      <c r="H12" s="53"/>
      <c r="I12" s="53"/>
      <c r="J12" s="53"/>
      <c r="K12" s="53"/>
      <c r="L12" s="53"/>
      <c r="M12" s="29"/>
      <c r="N12" s="29"/>
      <c r="O12" s="30"/>
    </row>
    <row r="13" spans="1:16" x14ac:dyDescent="0.3">
      <c r="G13" s="48" t="s">
        <v>73</v>
      </c>
      <c r="H13" s="49"/>
      <c r="I13" s="49"/>
      <c r="J13" s="49"/>
      <c r="K13" s="49"/>
      <c r="L13" s="49"/>
      <c r="M13" s="29">
        <v>22.4</v>
      </c>
      <c r="N13" s="29">
        <v>24.64</v>
      </c>
      <c r="O13" s="30">
        <v>27.1</v>
      </c>
    </row>
    <row r="14" spans="1:16" x14ac:dyDescent="0.3">
      <c r="G14" s="48" t="s">
        <v>52</v>
      </c>
      <c r="H14" s="49"/>
      <c r="I14" s="49"/>
      <c r="J14" s="49"/>
      <c r="K14" s="49"/>
      <c r="L14" s="49"/>
      <c r="M14" s="29">
        <v>108.92</v>
      </c>
      <c r="N14" s="29">
        <v>119.82</v>
      </c>
      <c r="O14" s="30">
        <v>131.80000000000001</v>
      </c>
    </row>
    <row r="15" spans="1:16" x14ac:dyDescent="0.3">
      <c r="A15" s="7"/>
      <c r="G15" s="48" t="s">
        <v>74</v>
      </c>
      <c r="H15" s="49"/>
      <c r="I15" s="49"/>
      <c r="J15" s="49"/>
      <c r="K15" s="49"/>
      <c r="L15" s="49"/>
      <c r="M15" s="29">
        <v>0</v>
      </c>
      <c r="N15" s="29">
        <v>108.92</v>
      </c>
      <c r="O15" s="30">
        <v>228.74</v>
      </c>
    </row>
    <row r="16" spans="1:16" x14ac:dyDescent="0.3">
      <c r="G16" s="56" t="s">
        <v>53</v>
      </c>
      <c r="H16" s="57"/>
      <c r="I16" s="57"/>
      <c r="J16" s="57"/>
      <c r="K16" s="57"/>
      <c r="L16" s="57"/>
      <c r="M16" s="29" t="s">
        <v>75</v>
      </c>
      <c r="N16" s="29" t="s">
        <v>76</v>
      </c>
      <c r="O16" s="30" t="s">
        <v>77</v>
      </c>
    </row>
    <row r="17" spans="1:15" x14ac:dyDescent="0.3">
      <c r="G17" s="46" t="s">
        <v>78</v>
      </c>
      <c r="H17" s="47"/>
      <c r="I17" s="47"/>
      <c r="J17" s="47"/>
      <c r="K17" s="47"/>
      <c r="L17" s="47"/>
      <c r="M17" s="36"/>
      <c r="N17" s="36"/>
      <c r="O17" s="37"/>
    </row>
    <row r="18" spans="1:15" x14ac:dyDescent="0.3">
      <c r="G18" s="48" t="s">
        <v>79</v>
      </c>
      <c r="H18" s="49"/>
      <c r="I18" s="49"/>
      <c r="J18" s="49"/>
      <c r="K18" s="49"/>
      <c r="L18" s="49"/>
      <c r="M18" s="29" t="s">
        <v>80</v>
      </c>
      <c r="N18" s="29" t="s">
        <v>81</v>
      </c>
      <c r="O18" s="30" t="s">
        <v>82</v>
      </c>
    </row>
    <row r="19" spans="1:15" ht="15" thickBot="1" x14ac:dyDescent="0.35">
      <c r="A19" t="s">
        <v>54</v>
      </c>
      <c r="C19">
        <v>15.68</v>
      </c>
      <c r="D19">
        <v>17.25</v>
      </c>
      <c r="E19">
        <v>18.97</v>
      </c>
      <c r="G19" s="50" t="s">
        <v>83</v>
      </c>
      <c r="H19" s="51"/>
      <c r="I19" s="51"/>
      <c r="J19" s="51"/>
      <c r="K19" s="51"/>
      <c r="L19" s="51"/>
      <c r="M19" s="38" t="s">
        <v>84</v>
      </c>
      <c r="N19" s="38" t="s">
        <v>85</v>
      </c>
      <c r="O19" s="39" t="s">
        <v>86</v>
      </c>
    </row>
    <row r="20" spans="1:15" x14ac:dyDescent="0.3">
      <c r="A20" t="s">
        <v>55</v>
      </c>
      <c r="B20" s="12"/>
      <c r="C20" s="12">
        <v>41.8</v>
      </c>
      <c r="D20" s="12">
        <v>45.85</v>
      </c>
      <c r="E20">
        <v>50.57</v>
      </c>
    </row>
    <row r="21" spans="1:15" x14ac:dyDescent="0.3">
      <c r="B21" s="12"/>
      <c r="C21" s="12"/>
      <c r="D21" s="12"/>
    </row>
    <row r="22" spans="1:15" x14ac:dyDescent="0.3">
      <c r="B22" s="12"/>
      <c r="C22" s="12"/>
      <c r="D22" s="12"/>
    </row>
    <row r="23" spans="1:15" x14ac:dyDescent="0.3">
      <c r="B23" s="12"/>
      <c r="C23" s="12"/>
      <c r="D23" s="12"/>
    </row>
    <row r="24" spans="1:15" x14ac:dyDescent="0.3">
      <c r="A24" t="s">
        <v>5</v>
      </c>
      <c r="B24" s="20">
        <v>0.3</v>
      </c>
      <c r="H24" s="20"/>
    </row>
    <row r="25" spans="1:15" x14ac:dyDescent="0.3">
      <c r="B25" s="20"/>
      <c r="H25" s="20"/>
    </row>
    <row r="26" spans="1:15" x14ac:dyDescent="0.3">
      <c r="B26" s="7">
        <v>2018</v>
      </c>
      <c r="C26" s="7">
        <v>2019</v>
      </c>
      <c r="D26" s="7">
        <v>2020</v>
      </c>
    </row>
    <row r="27" spans="1:15" x14ac:dyDescent="0.3">
      <c r="A27" t="s">
        <v>56</v>
      </c>
      <c r="B27" s="12">
        <f>M9</f>
        <v>86.52</v>
      </c>
      <c r="C27" s="12">
        <f t="shared" ref="C27:D27" si="0">N9</f>
        <v>145.18</v>
      </c>
      <c r="D27" s="12">
        <f t="shared" si="0"/>
        <v>159.69</v>
      </c>
    </row>
    <row r="28" spans="1:15" x14ac:dyDescent="0.3">
      <c r="A28" t="s">
        <v>57</v>
      </c>
      <c r="B28" s="12">
        <f>C19*(1-$B$24)</f>
        <v>10.975999999999999</v>
      </c>
      <c r="C28" s="12">
        <f t="shared" ref="C28:D28" si="1">D19*(1-$B$24)</f>
        <v>12.074999999999999</v>
      </c>
      <c r="D28" s="12">
        <f t="shared" si="1"/>
        <v>13.278999999999998</v>
      </c>
    </row>
    <row r="29" spans="1:15" x14ac:dyDescent="0.3">
      <c r="A29" t="s">
        <v>58</v>
      </c>
      <c r="B29">
        <f>-1*M11</f>
        <v>0</v>
      </c>
      <c r="C29">
        <f t="shared" ref="C29:D29" si="2">-1*N11</f>
        <v>50</v>
      </c>
      <c r="D29">
        <f t="shared" si="2"/>
        <v>55</v>
      </c>
    </row>
    <row r="30" spans="1:15" x14ac:dyDescent="0.3">
      <c r="A30" s="44" t="s">
        <v>59</v>
      </c>
      <c r="B30" s="45">
        <f>B27+B28-B29</f>
        <v>97.495999999999995</v>
      </c>
      <c r="C30" s="45">
        <f t="shared" ref="C30:D30" si="3">C27+C28-C29</f>
        <v>107.255</v>
      </c>
      <c r="D30" s="45">
        <f t="shared" si="3"/>
        <v>117.96899999999999</v>
      </c>
    </row>
  </sheetData>
  <mergeCells count="18">
    <mergeCell ref="G1:O1"/>
    <mergeCell ref="G3:L3"/>
    <mergeCell ref="G14:L14"/>
    <mergeCell ref="G15:L15"/>
    <mergeCell ref="G16:L16"/>
    <mergeCell ref="G4:L4"/>
    <mergeCell ref="G5:L5"/>
    <mergeCell ref="G6:L6"/>
    <mergeCell ref="G7:L7"/>
    <mergeCell ref="G17:L17"/>
    <mergeCell ref="G18:L18"/>
    <mergeCell ref="G19:L19"/>
    <mergeCell ref="G8:L8"/>
    <mergeCell ref="G9:L9"/>
    <mergeCell ref="G10:L10"/>
    <mergeCell ref="G11:L11"/>
    <mergeCell ref="G12:L12"/>
    <mergeCell ref="G13:L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49D642397B540B44A42CA92ADF688" ma:contentTypeVersion="4" ma:contentTypeDescription="Create a new document." ma:contentTypeScope="" ma:versionID="de0b1e6499429bc84a09fea3df7c0a54">
  <xsd:schema xmlns:xsd="http://www.w3.org/2001/XMLSchema" xmlns:xs="http://www.w3.org/2001/XMLSchema" xmlns:p="http://schemas.microsoft.com/office/2006/metadata/properties" xmlns:ns2="064bcfb2-8d1e-48c8-8a23-3cc418c6f095" targetNamespace="http://schemas.microsoft.com/office/2006/metadata/properties" ma:root="true" ma:fieldsID="aaee14cbd86bfa9308f887f1bf9cc3a2" ns2:_="">
    <xsd:import namespace="064bcfb2-8d1e-48c8-8a23-3cc418c6f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bcfb2-8d1e-48c8-8a23-3cc418c6f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82892D-F17B-45AF-AF91-C4BAB51AEE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6C7627-F337-4FB4-A50F-29CAC7264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4bcfb2-8d1e-48c8-8a23-3cc418c6f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3CF2D3-4238-4037-BD9F-7A2D3D2111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FCFF and FCFE</vt:lpstr>
      <vt:lpstr>FCFF from Net Income</vt:lpstr>
      <vt:lpstr>FCFF from CFO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2023-04-30T09:00:37Z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0x01010078349D642397B540B44A42CA92ADF688</vt:lpwstr>
  </property>
</Properties>
</file>