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5A98DEBB-8796-44B7-8255-1192AB6B9621}" xr6:coauthVersionLast="36" xr6:coauthVersionMax="47" xr10:uidLastSave="{00000000-0000-0000-0000-000000000000}"/>
  <bookViews>
    <workbookView xWindow="0" yWindow="0" windowWidth="23040" windowHeight="8556" firstSheet="7" activeTab="8" xr2:uid="{00000000-000D-0000-FFFF-FFFF00000000}"/>
  </bookViews>
  <sheets>
    <sheet name="CFO" sheetId="18" r:id="rId1"/>
    <sheet name="PV of CFs" sheetId="15" r:id="rId2"/>
    <sheet name="FCFF Single holding period" sheetId="1" r:id="rId3"/>
    <sheet name="FCFF multiple holding period" sheetId="2" r:id="rId4"/>
    <sheet name="Gordon Growth FCFF " sheetId="3" r:id="rId5"/>
    <sheet name="Gordon Growth Debt" sheetId="8" r:id="rId6"/>
    <sheet name="2-stage DDM " sheetId="11" r:id="rId7"/>
    <sheet name="3-stage DDM with 3 distinct st" sheetId="12" r:id="rId8"/>
    <sheet name="H Model" sheetId="1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6" l="1"/>
  <c r="J8" i="16"/>
  <c r="J7" i="16"/>
  <c r="J6" i="16"/>
  <c r="H11" i="12"/>
  <c r="H10" i="12"/>
  <c r="H9" i="12"/>
  <c r="H8" i="12"/>
  <c r="H7" i="12"/>
  <c r="H6" i="12"/>
  <c r="H5" i="12"/>
  <c r="H4" i="12"/>
  <c r="H14" i="11"/>
  <c r="I8" i="11"/>
  <c r="H7" i="11"/>
  <c r="I5" i="11"/>
  <c r="I4" i="11"/>
  <c r="I16" i="11"/>
  <c r="H4" i="11"/>
  <c r="G29" i="3"/>
  <c r="N8" i="3"/>
  <c r="B33" i="18" l="1"/>
  <c r="B32" i="18"/>
  <c r="I5" i="12" l="1"/>
  <c r="I4" i="12"/>
  <c r="I14" i="11"/>
  <c r="I9" i="11"/>
  <c r="I10" i="11"/>
  <c r="I12" i="11"/>
  <c r="I13" i="11"/>
  <c r="H5" i="11"/>
  <c r="H6" i="11"/>
  <c r="I6" i="11" s="1"/>
  <c r="I7" i="11"/>
  <c r="H8" i="11"/>
  <c r="H9" i="11"/>
  <c r="H10" i="11"/>
  <c r="H11" i="11"/>
  <c r="I11" i="11" s="1"/>
  <c r="H12" i="11"/>
  <c r="H13" i="11"/>
  <c r="E9" i="8"/>
  <c r="C6" i="8"/>
  <c r="D9" i="8" s="1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9" i="3"/>
  <c r="C33" i="18"/>
  <c r="D33" i="18"/>
  <c r="C32" i="18"/>
  <c r="D32" i="18"/>
  <c r="C31" i="18"/>
  <c r="C34" i="18" s="1"/>
  <c r="D31" i="18"/>
  <c r="B31" i="18"/>
  <c r="F7" i="8"/>
  <c r="F9" i="8" s="1"/>
  <c r="E7" i="8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C33" i="3"/>
  <c r="N7" i="3"/>
  <c r="N6" i="3"/>
  <c r="C24" i="3"/>
  <c r="C23" i="3"/>
  <c r="C8" i="3"/>
  <c r="C16" i="3"/>
  <c r="G11" i="15"/>
  <c r="G8" i="15"/>
  <c r="I6" i="12" l="1"/>
  <c r="I9" i="12"/>
  <c r="I8" i="12"/>
  <c r="I7" i="12"/>
  <c r="B34" i="18"/>
  <c r="D34" i="18"/>
  <c r="E10" i="2"/>
  <c r="E14" i="2"/>
  <c r="E13" i="2"/>
  <c r="E12" i="2"/>
  <c r="E11" i="2"/>
  <c r="C16" i="1"/>
  <c r="F7" i="15"/>
  <c r="G10" i="15"/>
  <c r="G9" i="15"/>
  <c r="F8" i="15"/>
  <c r="I11" i="12" l="1"/>
  <c r="I10" i="12"/>
  <c r="I12" i="12" s="1"/>
  <c r="G12" i="15"/>
  <c r="H13" i="15" s="1"/>
  <c r="E15" i="2"/>
  <c r="F9" i="15"/>
  <c r="F10" i="15"/>
  <c r="F11" i="15"/>
  <c r="F12" i="15" l="1"/>
</calcChain>
</file>

<file path=xl/sharedStrings.xml><?xml version="1.0" encoding="utf-8"?>
<sst xmlns="http://schemas.openxmlformats.org/spreadsheetml/2006/main" count="210" uniqueCount="131">
  <si>
    <t xml:space="preserve">                                                                                                                                            Years Ending 31 March</t>
  </si>
  <si>
    <t xml:space="preserve">                                                                                                                                         2018                2019              2020</t>
  </si>
  <si>
    <t>Cash flow from operations</t>
  </si>
  <si>
    <t xml:space="preserve">Net income </t>
  </si>
  <si>
    <t xml:space="preserve">$97.52 </t>
  </si>
  <si>
    <t xml:space="preserve">$107.28 </t>
  </si>
  <si>
    <t>$118.00</t>
  </si>
  <si>
    <t xml:space="preserve">Plus: Depreciation </t>
  </si>
  <si>
    <t>Increase in accounts receivable</t>
  </si>
  <si>
    <t xml:space="preserve">Increase in inventory </t>
  </si>
  <si>
    <t xml:space="preserve">Increase in accounts payable </t>
  </si>
  <si>
    <t xml:space="preserve">Cash flow from operations </t>
  </si>
  <si>
    <t>Cash flow from investing activities</t>
  </si>
  <si>
    <t xml:space="preserve">Purchases of PP&amp;E </t>
  </si>
  <si>
    <t>Cash flow from financing activities</t>
  </si>
  <si>
    <t xml:space="preserve">Borrowing (repayment) </t>
  </si>
  <si>
    <t>Total cash flow</t>
  </si>
  <si>
    <t xml:space="preserve">Beginning cash </t>
  </si>
  <si>
    <t>Ending cash</t>
  </si>
  <si>
    <t xml:space="preserve"> $108.92 </t>
  </si>
  <si>
    <t>$228.74</t>
  </si>
  <si>
    <t xml:space="preserve"> $360.54</t>
  </si>
  <si>
    <t>Notes:</t>
  </si>
  <si>
    <t xml:space="preserve">Cash paid for interest </t>
  </si>
  <si>
    <t xml:space="preserve">($15.68) </t>
  </si>
  <si>
    <t xml:space="preserve">($17.25) </t>
  </si>
  <si>
    <t>($18.97)</t>
  </si>
  <si>
    <t xml:space="preserve">Cash paid for taxes </t>
  </si>
  <si>
    <t xml:space="preserve">($41.80) </t>
  </si>
  <si>
    <t xml:space="preserve">($45.98) </t>
  </si>
  <si>
    <t>($50.57)</t>
  </si>
  <si>
    <t>Cash paid for interest</t>
  </si>
  <si>
    <t>Cash paid for taxes</t>
  </si>
  <si>
    <t>Tax rate</t>
  </si>
  <si>
    <t>Interest expensesx(1-tax rate)</t>
  </si>
  <si>
    <t>Investment in fixed capital</t>
  </si>
  <si>
    <t>Free cash flow to the firm (FCFF)</t>
  </si>
  <si>
    <t>Present value of cash flows</t>
  </si>
  <si>
    <t xml:space="preserve">Cash flows </t>
  </si>
  <si>
    <t>CFs</t>
  </si>
  <si>
    <t>Number of years</t>
  </si>
  <si>
    <t>Discount rate (%)</t>
  </si>
  <si>
    <t>V0</t>
  </si>
  <si>
    <t>V1</t>
  </si>
  <si>
    <t>V0=CF1+V1</t>
  </si>
  <si>
    <t>Period</t>
  </si>
  <si>
    <t>PV</t>
  </si>
  <si>
    <t>Free Cah Flow Valuation</t>
  </si>
  <si>
    <t>the value of CFs today, at t=0</t>
  </si>
  <si>
    <t>FCFF1</t>
  </si>
  <si>
    <t>the expected FCFF for a year 1, available paid at the end of the year at t=1</t>
  </si>
  <si>
    <t>r</t>
  </si>
  <si>
    <t xml:space="preserve">required rate of return or discount rate or cost of capital  </t>
  </si>
  <si>
    <t>FCFF</t>
  </si>
  <si>
    <t>Cost of Capital</t>
  </si>
  <si>
    <t>Value</t>
  </si>
  <si>
    <t>Year</t>
  </si>
  <si>
    <t>Required rate of return</t>
  </si>
  <si>
    <t>Dividend (CF)</t>
  </si>
  <si>
    <t>FCFF in current year</t>
  </si>
  <si>
    <t>FCFF0</t>
  </si>
  <si>
    <t xml:space="preserve">Expected growth rate </t>
  </si>
  <si>
    <t>g</t>
  </si>
  <si>
    <t>FCFF in next year</t>
  </si>
  <si>
    <t xml:space="preserve">Growth rate </t>
  </si>
  <si>
    <t>Market Assumptions</t>
  </si>
  <si>
    <t>Risk Free Rate</t>
  </si>
  <si>
    <t>Market Risk Premium</t>
  </si>
  <si>
    <t xml:space="preserve">Expected Growth rate </t>
  </si>
  <si>
    <t>FCFF5</t>
  </si>
  <si>
    <t>Equity Assumptions</t>
  </si>
  <si>
    <t>Beta</t>
  </si>
  <si>
    <t>Gordon Growth Model</t>
  </si>
  <si>
    <t>Expected growth rate</t>
  </si>
  <si>
    <t xml:space="preserve">Gordon growth model: 
Sensitive analysis </t>
  </si>
  <si>
    <t>V0 (sensitive to r)</t>
  </si>
  <si>
    <t>V0 (sensitive to g)</t>
  </si>
  <si>
    <t>Constant growth rate</t>
  </si>
  <si>
    <t xml:space="preserve">Required rate of return </t>
  </si>
  <si>
    <t>Analysts</t>
  </si>
  <si>
    <t>CAPM</t>
  </si>
  <si>
    <t>DEBT</t>
  </si>
  <si>
    <t>Debt Assumptions</t>
  </si>
  <si>
    <t>Pre-Tax Cost of Debt</t>
  </si>
  <si>
    <t>Debt risk premium</t>
  </si>
  <si>
    <t xml:space="preserve">Two Stage Cash Flow Valuation </t>
  </si>
  <si>
    <t>Years</t>
  </si>
  <si>
    <t xml:space="preserve">Value </t>
  </si>
  <si>
    <t>Value (FCFFt or Vt)</t>
  </si>
  <si>
    <t>PV of FCFFt/1+r or Vt /(1+r)</t>
  </si>
  <si>
    <t>D0</t>
  </si>
  <si>
    <t>F1</t>
  </si>
  <si>
    <t>FCFF growth rate (gs) (super)</t>
  </si>
  <si>
    <t>gs</t>
  </si>
  <si>
    <t>F2</t>
  </si>
  <si>
    <t>FCFF growth rate (gl) (normal)</t>
  </si>
  <si>
    <t>gl</t>
  </si>
  <si>
    <t>F3</t>
  </si>
  <si>
    <t>F4</t>
  </si>
  <si>
    <t>F5</t>
  </si>
  <si>
    <t>F6</t>
  </si>
  <si>
    <t>F7</t>
  </si>
  <si>
    <t>F1-F10</t>
  </si>
  <si>
    <t>F8</t>
  </si>
  <si>
    <t>F9</t>
  </si>
  <si>
    <t>Vn or Terminal value</t>
  </si>
  <si>
    <t>F10</t>
  </si>
  <si>
    <t>V10</t>
  </si>
  <si>
    <t>Final Value</t>
  </si>
  <si>
    <t xml:space="preserve">sum of PV of Ft or Vt </t>
  </si>
  <si>
    <t xml:space="preserve">3-stage DDM </t>
  </si>
  <si>
    <t>Value (Dt or Vt)</t>
  </si>
  <si>
    <t>PV of Dt</t>
  </si>
  <si>
    <t>FCFF growth rate (gs) for first 2 years</t>
  </si>
  <si>
    <t>FCFF growth rate (gs) for next 5 years</t>
  </si>
  <si>
    <t>FCFF growth rate thereafter (gl)</t>
  </si>
  <si>
    <t xml:space="preserve">Required rate of return (r) </t>
  </si>
  <si>
    <t>V7</t>
  </si>
  <si>
    <t>H Model</t>
  </si>
  <si>
    <t>F0</t>
  </si>
  <si>
    <t xml:space="preserve">H model </t>
  </si>
  <si>
    <t>S1</t>
  </si>
  <si>
    <t>Calculate FCFF growth at normal rate</t>
  </si>
  <si>
    <t>S2</t>
  </si>
  <si>
    <t>Calculate FCFF growth with H value</t>
  </si>
  <si>
    <t>Half life</t>
  </si>
  <si>
    <t>H</t>
  </si>
  <si>
    <t>S3</t>
  </si>
  <si>
    <t>Calculate the present value of the S1+S2</t>
  </si>
  <si>
    <t>S4</t>
  </si>
  <si>
    <t>PV of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</si>
</sst>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0.00000%"/>
    <numFmt numFmtId="165" formatCode="0.0000"/>
    <numFmt numFmtId="166" formatCode="0.0000%"/>
    <numFmt numFmtId="167" formatCode="0.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Sitka Banner"/>
    </font>
    <font>
      <sz val="11"/>
      <color theme="1"/>
      <name val="Sitka Banner"/>
    </font>
    <font>
      <sz val="12"/>
      <color theme="1"/>
      <name val="Sitka Banner"/>
    </font>
    <font>
      <sz val="16"/>
      <color theme="1"/>
      <name val="Sitka Banner"/>
    </font>
    <font>
      <b/>
      <sz val="16"/>
      <color theme="1"/>
      <name val="Sitka Banner"/>
    </font>
    <font>
      <b/>
      <sz val="11"/>
      <color theme="1"/>
      <name val="Sitka Banner"/>
    </font>
    <font>
      <sz val="16"/>
      <color theme="1"/>
      <name val="Calibri"/>
      <family val="2"/>
      <scheme val="minor"/>
    </font>
    <font>
      <sz val="16"/>
      <name val="Sitka Banner"/>
    </font>
    <font>
      <sz val="16"/>
      <color rgb="FFFF0000"/>
      <name val="Sitka Banner"/>
    </font>
    <font>
      <b/>
      <sz val="16"/>
      <color rgb="FFFF00FF"/>
      <name val="Sitka Banner"/>
    </font>
    <font>
      <b/>
      <u/>
      <sz val="16"/>
      <color rgb="FFFF00FF"/>
      <name val="Sitka Banner"/>
    </font>
    <font>
      <sz val="16"/>
      <color rgb="FF00B050"/>
      <name val="Sitka Banner"/>
    </font>
    <font>
      <b/>
      <u/>
      <sz val="16"/>
      <color rgb="FFC00000"/>
      <name val="Sitka Banner"/>
    </font>
    <font>
      <sz val="16"/>
      <color theme="9" tint="-0.499984740745262"/>
      <name val="Sitka Banne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1" fillId="0" borderId="0"/>
  </cellStyleXfs>
  <cellXfs count="9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10" fontId="6" fillId="2" borderId="0" xfId="0" applyNumberFormat="1" applyFont="1" applyFill="1"/>
    <xf numFmtId="9" fontId="6" fillId="2" borderId="0" xfId="0" applyNumberFormat="1" applyFont="1" applyFill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6" fillId="2" borderId="0" xfId="0" applyNumberFormat="1" applyFont="1" applyFill="1"/>
    <xf numFmtId="2" fontId="7" fillId="2" borderId="0" xfId="0" applyNumberFormat="1" applyFont="1" applyFill="1"/>
    <xf numFmtId="1" fontId="6" fillId="2" borderId="0" xfId="0" applyNumberFormat="1" applyFont="1" applyFill="1"/>
    <xf numFmtId="2" fontId="0" fillId="2" borderId="0" xfId="0" applyNumberFormat="1" applyFill="1"/>
    <xf numFmtId="2" fontId="9" fillId="2" borderId="0" xfId="0" applyNumberFormat="1" applyFont="1" applyFill="1"/>
    <xf numFmtId="0" fontId="11" fillId="0" borderId="0" xfId="0" applyFont="1"/>
    <xf numFmtId="9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0" fontId="6" fillId="0" borderId="0" xfId="1" applyNumberFormat="1" applyFont="1"/>
    <xf numFmtId="0" fontId="15" fillId="0" borderId="0" xfId="0" applyFont="1"/>
    <xf numFmtId="2" fontId="8" fillId="4" borderId="0" xfId="0" applyNumberFormat="1" applyFont="1" applyFill="1"/>
    <xf numFmtId="2" fontId="4" fillId="4" borderId="0" xfId="0" applyNumberFormat="1" applyFont="1" applyFill="1"/>
    <xf numFmtId="8" fontId="6" fillId="0" borderId="0" xfId="0" applyNumberFormat="1" applyFont="1"/>
    <xf numFmtId="2" fontId="6" fillId="0" borderId="0" xfId="0" applyNumberFormat="1" applyFont="1"/>
    <xf numFmtId="2" fontId="6" fillId="5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6" fillId="8" borderId="0" xfId="0" applyFont="1" applyFill="1"/>
    <xf numFmtId="0" fontId="7" fillId="7" borderId="0" xfId="0" applyFont="1" applyFill="1"/>
    <xf numFmtId="2" fontId="7" fillId="0" borderId="0" xfId="0" applyNumberFormat="1" applyFont="1"/>
    <xf numFmtId="1" fontId="6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2" fontId="6" fillId="3" borderId="0" xfId="0" applyNumberFormat="1" applyFont="1" applyFill="1"/>
    <xf numFmtId="2" fontId="10" fillId="3" borderId="0" xfId="0" applyNumberFormat="1" applyFont="1" applyFill="1"/>
    <xf numFmtId="0" fontId="6" fillId="9" borderId="0" xfId="0" applyFont="1" applyFill="1"/>
    <xf numFmtId="0" fontId="6" fillId="10" borderId="0" xfId="0" applyFont="1" applyFill="1"/>
    <xf numFmtId="0" fontId="7" fillId="10" borderId="0" xfId="0" applyFont="1" applyFill="1" applyAlignment="1">
      <alignment wrapText="1"/>
    </xf>
    <xf numFmtId="0" fontId="6" fillId="11" borderId="0" xfId="0" applyFont="1" applyFill="1"/>
    <xf numFmtId="2" fontId="6" fillId="11" borderId="0" xfId="0" applyNumberFormat="1" applyFont="1" applyFill="1"/>
    <xf numFmtId="0" fontId="6" fillId="12" borderId="0" xfId="0" applyFont="1" applyFill="1"/>
    <xf numFmtId="10" fontId="6" fillId="7" borderId="0" xfId="0" applyNumberFormat="1" applyFont="1" applyFill="1"/>
    <xf numFmtId="165" fontId="6" fillId="3" borderId="0" xfId="0" applyNumberFormat="1" applyFont="1" applyFill="1"/>
    <xf numFmtId="165" fontId="6" fillId="13" borderId="0" xfId="0" applyNumberFormat="1" applyFont="1" applyFill="1"/>
    <xf numFmtId="165" fontId="6" fillId="10" borderId="0" xfId="0" applyNumberFormat="1" applyFont="1" applyFill="1"/>
    <xf numFmtId="0" fontId="6" fillId="14" borderId="0" xfId="0" applyFont="1" applyFill="1"/>
    <xf numFmtId="165" fontId="6" fillId="0" borderId="0" xfId="0" applyNumberFormat="1" applyFont="1"/>
    <xf numFmtId="2" fontId="6" fillId="4" borderId="0" xfId="0" applyNumberFormat="1" applyFont="1" applyFill="1"/>
    <xf numFmtId="2" fontId="7" fillId="4" borderId="0" xfId="0" applyNumberFormat="1" applyFont="1" applyFill="1"/>
    <xf numFmtId="0" fontId="0" fillId="2" borderId="0" xfId="0" applyFill="1"/>
    <xf numFmtId="166" fontId="6" fillId="0" borderId="0" xfId="1" applyNumberFormat="1" applyFont="1"/>
    <xf numFmtId="10" fontId="16" fillId="0" borderId="0" xfId="1" applyNumberFormat="1" applyFont="1"/>
    <xf numFmtId="0" fontId="16" fillId="0" borderId="0" xfId="0" applyFont="1"/>
    <xf numFmtId="10" fontId="16" fillId="0" borderId="0" xfId="0" applyNumberFormat="1" applyFont="1"/>
    <xf numFmtId="167" fontId="6" fillId="0" borderId="0" xfId="0" applyNumberFormat="1" applyFont="1"/>
    <xf numFmtId="0" fontId="0" fillId="0" borderId="3" xfId="0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7" fillId="0" borderId="0" xfId="0" applyFont="1"/>
    <xf numFmtId="9" fontId="0" fillId="0" borderId="0" xfId="0" applyNumberFormat="1"/>
    <xf numFmtId="166" fontId="6" fillId="10" borderId="0" xfId="1" applyNumberFormat="1" applyFont="1" applyFill="1"/>
    <xf numFmtId="166" fontId="6" fillId="9" borderId="0" xfId="1" applyNumberFormat="1" applyFont="1" applyFill="1"/>
    <xf numFmtId="0" fontId="0" fillId="0" borderId="10" xfId="0" applyBorder="1" applyAlignment="1"/>
    <xf numFmtId="0" fontId="0" fillId="0" borderId="11" xfId="0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18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2" xfId="0" applyFont="1" applyBorder="1" applyAlignment="1"/>
    <xf numFmtId="0" fontId="17" fillId="0" borderId="0" xfId="0" applyFont="1" applyAlignment="1"/>
    <xf numFmtId="0" fontId="0" fillId="0" borderId="3" xfId="0" applyBorder="1" applyAlignment="1"/>
    <xf numFmtId="0" fontId="0" fillId="0" borderId="6" xfId="0" applyBorder="1" applyAlignment="1"/>
    <xf numFmtId="0" fontId="17" fillId="0" borderId="7" xfId="0" applyFont="1" applyBorder="1" applyAlignment="1"/>
    <xf numFmtId="0" fontId="17" fillId="0" borderId="8" xfId="0" applyFont="1" applyBorder="1" applyAlignment="1"/>
  </cellXfs>
  <cellStyles count="4">
    <cellStyle name="Linked Cell" xfId="2" builtinId="24" hidden="1"/>
    <cellStyle name="Normal" xfId="0" builtinId="0"/>
    <cellStyle name="Percent" xfId="1" builtinId="5"/>
    <cellStyle name="Style 1" xfId="3" xr:uid="{00000000-0005-0000-0000-000003000000}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emf"/><Relationship Id="rId2" Type="http://schemas.openxmlformats.org/officeDocument/2006/relationships/customXml" Target="../ink/ink2.xml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250793</xdr:colOff>
      <xdr:row>1</xdr:row>
      <xdr:rowOff>46513</xdr:rowOff>
    </xdr:from>
    <xdr:ext cx="2197132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340465" y="296544"/>
              <a:ext cx="2197132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n-IN" sz="14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40465" y="296544"/>
              <a:ext cx="2197132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0" i="0">
                  <a:latin typeface="Cambria Math" panose="02040503050406030204" pitchFamily="18" charset="0"/>
                </a:rPr>
                <a:t>𝑉_0=〖𝐹𝐶𝐹𝐹〗_1/〖(1+𝑟)〗^1   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1466849</xdr:colOff>
      <xdr:row>1</xdr:row>
      <xdr:rowOff>0</xdr:rowOff>
    </xdr:from>
    <xdr:ext cx="3200401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919412" y="246063"/>
              <a:ext cx="3200401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n-IN" sz="1400" b="0" i="0">
                        <a:latin typeface="Cambria Math" panose="02040503050406030204" pitchFamily="18" charset="0"/>
                      </a:rPr>
                      <m:t>+…+</m:t>
                    </m:r>
                    <m:f>
                      <m:f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919412" y="246063"/>
              <a:ext cx="3200401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𝑉_0=</a:t>
              </a:r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en-IN" sz="1400" b="0" i="0">
                  <a:latin typeface="Cambria Math" panose="02040503050406030204" pitchFamily="18" charset="0"/>
                </a:rPr>
                <a:t>_1/〖(1+𝑟)〗^1 +…+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_𝑛/(1+𝑟)^𝑛 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138" name="Ink 137"/>
            <xdr:cNvPicPr/>
          </xdr:nvPicPr>
          <xdr:blipFill>
            <a:blip xmlns:r="http://schemas.openxmlformats.org/officeDocument/2006/relationships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751725</xdr:colOff>
      <xdr:row>15</xdr:row>
      <xdr:rowOff>142635</xdr:rowOff>
    </xdr:from>
    <xdr:to>
      <xdr:col>2</xdr:col>
      <xdr:colOff>756405</xdr:colOff>
      <xdr:row>15</xdr:row>
      <xdr:rowOff>143115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14:cNvPr>
            <xdr14:cNvContentPartPr/>
          </xdr14:nvContentPartPr>
          <xdr14:nvPr macro=""/>
          <xdr14:xfrm>
            <a:off x="3399675" y="5000385"/>
            <a:ext cx="4680" cy="480"/>
          </xdr14:xfrm>
        </xdr:contentPart>
      </mc:Choice>
      <mc:Fallback xmlns="">
        <xdr:pic>
          <xdr:nvPicPr>
            <xdr:cNvPr id="141" name="Ink 140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90675" y="4988385"/>
              <a:ext cx="183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381405</xdr:colOff>
      <xdr:row>17</xdr:row>
      <xdr:rowOff>25425</xdr:rowOff>
    </xdr:from>
    <xdr:to>
      <xdr:col>1</xdr:col>
      <xdr:colOff>382485</xdr:colOff>
      <xdr:row>17</xdr:row>
      <xdr:rowOff>29505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0000000-0008-0000-0300-00008E000000}"/>
                </a:ext>
              </a:extLst>
            </xdr14:cNvPr>
            <xdr14:cNvContentPartPr/>
          </xdr14:nvContentPartPr>
          <xdr14:nvPr macro=""/>
          <xdr14:xfrm>
            <a:off x="2419755" y="5207025"/>
            <a:ext cx="1080" cy="4080"/>
          </xdr14:xfrm>
        </xdr:contentPart>
      </mc:Choice>
      <mc:Fallback xmlns="">
        <xdr:pic>
          <xdr:nvPicPr>
            <xdr:cNvPr id="142" name="Ink 141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16515" y="5202945"/>
              <a:ext cx="8280" cy="11498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177799</xdr:colOff>
      <xdr:row>4</xdr:row>
      <xdr:rowOff>66674</xdr:rowOff>
    </xdr:from>
    <xdr:ext cx="1564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77799" y="136842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799" y="136842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(1+𝑔)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0</xdr:rowOff>
    </xdr:from>
    <xdr:ext cx="1835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0" y="3905250"/>
              <a:ext cx="1835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𝐹𝑜𝑟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𝑎𝑛𝑦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3905250"/>
              <a:ext cx="1835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𝐹𝑜𝑟 𝑎𝑛𝑦 𝑡,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𝑔)〗^𝑡   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2495549</xdr:colOff>
      <xdr:row>18</xdr:row>
      <xdr:rowOff>11112</xdr:rowOff>
    </xdr:from>
    <xdr:ext cx="216873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495549" y="5868987"/>
              <a:ext cx="2168735" cy="3520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or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95549" y="5868987"/>
              <a:ext cx="2168735" cy="3520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𝑉_0=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or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𝑉〗_0=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233362</xdr:colOff>
      <xdr:row>13</xdr:row>
      <xdr:rowOff>82549</xdr:rowOff>
    </xdr:from>
    <xdr:ext cx="1298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4616112" y="4313237"/>
              <a:ext cx="1298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616112" y="4313237"/>
              <a:ext cx="1298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𝐸(𝑅_𝑀−𝑅_𝐹)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611186</xdr:colOff>
      <xdr:row>6</xdr:row>
      <xdr:rowOff>1</xdr:rowOff>
    </xdr:from>
    <xdr:ext cx="1897063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4382749" y="1952626"/>
              <a:ext cx="1897063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4382749" y="1952626"/>
              <a:ext cx="1897063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𝑟=𝑅_𝑓+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IN" sz="1100" b="0" i="0">
                  <a:latin typeface="Cambria Math" panose="02040503050406030204" pitchFamily="18" charset="0"/>
                </a:rPr>
                <a:t>𝑖  [𝐸(𝑅_𝑀 )−𝑅_𝐹]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177799</xdr:colOff>
      <xdr:row>1</xdr:row>
      <xdr:rowOff>66674</xdr:rowOff>
    </xdr:from>
    <xdr:ext cx="1564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7799" y="136207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799" y="136207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(1+𝑔)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9</xdr:row>
      <xdr:rowOff>314325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582025" y="322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12</xdr:col>
      <xdr:colOff>0</xdr:colOff>
      <xdr:row>9</xdr:row>
      <xdr:rowOff>66674</xdr:rowOff>
    </xdr:from>
    <xdr:ext cx="1343025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2411074" y="2981324"/>
              <a:ext cx="13430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sSup>
                          <m:sSup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411074" y="2981324"/>
              <a:ext cx="13430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(1+〖𝑟)〗^𝑡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174593</xdr:colOff>
      <xdr:row>11</xdr:row>
      <xdr:rowOff>46513</xdr:rowOff>
    </xdr:from>
    <xdr:ext cx="1265346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928568" y="3608863"/>
              <a:ext cx="1265346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928568" y="3608863"/>
              <a:ext cx="1265346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(1+𝑔_𝑆 )^𝑛 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(1+𝑔〗_𝐿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295275</xdr:colOff>
      <xdr:row>4</xdr:row>
      <xdr:rowOff>66675</xdr:rowOff>
    </xdr:from>
    <xdr:ext cx="3048000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096750" y="1362075"/>
              <a:ext cx="30480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096750" y="1362075"/>
              <a:ext cx="30480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(1+〖𝑟)〗^𝑡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+𝑉_𝑛/((1+𝑟)^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)〗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13</xdr:row>
      <xdr:rowOff>104775</xdr:rowOff>
    </xdr:from>
    <xdr:ext cx="3238500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1972925" y="4314825"/>
              <a:ext cx="32385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972925" y="4314825"/>
              <a:ext cx="32385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(1+𝑔_𝑆 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(1+𝑔_𝑆 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(1+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(𝑟−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𝑔_𝐿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1</xdr:row>
      <xdr:rowOff>95250</xdr:rowOff>
    </xdr:from>
    <xdr:ext cx="2062872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0687050" y="419100"/>
              <a:ext cx="206287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</m:e>
                        </m:d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0687050" y="419100"/>
              <a:ext cx="206287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(1+𝑔_𝐿 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𝐻(𝑔_𝑆−𝑔_𝐿)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𝑟−𝑔_𝐿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4791A8AA-70AD-4D5B-A34F-FCD07190A3BC}" emma:medium="tactile" emma:mode="ink">
          <msink:context xmlns:msink="http://schemas.microsoft.com/ink/2010/main" type="writingRegion" rotatedBoundingBox="14337,11570 14556,11570 14556,11750 14337,11750"/>
        </emma:interpretation>
      </emma:emma>
    </inkml:annotationXML>
    <inkml:traceGroup>
      <inkml:annotationXML>
        <emma:emma xmlns:emma="http://www.w3.org/2003/04/emma" version="1.0">
          <emma:interpretation id="{D3766F6D-199B-44C7-8AFA-E8D66BC325DF}" emma:medium="tactile" emma:mode="ink">
            <msink:context xmlns:msink="http://schemas.microsoft.com/ink/2010/main" type="paragraph" rotatedBoundingBox="14337,11570 14556,11570 14556,11750 14337,1175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2307668-FA04-4FD5-8A86-63D040283055}" emma:medium="tactile" emma:mode="ink">
              <msink:context xmlns:msink="http://schemas.microsoft.com/ink/2010/main" type="line" rotatedBoundingBox="14337,11570 14556,11570 14556,11750 14337,11750"/>
            </emma:interpretation>
          </emma:emma>
        </inkml:annotationXML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1-02-01T04:45:01.07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3ADBED2-A7CE-4A0D-B908-D4160C7CBB01}" emma:medium="tactile" emma:mode="ink">
          <msink:context xmlns:msink="http://schemas.microsoft.com/ink/2010/main" type="inkDrawing" rotatedBoundingBox="9443,13874 9455,13874 9455,13889 9443,13889" shapeName="Other"/>
        </emma:interpretation>
      </emma:emma>
    </inkml:annotationXML>
    <inkml:trace contextRef="#ctx0" brushRef="#br0">-2063 194 32 0,'0'0'120'16,"0"0"-6"-16,0 0-23 0,0 0-4 0,0 0-17 15,0 0-10-15,0 0 0 0,0 0-6 0,-12 0-3 16,12 0-8-16,0 0-12 0,0 0-2 0,0 0 1 15,0 0-11-15,0 0-6 0,0 0 1 0,0 0-7 16,0 0 3-16,0 0-5 0,0 0-6 0,0 0 3 16,0 0 2-16,0 0-3 0,0 0-6 0,0 0 7 15,0 0 1-15,0 0-3 0,0 0-1 0,0 0 2 16,0 0-1-16,0 0 7 0,0 0-1 0,0 0 6 16,0 0-2-16,0 0 2 0,0 0 1 0,0 0 0 15,0 0 10-15,0 0 4 0,0 0-1 0,0 0 1 16,0 0 8-16,0 0-9 0,0 0 4 0,0 0 1 15,0 0-3-15,0 0-2 0,0 0 6 0,0 0-7 16,0 0 1-16,0 0 0 0,0 0 0 0,0 0 5 16,0 0-4-16,0 0-1 0,0 0 2 0,0 0 6 15,0 0 0-15,0 0-6 0,0 0 4 0,0 0 4 16,0 0 0-16,0 0-3 0,0 0 0 0,0 0 5 16,0 0 1-16,0 0 1 0,0 0-1 0,0 0 1 15,0 0 2-15,0 0 0 0,0 0-2 0,0 0 0 16,0 0-1-16,0 0 2 0,0 0 0 0,0 0-2 15,0 0 3-15,0 0-2 0,0 0-2 0,0 0-4 16,0 0 0-16,0 0-6 0,0 0 0 0,0 0-4 16,0 0-4-16,0 0 1 0,0 0-2 0,0 0-7 15,0 0-2-15,0 0-15 0,0 0-14 0,0 0-20 16,0 0-24-16,0 0-26 0,0 0-55 0,0 0-43 16,0 0-170-16,0 0-385 0,0 0 172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1-02-01T04:45:07.14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FD70FFC-CB94-47C5-8184-DEF01CC9E896}" emma:medium="tactile" emma:mode="ink">
          <msink:context xmlns:msink="http://schemas.microsoft.com/ink/2010/main" type="inkDrawing" rotatedBoundingBox="6706,14470 6708,14460 6723,14463 6721,14473" shapeName="Other"/>
        </emma:interpretation>
      </emma:emma>
    </inkml:annotationXML>
    <inkml:trace contextRef="#ctx0" brushRef="#br0">-4795 768 1 0,'0'0'66'0,"0"0"-7"0,0 0-1 0,0 0-6 0,0 0-7 16,0 0-5-16,0 0-1 0,0 0-9 0,0 0-2 16,0 0-1-16,0 0-2 0,0 0-6 0,0 0-5 15,0 0-4-15,0 0-12 0,0 0-6 16,0 0-8-16,0 0-6 0,0 0-10 0,0 0-10 15,0 0-24-15,-2 10-70 0,2-10 31 0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topLeftCell="A10" workbookViewId="0">
      <selection activeCell="B34" sqref="B34"/>
    </sheetView>
  </sheetViews>
  <sheetFormatPr defaultRowHeight="14.4" x14ac:dyDescent="0.3"/>
  <cols>
    <col min="1" max="1" width="28.21875" bestFit="1" customWidth="1"/>
    <col min="8" max="8" width="11.33203125" customWidth="1"/>
    <col min="9" max="9" width="13.44140625" customWidth="1"/>
  </cols>
  <sheetData>
    <row r="2" spans="1:9" x14ac:dyDescent="0.3">
      <c r="A2" s="80" t="s">
        <v>0</v>
      </c>
      <c r="B2" s="81"/>
      <c r="C2" s="81"/>
      <c r="D2" s="81"/>
      <c r="E2" s="81"/>
      <c r="F2" s="81"/>
      <c r="G2" s="81"/>
      <c r="H2" s="81"/>
      <c r="I2" s="88"/>
    </row>
    <row r="3" spans="1:9" x14ac:dyDescent="0.3">
      <c r="A3" s="82" t="s">
        <v>1</v>
      </c>
      <c r="B3" s="83"/>
      <c r="C3" s="83"/>
      <c r="D3" s="83"/>
      <c r="E3" s="83"/>
      <c r="F3" s="83"/>
      <c r="G3" s="83"/>
      <c r="H3" s="83"/>
      <c r="I3" s="89"/>
    </row>
    <row r="4" spans="1:9" x14ac:dyDescent="0.3">
      <c r="A4" s="90" t="s">
        <v>2</v>
      </c>
      <c r="B4" s="91"/>
      <c r="C4" s="91"/>
      <c r="D4" s="91"/>
      <c r="E4" s="91"/>
      <c r="F4" s="91"/>
      <c r="I4" s="63"/>
    </row>
    <row r="5" spans="1:9" x14ac:dyDescent="0.3">
      <c r="A5" s="80" t="s">
        <v>3</v>
      </c>
      <c r="B5" s="81"/>
      <c r="C5" s="81"/>
      <c r="D5" s="81"/>
      <c r="E5" s="81"/>
      <c r="F5" s="81"/>
      <c r="G5" s="64" t="s">
        <v>4</v>
      </c>
      <c r="H5" s="64" t="s">
        <v>5</v>
      </c>
      <c r="I5" s="65" t="s">
        <v>6</v>
      </c>
    </row>
    <row r="6" spans="1:9" x14ac:dyDescent="0.3">
      <c r="A6" s="80" t="s">
        <v>7</v>
      </c>
      <c r="B6" s="81"/>
      <c r="C6" s="81"/>
      <c r="D6" s="81"/>
      <c r="E6" s="81"/>
      <c r="F6" s="81"/>
      <c r="G6" s="66">
        <v>45</v>
      </c>
      <c r="H6" s="66">
        <v>49.5</v>
      </c>
      <c r="I6" s="67">
        <v>54.45</v>
      </c>
    </row>
    <row r="7" spans="1:9" x14ac:dyDescent="0.3">
      <c r="A7" s="80" t="s">
        <v>8</v>
      </c>
      <c r="B7" s="81"/>
      <c r="C7" s="81"/>
      <c r="D7" s="81"/>
      <c r="E7" s="81"/>
      <c r="F7" s="81"/>
      <c r="G7" s="66">
        <v>-100</v>
      </c>
      <c r="H7" s="66">
        <v>-10</v>
      </c>
      <c r="I7" s="67">
        <v>-11</v>
      </c>
    </row>
    <row r="8" spans="1:9" x14ac:dyDescent="0.3">
      <c r="A8" s="80" t="s">
        <v>9</v>
      </c>
      <c r="B8" s="81"/>
      <c r="C8" s="81"/>
      <c r="D8" s="81"/>
      <c r="E8" s="81"/>
      <c r="F8" s="81"/>
      <c r="G8" s="66">
        <v>-6</v>
      </c>
      <c r="H8" s="66">
        <v>-6.6</v>
      </c>
      <c r="I8" s="67">
        <v>-7.26</v>
      </c>
    </row>
    <row r="9" spans="1:9" x14ac:dyDescent="0.3">
      <c r="A9" s="80" t="s">
        <v>10</v>
      </c>
      <c r="B9" s="81"/>
      <c r="C9" s="81"/>
      <c r="D9" s="81"/>
      <c r="E9" s="81"/>
      <c r="F9" s="81"/>
      <c r="G9" s="66">
        <v>50</v>
      </c>
      <c r="H9" s="66">
        <v>5</v>
      </c>
      <c r="I9" s="67">
        <v>5.5</v>
      </c>
    </row>
    <row r="10" spans="1:9" x14ac:dyDescent="0.3">
      <c r="A10" s="80" t="s">
        <v>11</v>
      </c>
      <c r="B10" s="81"/>
      <c r="C10" s="81"/>
      <c r="D10" s="81"/>
      <c r="E10" s="81"/>
      <c r="F10" s="81"/>
      <c r="G10" s="68">
        <v>86.52</v>
      </c>
      <c r="H10" s="68">
        <v>145.18</v>
      </c>
      <c r="I10" s="69">
        <v>159.69</v>
      </c>
    </row>
    <row r="11" spans="1:9" x14ac:dyDescent="0.3">
      <c r="A11" s="86" t="s">
        <v>12</v>
      </c>
      <c r="B11" s="87"/>
      <c r="C11" s="87"/>
      <c r="D11" s="87"/>
      <c r="E11" s="87"/>
      <c r="F11" s="87"/>
      <c r="G11" s="64"/>
      <c r="H11" s="64"/>
      <c r="I11" s="65"/>
    </row>
    <row r="12" spans="1:9" x14ac:dyDescent="0.3">
      <c r="A12" s="80" t="s">
        <v>13</v>
      </c>
      <c r="B12" s="81"/>
      <c r="C12" s="81"/>
      <c r="D12" s="81"/>
      <c r="E12" s="81"/>
      <c r="F12" s="81"/>
      <c r="G12" s="64">
        <v>0</v>
      </c>
      <c r="H12" s="64">
        <v>-50</v>
      </c>
      <c r="I12" s="65">
        <v>-55</v>
      </c>
    </row>
    <row r="13" spans="1:9" x14ac:dyDescent="0.3">
      <c r="A13" s="86" t="s">
        <v>14</v>
      </c>
      <c r="B13" s="87"/>
      <c r="C13" s="87"/>
      <c r="D13" s="87"/>
      <c r="E13" s="87"/>
      <c r="F13" s="87"/>
      <c r="G13" s="64"/>
      <c r="H13" s="64"/>
      <c r="I13" s="65"/>
    </row>
    <row r="14" spans="1:9" x14ac:dyDescent="0.3">
      <c r="A14" s="80" t="s">
        <v>15</v>
      </c>
      <c r="B14" s="81"/>
      <c r="C14" s="81"/>
      <c r="D14" s="81"/>
      <c r="E14" s="81"/>
      <c r="F14" s="81"/>
      <c r="G14" s="64">
        <v>22.4</v>
      </c>
      <c r="H14" s="64">
        <v>24.64</v>
      </c>
      <c r="I14" s="65">
        <v>27.1</v>
      </c>
    </row>
    <row r="15" spans="1:9" x14ac:dyDescent="0.3">
      <c r="A15" s="80" t="s">
        <v>16</v>
      </c>
      <c r="B15" s="81"/>
      <c r="C15" s="81"/>
      <c r="D15" s="81"/>
      <c r="E15" s="81"/>
      <c r="F15" s="81"/>
      <c r="G15" s="64">
        <v>108.92</v>
      </c>
      <c r="H15" s="64">
        <v>119.82</v>
      </c>
      <c r="I15" s="65">
        <v>131.80000000000001</v>
      </c>
    </row>
    <row r="16" spans="1:9" x14ac:dyDescent="0.3">
      <c r="A16" s="80" t="s">
        <v>17</v>
      </c>
      <c r="B16" s="81"/>
      <c r="C16" s="81"/>
      <c r="D16" s="81"/>
      <c r="E16" s="81"/>
      <c r="F16" s="81"/>
      <c r="G16" s="64">
        <v>0</v>
      </c>
      <c r="H16" s="64">
        <v>108.92</v>
      </c>
      <c r="I16" s="65">
        <v>228.74</v>
      </c>
    </row>
    <row r="17" spans="1:9" x14ac:dyDescent="0.3">
      <c r="A17" s="82" t="s">
        <v>18</v>
      </c>
      <c r="B17" s="83"/>
      <c r="C17" s="83"/>
      <c r="D17" s="83"/>
      <c r="E17" s="83"/>
      <c r="F17" s="83"/>
      <c r="G17" s="64" t="s">
        <v>19</v>
      </c>
      <c r="H17" s="64" t="s">
        <v>20</v>
      </c>
      <c r="I17" s="65" t="s">
        <v>21</v>
      </c>
    </row>
    <row r="18" spans="1:9" x14ac:dyDescent="0.3">
      <c r="A18" s="84" t="s">
        <v>22</v>
      </c>
      <c r="B18" s="85"/>
      <c r="C18" s="85"/>
      <c r="D18" s="85"/>
      <c r="E18" s="85"/>
      <c r="F18" s="85"/>
      <c r="G18" s="70"/>
      <c r="H18" s="70"/>
      <c r="I18" s="71"/>
    </row>
    <row r="19" spans="1:9" x14ac:dyDescent="0.3">
      <c r="A19" s="80" t="s">
        <v>23</v>
      </c>
      <c r="B19" s="81"/>
      <c r="C19" s="81"/>
      <c r="D19" s="81"/>
      <c r="E19" s="81"/>
      <c r="F19" s="81"/>
      <c r="G19" s="64" t="s">
        <v>24</v>
      </c>
      <c r="H19" s="64" t="s">
        <v>25</v>
      </c>
      <c r="I19" s="65" t="s">
        <v>26</v>
      </c>
    </row>
    <row r="20" spans="1:9" ht="15" thickBot="1" x14ac:dyDescent="0.35">
      <c r="A20" s="78" t="s">
        <v>27</v>
      </c>
      <c r="B20" s="79"/>
      <c r="C20" s="79"/>
      <c r="D20" s="79"/>
      <c r="E20" s="79"/>
      <c r="F20" s="79"/>
      <c r="G20" s="72" t="s">
        <v>28</v>
      </c>
      <c r="H20" s="72" t="s">
        <v>29</v>
      </c>
      <c r="I20" s="73" t="s">
        <v>30</v>
      </c>
    </row>
    <row r="23" spans="1:9" x14ac:dyDescent="0.3">
      <c r="A23" t="s">
        <v>31</v>
      </c>
      <c r="C23">
        <v>15.68</v>
      </c>
      <c r="D23">
        <v>17.25</v>
      </c>
      <c r="E23">
        <v>18.97</v>
      </c>
    </row>
    <row r="24" spans="1:9" x14ac:dyDescent="0.3">
      <c r="A24" t="s">
        <v>32</v>
      </c>
      <c r="B24" s="39"/>
      <c r="C24" s="39">
        <v>41.8</v>
      </c>
      <c r="D24" s="39">
        <v>45.85</v>
      </c>
      <c r="E24">
        <v>50.57</v>
      </c>
    </row>
    <row r="25" spans="1:9" x14ac:dyDescent="0.3">
      <c r="B25" s="39"/>
      <c r="C25" s="39"/>
      <c r="D25" s="39"/>
    </row>
    <row r="26" spans="1:9" x14ac:dyDescent="0.3">
      <c r="B26" s="39"/>
      <c r="C26" s="39"/>
      <c r="D26" s="39"/>
    </row>
    <row r="27" spans="1:9" x14ac:dyDescent="0.3">
      <c r="B27" s="39"/>
      <c r="C27" s="39"/>
      <c r="D27" s="39"/>
    </row>
    <row r="28" spans="1:9" x14ac:dyDescent="0.3">
      <c r="A28" t="s">
        <v>33</v>
      </c>
      <c r="B28" s="75">
        <v>0.3</v>
      </c>
    </row>
    <row r="29" spans="1:9" x14ac:dyDescent="0.3">
      <c r="B29" s="75"/>
    </row>
    <row r="30" spans="1:9" x14ac:dyDescent="0.3">
      <c r="B30" s="74">
        <v>2018</v>
      </c>
      <c r="C30" s="74">
        <v>2019</v>
      </c>
      <c r="D30" s="74">
        <v>2020</v>
      </c>
    </row>
    <row r="31" spans="1:9" x14ac:dyDescent="0.3">
      <c r="A31" t="s">
        <v>2</v>
      </c>
      <c r="B31" s="39">
        <f>G10</f>
        <v>86.52</v>
      </c>
      <c r="C31" s="39">
        <f t="shared" ref="C31:D31" si="0">H10</f>
        <v>145.18</v>
      </c>
      <c r="D31" s="39">
        <f t="shared" si="0"/>
        <v>159.69</v>
      </c>
    </row>
    <row r="32" spans="1:9" x14ac:dyDescent="0.3">
      <c r="A32" t="s">
        <v>34</v>
      </c>
      <c r="B32" s="39">
        <f>C23*(1-$B$28)</f>
        <v>10.975999999999999</v>
      </c>
      <c r="C32" s="39">
        <f t="shared" ref="C32:D32" si="1">D23*(1-$B$28)</f>
        <v>12.074999999999999</v>
      </c>
      <c r="D32" s="39">
        <f t="shared" si="1"/>
        <v>13.278999999999998</v>
      </c>
    </row>
    <row r="33" spans="1:4" x14ac:dyDescent="0.3">
      <c r="A33" t="s">
        <v>35</v>
      </c>
      <c r="B33">
        <f>-1*G12</f>
        <v>0</v>
      </c>
      <c r="C33">
        <f t="shared" ref="C33:D33" si="2">-1*H12</f>
        <v>50</v>
      </c>
      <c r="D33">
        <f t="shared" si="2"/>
        <v>55</v>
      </c>
    </row>
    <row r="34" spans="1:4" x14ac:dyDescent="0.3">
      <c r="A34" s="74" t="s">
        <v>36</v>
      </c>
      <c r="B34" s="39">
        <f>B31+B32-B33</f>
        <v>97.495999999999995</v>
      </c>
      <c r="C34" s="39">
        <f t="shared" ref="C34:D34" si="3">C31+C32-C33</f>
        <v>107.255</v>
      </c>
      <c r="D34" s="39">
        <f t="shared" si="3"/>
        <v>117.96899999999999</v>
      </c>
    </row>
  </sheetData>
  <mergeCells count="19">
    <mergeCell ref="A13:F13"/>
    <mergeCell ref="A2:I2"/>
    <mergeCell ref="A3:I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20:F20"/>
    <mergeCell ref="A14:F14"/>
    <mergeCell ref="A15:F15"/>
    <mergeCell ref="A16:F16"/>
    <mergeCell ref="A17:F17"/>
    <mergeCell ref="A18:F18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90" zoomScaleNormal="90" workbookViewId="0">
      <selection activeCell="A19" sqref="A19"/>
    </sheetView>
  </sheetViews>
  <sheetFormatPr defaultColWidth="37" defaultRowHeight="26.4" x14ac:dyDescent="0.65"/>
  <cols>
    <col min="1" max="1" width="37" style="6"/>
    <col min="2" max="2" width="13.44140625" style="6" customWidth="1"/>
    <col min="3" max="3" width="12.44140625" style="6" customWidth="1"/>
    <col min="4" max="4" width="10.88671875" style="6" customWidth="1"/>
    <col min="5" max="5" width="16.5546875" style="6" customWidth="1"/>
    <col min="6" max="6" width="26.44140625" style="6" customWidth="1"/>
    <col min="7" max="16384" width="37" style="6"/>
  </cols>
  <sheetData>
    <row r="1" spans="1:10" x14ac:dyDescent="0.65">
      <c r="A1" s="20" t="s">
        <v>37</v>
      </c>
      <c r="B1" s="20"/>
      <c r="C1" s="20"/>
    </row>
    <row r="2" spans="1:10" x14ac:dyDescent="0.65">
      <c r="A2" s="6" t="s">
        <v>38</v>
      </c>
      <c r="D2" s="6" t="s">
        <v>39</v>
      </c>
    </row>
    <row r="3" spans="1:10" x14ac:dyDescent="0.65">
      <c r="A3" s="6" t="s">
        <v>40</v>
      </c>
      <c r="D3" s="6">
        <v>5</v>
      </c>
    </row>
    <row r="4" spans="1:10" x14ac:dyDescent="0.65">
      <c r="A4" s="6" t="s">
        <v>41</v>
      </c>
      <c r="D4" s="24">
        <v>0.11</v>
      </c>
      <c r="E4" s="20"/>
      <c r="F4" s="20" t="s">
        <v>42</v>
      </c>
      <c r="G4" s="20" t="s">
        <v>43</v>
      </c>
      <c r="H4" s="20" t="s">
        <v>44</v>
      </c>
      <c r="J4" s="24"/>
    </row>
    <row r="5" spans="1:10" x14ac:dyDescent="0.65">
      <c r="D5" s="24"/>
      <c r="E5" s="20"/>
      <c r="F5" s="20"/>
      <c r="G5" s="20"/>
      <c r="H5" s="20"/>
      <c r="J5" s="24"/>
    </row>
    <row r="6" spans="1:10" x14ac:dyDescent="0.65">
      <c r="D6" s="31" t="s">
        <v>45</v>
      </c>
      <c r="E6" s="31" t="s">
        <v>39</v>
      </c>
      <c r="F6" s="36" t="s">
        <v>46</v>
      </c>
      <c r="J6" s="24"/>
    </row>
    <row r="7" spans="1:10" x14ac:dyDescent="0.65">
      <c r="D7" s="32">
        <v>1</v>
      </c>
      <c r="E7" s="32">
        <v>100000</v>
      </c>
      <c r="F7" s="34">
        <f>E7/(1+$D$4)^D7</f>
        <v>90090.090090090089</v>
      </c>
      <c r="G7" s="33"/>
      <c r="J7" s="28"/>
    </row>
    <row r="8" spans="1:10" x14ac:dyDescent="0.65">
      <c r="D8" s="32">
        <v>2</v>
      </c>
      <c r="E8" s="32">
        <v>120000</v>
      </c>
      <c r="F8" s="34">
        <f>E8/(1+$D$4)^D8</f>
        <v>97394.69198928657</v>
      </c>
      <c r="G8" s="34">
        <f>E8/(1+$D$4)^D7</f>
        <v>108108.10810810809</v>
      </c>
      <c r="J8" s="28"/>
    </row>
    <row r="9" spans="1:10" x14ac:dyDescent="0.65">
      <c r="D9" s="32">
        <v>3</v>
      </c>
      <c r="E9" s="32">
        <v>150000</v>
      </c>
      <c r="F9" s="34">
        <f t="shared" ref="F9:F11" si="0">E9/(1+$D$4)^D9</f>
        <v>109678.70719514253</v>
      </c>
      <c r="G9" s="34">
        <f>E9/(1+$D$4)^D8</f>
        <v>121743.36498660821</v>
      </c>
      <c r="J9" s="28"/>
    </row>
    <row r="10" spans="1:10" x14ac:dyDescent="0.65">
      <c r="D10" s="32">
        <v>4</v>
      </c>
      <c r="E10" s="32">
        <v>205000</v>
      </c>
      <c r="F10" s="34">
        <f t="shared" si="0"/>
        <v>135039.84969972502</v>
      </c>
      <c r="G10" s="34">
        <f>E10/(1+$D$4)^D9</f>
        <v>149894.23316669479</v>
      </c>
      <c r="J10" s="28"/>
    </row>
    <row r="11" spans="1:10" x14ac:dyDescent="0.65">
      <c r="D11" s="32">
        <v>5</v>
      </c>
      <c r="E11" s="32">
        <v>260000</v>
      </c>
      <c r="F11" s="34">
        <f t="shared" si="0"/>
        <v>154297.34529522524</v>
      </c>
      <c r="G11" s="34">
        <f>E11/(1+$D$4)^D10</f>
        <v>171270.05327770003</v>
      </c>
      <c r="J11" s="28"/>
    </row>
    <row r="12" spans="1:10" x14ac:dyDescent="0.65">
      <c r="D12" s="6">
        <v>6</v>
      </c>
      <c r="F12" s="30">
        <f>SUM(F7:F11)</f>
        <v>586500.68426946946</v>
      </c>
      <c r="G12" s="30">
        <f>SUM(G8:G11)/(1+D4)^1</f>
        <v>496410.59417937929</v>
      </c>
      <c r="H12" s="35"/>
    </row>
    <row r="13" spans="1:10" x14ac:dyDescent="0.65">
      <c r="G13" s="29"/>
      <c r="H13" s="30">
        <f>F7+G12</f>
        <v>586500.68426946935</v>
      </c>
    </row>
    <row r="15" spans="1:10" x14ac:dyDescent="0.65">
      <c r="G15" s="29"/>
    </row>
    <row r="16" spans="1:10" x14ac:dyDescent="0.65">
      <c r="C16" s="2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Normal="100" workbookViewId="0">
      <selection activeCell="C16" sqref="C16"/>
    </sheetView>
  </sheetViews>
  <sheetFormatPr defaultRowHeight="14.4" x14ac:dyDescent="0.3"/>
  <cols>
    <col min="1" max="1" width="26" customWidth="1"/>
    <col min="2" max="2" width="11.33203125" customWidth="1"/>
  </cols>
  <sheetData>
    <row r="1" spans="1:11" ht="19.8" x14ac:dyDescent="0.5">
      <c r="A1" s="1" t="s">
        <v>47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9.8" x14ac:dyDescent="0.5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9.8" x14ac:dyDescent="0.5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9.8" x14ac:dyDescent="0.5">
      <c r="A4" s="2"/>
      <c r="B4" s="2"/>
      <c r="C4" s="2"/>
      <c r="D4" s="2"/>
      <c r="E4" s="2"/>
      <c r="F4" s="3" t="s">
        <v>42</v>
      </c>
      <c r="G4" s="3" t="s">
        <v>48</v>
      </c>
      <c r="H4" s="3"/>
      <c r="I4" s="3"/>
      <c r="J4" s="3"/>
      <c r="K4" s="3"/>
    </row>
    <row r="5" spans="1:11" ht="19.8" x14ac:dyDescent="0.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9.8" x14ac:dyDescent="0.5">
      <c r="A6" s="2"/>
      <c r="B6" s="2"/>
      <c r="C6" s="2"/>
      <c r="D6" s="3"/>
      <c r="E6" s="3"/>
      <c r="F6" s="3" t="s">
        <v>49</v>
      </c>
      <c r="G6" s="3" t="s">
        <v>50</v>
      </c>
      <c r="H6" s="3"/>
      <c r="I6" s="3"/>
      <c r="J6" s="3"/>
      <c r="K6" s="3"/>
    </row>
    <row r="7" spans="1:11" ht="19.8" x14ac:dyDescent="0.5">
      <c r="A7" s="2"/>
      <c r="B7" s="2"/>
      <c r="C7" s="2"/>
      <c r="D7" s="3"/>
      <c r="E7" s="3"/>
      <c r="F7" s="3" t="s">
        <v>51</v>
      </c>
      <c r="G7" s="3" t="s">
        <v>52</v>
      </c>
      <c r="H7" s="3"/>
      <c r="I7" s="3"/>
      <c r="J7" s="3"/>
      <c r="K7" s="3"/>
    </row>
    <row r="8" spans="1:11" ht="19.8" x14ac:dyDescent="0.5">
      <c r="A8" s="2"/>
      <c r="B8" s="2"/>
      <c r="C8" s="2"/>
      <c r="D8" s="3"/>
      <c r="E8" s="3"/>
      <c r="F8" s="2"/>
      <c r="G8" s="2"/>
      <c r="H8" s="2"/>
      <c r="I8" s="2"/>
      <c r="J8" s="2"/>
      <c r="K8" s="2"/>
    </row>
    <row r="9" spans="1:11" ht="19.8" x14ac:dyDescent="0.5">
      <c r="A9" s="3"/>
      <c r="B9" s="3"/>
      <c r="C9" s="3"/>
      <c r="D9" s="3"/>
      <c r="E9" s="3"/>
      <c r="F9" s="2"/>
      <c r="G9" s="2"/>
      <c r="H9" s="2"/>
      <c r="I9" s="2"/>
      <c r="J9" s="2"/>
      <c r="K9" s="2"/>
    </row>
    <row r="10" spans="1:11" ht="26.4" x14ac:dyDescent="0.65">
      <c r="A10" s="4" t="s">
        <v>53</v>
      </c>
      <c r="B10" s="5" t="s">
        <v>49</v>
      </c>
      <c r="C10" s="4">
        <v>850</v>
      </c>
      <c r="D10" s="4"/>
      <c r="E10" s="6"/>
      <c r="F10" s="6"/>
      <c r="G10" s="2"/>
      <c r="H10" s="2"/>
      <c r="I10" s="2"/>
      <c r="J10" s="2"/>
      <c r="K10" s="2"/>
    </row>
    <row r="11" spans="1:11" ht="26.4" x14ac:dyDescent="0.65">
      <c r="A11" s="4"/>
      <c r="B11" s="5"/>
      <c r="C11" s="4"/>
      <c r="D11" s="4"/>
      <c r="E11" s="6"/>
      <c r="F11" s="6"/>
      <c r="G11" s="2"/>
      <c r="H11" s="2"/>
      <c r="I11" s="2"/>
      <c r="J11" s="2"/>
      <c r="K11" s="2"/>
    </row>
    <row r="12" spans="1:11" ht="26.4" x14ac:dyDescent="0.65">
      <c r="A12" s="4"/>
      <c r="B12" s="5"/>
      <c r="C12" s="4"/>
      <c r="D12" s="4"/>
      <c r="E12" s="6"/>
      <c r="F12" s="6"/>
      <c r="G12" s="2"/>
      <c r="H12" s="2"/>
      <c r="I12" s="2"/>
      <c r="J12" s="2"/>
      <c r="K12" s="6"/>
    </row>
    <row r="13" spans="1:11" ht="26.4" x14ac:dyDescent="0.65">
      <c r="A13" s="4" t="s">
        <v>54</v>
      </c>
      <c r="B13" s="5" t="s">
        <v>51</v>
      </c>
      <c r="C13" s="7">
        <v>9.2499999999999999E-2</v>
      </c>
      <c r="D13" s="4"/>
      <c r="E13" s="6"/>
      <c r="F13" s="6"/>
      <c r="G13" s="2"/>
      <c r="H13" s="2"/>
      <c r="I13" s="2"/>
      <c r="J13" s="2"/>
      <c r="K13" s="2"/>
    </row>
    <row r="14" spans="1:11" ht="26.4" x14ac:dyDescent="0.65">
      <c r="A14" s="4"/>
      <c r="B14" s="4"/>
      <c r="C14" s="4"/>
      <c r="D14" s="8"/>
      <c r="E14" s="19"/>
      <c r="F14" s="6"/>
      <c r="G14" s="2"/>
      <c r="H14" s="2"/>
      <c r="I14" s="2"/>
      <c r="J14" s="2"/>
      <c r="K14" s="2"/>
    </row>
    <row r="15" spans="1:11" ht="26.4" x14ac:dyDescent="0.65">
      <c r="C15" s="4"/>
      <c r="D15" s="4"/>
      <c r="E15" s="6"/>
      <c r="F15" s="6"/>
      <c r="G15" s="2"/>
      <c r="H15" s="2"/>
      <c r="I15" s="2"/>
      <c r="J15" s="2"/>
      <c r="K15" s="2"/>
    </row>
    <row r="16" spans="1:11" ht="26.4" x14ac:dyDescent="0.65">
      <c r="A16" s="4" t="s">
        <v>55</v>
      </c>
      <c r="B16" s="4" t="s">
        <v>42</v>
      </c>
      <c r="C16" s="43">
        <f>C10/(1+C13)^1</f>
        <v>778.03203661327234</v>
      </c>
      <c r="D16" s="4"/>
      <c r="E16" s="6"/>
      <c r="F16" s="6"/>
      <c r="G16" s="2"/>
      <c r="H16" s="2"/>
      <c r="I16" s="2"/>
      <c r="J16" s="2"/>
      <c r="K16" s="2"/>
    </row>
    <row r="17" spans="1:11" ht="26.4" x14ac:dyDescent="0.65">
      <c r="A17" s="4"/>
      <c r="B17" s="4"/>
      <c r="C17" s="4"/>
      <c r="D17" s="4"/>
      <c r="E17" s="6"/>
      <c r="F17" s="6"/>
      <c r="G17" s="2"/>
      <c r="H17" s="2"/>
      <c r="I17" s="2"/>
      <c r="J17" s="2"/>
      <c r="K17" s="2"/>
    </row>
    <row r="18" spans="1:11" ht="26.4" x14ac:dyDescent="0.65">
      <c r="A18" s="2"/>
      <c r="B18" s="2"/>
      <c r="C18" s="2"/>
      <c r="D18" s="4"/>
      <c r="E18" s="6"/>
      <c r="F18" s="6"/>
      <c r="G18" s="2"/>
      <c r="H18" s="2"/>
      <c r="I18" s="2"/>
      <c r="J18" s="2"/>
      <c r="K18" s="2"/>
    </row>
    <row r="19" spans="1:11" ht="18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8" x14ac:dyDescent="0.45">
      <c r="D20" s="2"/>
      <c r="E20" s="2"/>
      <c r="F20" s="2"/>
      <c r="G20" s="2"/>
      <c r="H20" s="2"/>
      <c r="I20" s="2"/>
      <c r="J20" s="2"/>
      <c r="K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zoomScale="90" zoomScaleNormal="90" workbookViewId="0">
      <selection activeCell="E14" sqref="E14"/>
    </sheetView>
  </sheetViews>
  <sheetFormatPr defaultRowHeight="14.4" x14ac:dyDescent="0.3"/>
  <cols>
    <col min="1" max="1" width="10.5546875" bestFit="1" customWidth="1"/>
    <col min="2" max="2" width="11.109375" customWidth="1"/>
    <col min="3" max="3" width="26" customWidth="1"/>
    <col min="4" max="4" width="11.109375" bestFit="1" customWidth="1"/>
    <col min="5" max="5" width="13.109375" customWidth="1"/>
    <col min="6" max="6" width="12.6640625" customWidth="1"/>
    <col min="10" max="10" width="9.88671875" bestFit="1" customWidth="1"/>
    <col min="12" max="12" width="11.33203125" bestFit="1" customWidth="1"/>
  </cols>
  <sheetData>
    <row r="1" spans="1:14" ht="19.8" x14ac:dyDescent="0.5">
      <c r="A1" s="9" t="s">
        <v>47</v>
      </c>
      <c r="B1" s="9"/>
      <c r="C1" s="10"/>
      <c r="D1" s="10"/>
      <c r="E1" s="10"/>
      <c r="F1" s="10"/>
    </row>
    <row r="2" spans="1:14" ht="19.8" x14ac:dyDescent="0.5">
      <c r="A2" s="10"/>
      <c r="B2" s="9"/>
      <c r="C2" s="9"/>
      <c r="D2" s="10"/>
      <c r="E2" s="10"/>
      <c r="F2" s="10"/>
    </row>
    <row r="3" spans="1:14" ht="19.8" x14ac:dyDescent="0.5">
      <c r="A3" s="10"/>
      <c r="B3" s="9"/>
      <c r="C3" s="9"/>
      <c r="D3" s="10"/>
      <c r="E3" s="10"/>
      <c r="F3" s="10"/>
    </row>
    <row r="4" spans="1:14" ht="18" x14ac:dyDescent="0.45">
      <c r="A4" s="10"/>
      <c r="B4" s="10"/>
      <c r="C4" s="10"/>
      <c r="D4" s="10"/>
      <c r="E4" s="10"/>
      <c r="F4" s="10"/>
    </row>
    <row r="5" spans="1:14" ht="19.8" x14ac:dyDescent="0.5">
      <c r="A5" s="10"/>
      <c r="B5" s="11"/>
      <c r="C5" s="11"/>
      <c r="D5" s="11"/>
      <c r="E5" s="11"/>
      <c r="F5" s="10"/>
    </row>
    <row r="6" spans="1:14" ht="19.8" x14ac:dyDescent="0.5">
      <c r="A6" s="10"/>
      <c r="B6" s="10"/>
      <c r="C6" s="10"/>
      <c r="D6" s="10"/>
      <c r="E6" s="11"/>
      <c r="F6" s="10"/>
    </row>
    <row r="7" spans="1:14" ht="19.8" x14ac:dyDescent="0.5">
      <c r="A7" s="10"/>
      <c r="B7" s="10"/>
      <c r="C7" s="10"/>
      <c r="D7" s="10"/>
      <c r="E7" s="11"/>
      <c r="F7" s="10"/>
    </row>
    <row r="8" spans="1:14" ht="26.4" x14ac:dyDescent="0.65">
      <c r="A8" s="12"/>
      <c r="B8" s="12"/>
      <c r="C8" s="12"/>
      <c r="D8" s="13"/>
      <c r="E8" s="13"/>
      <c r="F8" s="26"/>
      <c r="I8" s="29"/>
      <c r="J8" s="29"/>
      <c r="K8" s="37"/>
      <c r="L8" s="29"/>
      <c r="M8" s="37"/>
      <c r="N8" s="10"/>
    </row>
    <row r="9" spans="1:14" ht="26.4" x14ac:dyDescent="0.65">
      <c r="A9" s="13" t="s">
        <v>56</v>
      </c>
      <c r="B9" s="12" t="s">
        <v>45</v>
      </c>
      <c r="C9" s="13" t="s">
        <v>53</v>
      </c>
      <c r="D9" s="12"/>
      <c r="E9" s="13" t="s">
        <v>46</v>
      </c>
      <c r="F9" s="27"/>
      <c r="I9" s="6"/>
      <c r="J9" s="38"/>
      <c r="K9" s="29"/>
      <c r="L9" s="37"/>
      <c r="M9" s="29"/>
      <c r="N9" s="10"/>
    </row>
    <row r="10" spans="1:14" ht="26.4" x14ac:dyDescent="0.65">
      <c r="A10" s="4">
        <v>2016</v>
      </c>
      <c r="B10" s="14">
        <v>1</v>
      </c>
      <c r="C10" s="12">
        <v>500</v>
      </c>
      <c r="D10" s="13"/>
      <c r="E10" s="12">
        <f>C10/(1+$D$17)^B10</f>
        <v>457.66590389016017</v>
      </c>
      <c r="F10" s="27"/>
      <c r="I10" s="6"/>
      <c r="J10" s="38"/>
      <c r="K10" s="29"/>
      <c r="L10" s="29"/>
      <c r="M10" s="29"/>
      <c r="N10" s="10"/>
    </row>
    <row r="11" spans="1:14" ht="26.4" x14ac:dyDescent="0.65">
      <c r="A11" s="4">
        <v>2017</v>
      </c>
      <c r="B11" s="14">
        <v>2</v>
      </c>
      <c r="C11" s="12">
        <v>550</v>
      </c>
      <c r="D11" s="12"/>
      <c r="E11" s="12">
        <f>C11/(1+$D$17)^B11</f>
        <v>460.80777508391412</v>
      </c>
      <c r="F11" s="27"/>
      <c r="I11" s="6"/>
      <c r="J11" s="38"/>
      <c r="K11" s="29"/>
      <c r="L11" s="29"/>
      <c r="M11" s="29"/>
      <c r="N11" s="10"/>
    </row>
    <row r="12" spans="1:14" ht="26.4" x14ac:dyDescent="0.65">
      <c r="A12" s="4">
        <v>2018</v>
      </c>
      <c r="B12" s="14">
        <v>3</v>
      </c>
      <c r="C12" s="12">
        <v>600</v>
      </c>
      <c r="D12" s="12"/>
      <c r="E12" s="12">
        <f>C12/(1+$D$17)^B12</f>
        <v>460.136742334676</v>
      </c>
      <c r="F12" s="27"/>
      <c r="I12" s="6"/>
      <c r="J12" s="38"/>
      <c r="K12" s="29"/>
      <c r="L12" s="29"/>
      <c r="M12" s="29"/>
      <c r="N12" s="10"/>
    </row>
    <row r="13" spans="1:14" ht="26.4" x14ac:dyDescent="0.65">
      <c r="A13" s="4">
        <v>2019</v>
      </c>
      <c r="B13" s="14">
        <v>4</v>
      </c>
      <c r="C13" s="12">
        <v>600</v>
      </c>
      <c r="D13" s="12"/>
      <c r="E13" s="12">
        <f>C13/(1+$D$17)^B13</f>
        <v>421.17779618734647</v>
      </c>
      <c r="F13" s="27"/>
      <c r="I13" s="6"/>
      <c r="J13" s="38"/>
      <c r="K13" s="29"/>
      <c r="L13" s="29"/>
      <c r="M13" s="29"/>
      <c r="N13" s="10"/>
    </row>
    <row r="14" spans="1:14" ht="26.4" x14ac:dyDescent="0.65">
      <c r="A14" s="4">
        <v>2020</v>
      </c>
      <c r="B14" s="14">
        <v>5</v>
      </c>
      <c r="C14" s="12">
        <v>580</v>
      </c>
      <c r="D14" s="12"/>
      <c r="E14" s="12">
        <f>C14/(1+$D$17)^B14</f>
        <v>372.66685246172534</v>
      </c>
      <c r="F14" s="27"/>
      <c r="I14" s="29"/>
      <c r="J14" s="29"/>
      <c r="K14" s="29"/>
      <c r="L14" s="29"/>
      <c r="M14" s="29"/>
      <c r="N14" s="10"/>
    </row>
    <row r="15" spans="1:14" ht="26.4" x14ac:dyDescent="0.65">
      <c r="A15" s="12" t="s">
        <v>42</v>
      </c>
      <c r="B15" s="14"/>
      <c r="C15" s="12"/>
      <c r="D15" s="12"/>
      <c r="E15" s="13">
        <f>SUM(E10:E14)</f>
        <v>2172.4550699578222</v>
      </c>
      <c r="F15" s="27"/>
      <c r="I15" s="29"/>
      <c r="J15" s="37"/>
      <c r="K15" s="39"/>
      <c r="L15" s="29"/>
      <c r="M15" s="40"/>
      <c r="N15" s="10"/>
    </row>
    <row r="16" spans="1:14" ht="26.4" x14ac:dyDescent="0.65">
      <c r="A16" s="12"/>
      <c r="B16" s="13"/>
      <c r="C16" s="15"/>
      <c r="D16" s="12"/>
      <c r="E16" s="16"/>
      <c r="F16" s="27"/>
      <c r="I16" s="29"/>
      <c r="J16" s="37"/>
      <c r="K16" s="39"/>
      <c r="L16" s="19"/>
      <c r="M16" s="29"/>
      <c r="N16" s="10"/>
    </row>
    <row r="17" spans="1:14" ht="26.4" x14ac:dyDescent="0.65">
      <c r="A17" s="12"/>
      <c r="B17" s="13" t="s">
        <v>57</v>
      </c>
      <c r="C17" s="15"/>
      <c r="D17" s="7">
        <v>9.2499999999999999E-2</v>
      </c>
      <c r="E17" s="12"/>
      <c r="F17" s="27"/>
      <c r="I17" s="29"/>
      <c r="J17" s="29"/>
      <c r="K17" s="29"/>
      <c r="L17" s="29"/>
      <c r="M17" s="29"/>
      <c r="N17" s="10"/>
    </row>
    <row r="18" spans="1:14" ht="26.4" x14ac:dyDescent="0.65">
      <c r="A18" s="12"/>
      <c r="B18" s="12"/>
      <c r="C18" s="12"/>
      <c r="D18" s="12"/>
      <c r="E18" s="12"/>
      <c r="F18" s="27"/>
      <c r="I18" s="29"/>
      <c r="J18" s="29"/>
      <c r="K18" s="40"/>
      <c r="L18" s="40"/>
      <c r="M18" s="37"/>
      <c r="N18" s="10"/>
    </row>
    <row r="19" spans="1:14" ht="26.4" x14ac:dyDescent="0.65">
      <c r="A19" s="12"/>
      <c r="B19" s="12"/>
      <c r="C19" s="12"/>
      <c r="D19" s="12"/>
      <c r="E19" s="13"/>
      <c r="F19" s="55"/>
      <c r="I19" s="29"/>
      <c r="J19" s="29"/>
      <c r="K19" s="29"/>
      <c r="L19" s="40"/>
      <c r="M19" s="37"/>
      <c r="N19" s="10"/>
    </row>
    <row r="20" spans="1:14" ht="26.4" x14ac:dyDescent="0.65">
      <c r="A20" s="12"/>
      <c r="B20" s="12"/>
      <c r="C20" s="57"/>
      <c r="D20" s="12"/>
      <c r="E20" s="13"/>
      <c r="F20" s="56"/>
      <c r="I20" s="29"/>
      <c r="J20" s="29"/>
      <c r="K20" s="29"/>
      <c r="L20" s="29"/>
      <c r="M20" s="29"/>
      <c r="N20" s="10"/>
    </row>
    <row r="21" spans="1:14" ht="26.4" x14ac:dyDescent="0.65">
      <c r="A21" s="12"/>
      <c r="B21" s="12"/>
      <c r="C21" s="12"/>
      <c r="D21" s="12"/>
      <c r="E21" s="12"/>
      <c r="F21" s="27"/>
    </row>
    <row r="22" spans="1:14" ht="18" x14ac:dyDescent="0.45">
      <c r="A22" s="10"/>
      <c r="B22" s="10"/>
      <c r="C22" s="10"/>
      <c r="D22" s="10"/>
      <c r="E22" s="10"/>
      <c r="F22" s="10"/>
    </row>
    <row r="23" spans="1:14" ht="18" x14ac:dyDescent="0.45">
      <c r="A23" s="10"/>
      <c r="B23" s="10"/>
      <c r="C23" s="10"/>
      <c r="D23" s="10"/>
      <c r="E23" s="10"/>
      <c r="F23" s="10"/>
    </row>
    <row r="24" spans="1:14" ht="18" x14ac:dyDescent="0.45">
      <c r="A24" s="10"/>
      <c r="B24" s="10"/>
      <c r="C24" s="10"/>
      <c r="D24" s="10"/>
      <c r="E24" s="10"/>
      <c r="F24" s="10"/>
    </row>
    <row r="25" spans="1:14" ht="18" x14ac:dyDescent="0.45">
      <c r="A25" s="10"/>
      <c r="B25" s="10"/>
      <c r="C25" s="10"/>
      <c r="D25" s="10"/>
      <c r="E25" s="10"/>
      <c r="F25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topLeftCell="A41" zoomScale="70" zoomScaleNormal="70" workbookViewId="0">
      <selection activeCell="G60" sqref="G60"/>
    </sheetView>
  </sheetViews>
  <sheetFormatPr defaultColWidth="9.109375" defaultRowHeight="26.4" x14ac:dyDescent="0.65"/>
  <cols>
    <col min="1" max="1" width="37.6640625" style="6" customWidth="1"/>
    <col min="2" max="2" width="9.109375" style="6"/>
    <col min="3" max="3" width="17.44140625" style="6" customWidth="1"/>
    <col min="4" max="6" width="9.109375" style="6"/>
    <col min="7" max="7" width="21.44140625" style="6" customWidth="1"/>
    <col min="8" max="8" width="9.109375" style="6"/>
    <col min="9" max="9" width="10.33203125" style="6" customWidth="1"/>
    <col min="10" max="10" width="14.33203125" style="6" customWidth="1"/>
    <col min="11" max="11" width="9.109375" style="6"/>
    <col min="12" max="12" width="30.44140625" style="6" customWidth="1"/>
    <col min="13" max="13" width="9.109375" style="6"/>
    <col min="14" max="14" width="17.88671875" style="6" customWidth="1"/>
    <col min="15" max="15" width="9.109375" style="6"/>
    <col min="16" max="16" width="28.88671875" style="6" customWidth="1"/>
    <col min="17" max="16384" width="9.109375" style="6"/>
  </cols>
  <sheetData>
    <row r="1" spans="1:18" x14ac:dyDescent="0.65">
      <c r="A1" s="9" t="s">
        <v>47</v>
      </c>
    </row>
    <row r="3" spans="1:18" x14ac:dyDescent="0.65">
      <c r="N3" s="20" t="s">
        <v>58</v>
      </c>
    </row>
    <row r="4" spans="1:18" x14ac:dyDescent="0.65">
      <c r="L4" s="6" t="s">
        <v>59</v>
      </c>
      <c r="M4" s="6" t="s">
        <v>60</v>
      </c>
      <c r="N4" s="6">
        <v>865</v>
      </c>
    </row>
    <row r="5" spans="1:18" x14ac:dyDescent="0.65">
      <c r="A5" s="44"/>
      <c r="L5" s="6" t="s">
        <v>61</v>
      </c>
      <c r="M5" s="6" t="s">
        <v>62</v>
      </c>
      <c r="N5" s="19">
        <v>0.04</v>
      </c>
    </row>
    <row r="6" spans="1:18" x14ac:dyDescent="0.65">
      <c r="A6" s="6" t="s">
        <v>59</v>
      </c>
      <c r="B6" s="6" t="s">
        <v>60</v>
      </c>
      <c r="C6" s="6">
        <v>865</v>
      </c>
      <c r="L6" s="6" t="s">
        <v>63</v>
      </c>
      <c r="M6" s="6" t="s">
        <v>49</v>
      </c>
      <c r="N6" s="6">
        <f>N4*(1+N5)</f>
        <v>899.6</v>
      </c>
    </row>
    <row r="7" spans="1:18" x14ac:dyDescent="0.65">
      <c r="A7" s="6" t="s">
        <v>64</v>
      </c>
      <c r="B7" s="6" t="s">
        <v>62</v>
      </c>
      <c r="C7" s="19">
        <v>0.04</v>
      </c>
      <c r="L7" s="6" t="s">
        <v>57</v>
      </c>
      <c r="M7" s="6" t="s">
        <v>51</v>
      </c>
      <c r="N7" s="76">
        <f>M13+M17*M14</f>
        <v>7.980000000000001E-2</v>
      </c>
      <c r="P7" s="24"/>
    </row>
    <row r="8" spans="1:18" x14ac:dyDescent="0.65">
      <c r="A8" s="6" t="s">
        <v>63</v>
      </c>
      <c r="B8" s="6" t="s">
        <v>49</v>
      </c>
      <c r="C8" s="41">
        <f>C6*(1+C7)</f>
        <v>899.6</v>
      </c>
      <c r="L8" s="6" t="s">
        <v>55</v>
      </c>
      <c r="M8" s="6" t="s">
        <v>42</v>
      </c>
      <c r="N8" s="33">
        <f>N6/(N7-N5)</f>
        <v>22603.015075376879</v>
      </c>
    </row>
    <row r="9" spans="1:18" x14ac:dyDescent="0.65">
      <c r="B9" s="17"/>
    </row>
    <row r="10" spans="1:18" x14ac:dyDescent="0.65">
      <c r="N10" s="19"/>
    </row>
    <row r="12" spans="1:18" x14ac:dyDescent="0.65">
      <c r="L12" s="21" t="s">
        <v>65</v>
      </c>
    </row>
    <row r="13" spans="1:18" x14ac:dyDescent="0.65">
      <c r="A13" s="44"/>
      <c r="L13" s="6" t="s">
        <v>66</v>
      </c>
      <c r="M13" s="19">
        <v>3.5000000000000003E-2</v>
      </c>
    </row>
    <row r="14" spans="1:18" x14ac:dyDescent="0.65">
      <c r="A14" s="6" t="s">
        <v>59</v>
      </c>
      <c r="B14" s="6" t="s">
        <v>60</v>
      </c>
      <c r="C14" s="6">
        <v>865</v>
      </c>
      <c r="L14" s="6" t="s">
        <v>67</v>
      </c>
      <c r="M14" s="19">
        <v>5.6000000000000001E-2</v>
      </c>
      <c r="R14" s="18"/>
    </row>
    <row r="15" spans="1:18" x14ac:dyDescent="0.65">
      <c r="A15" s="6" t="s">
        <v>68</v>
      </c>
      <c r="B15" s="6" t="s">
        <v>62</v>
      </c>
      <c r="C15" s="19">
        <v>0.04</v>
      </c>
    </row>
    <row r="16" spans="1:18" x14ac:dyDescent="0.65">
      <c r="A16" s="6" t="s">
        <v>63</v>
      </c>
      <c r="B16" s="6" t="s">
        <v>69</v>
      </c>
      <c r="C16" s="42">
        <f>C14*(1+C15)^5</f>
        <v>1052.4047605760004</v>
      </c>
      <c r="L16" s="22" t="s">
        <v>70</v>
      </c>
      <c r="R16" s="18"/>
    </row>
    <row r="17" spans="1:18" x14ac:dyDescent="0.65">
      <c r="C17" s="42"/>
      <c r="L17" s="6" t="s">
        <v>71</v>
      </c>
      <c r="M17" s="6">
        <v>0.8</v>
      </c>
      <c r="R17" s="18"/>
    </row>
    <row r="18" spans="1:18" x14ac:dyDescent="0.65">
      <c r="P18" s="58"/>
    </row>
    <row r="19" spans="1:18" x14ac:dyDescent="0.65">
      <c r="A19" s="44" t="s">
        <v>72</v>
      </c>
      <c r="R19" s="19"/>
    </row>
    <row r="20" spans="1:18" x14ac:dyDescent="0.65">
      <c r="A20" s="6" t="s">
        <v>59</v>
      </c>
      <c r="B20" s="6" t="s">
        <v>60</v>
      </c>
      <c r="C20" s="6">
        <v>865</v>
      </c>
    </row>
    <row r="21" spans="1:18" x14ac:dyDescent="0.65">
      <c r="A21" s="6" t="s">
        <v>73</v>
      </c>
      <c r="B21" s="6" t="s">
        <v>62</v>
      </c>
      <c r="C21" s="18">
        <v>0.03</v>
      </c>
      <c r="E21" s="18"/>
    </row>
    <row r="22" spans="1:18" x14ac:dyDescent="0.65">
      <c r="A22" s="6" t="s">
        <v>57</v>
      </c>
      <c r="B22" s="6" t="s">
        <v>51</v>
      </c>
      <c r="C22" s="18">
        <v>7.0000000000000007E-2</v>
      </c>
      <c r="E22" s="18"/>
    </row>
    <row r="23" spans="1:18" x14ac:dyDescent="0.65">
      <c r="A23" s="6" t="s">
        <v>63</v>
      </c>
      <c r="B23" s="6" t="s">
        <v>49</v>
      </c>
      <c r="C23" s="43">
        <f>C20*(1+C21)</f>
        <v>890.95</v>
      </c>
    </row>
    <row r="24" spans="1:18" x14ac:dyDescent="0.65">
      <c r="A24" s="6" t="s">
        <v>55</v>
      </c>
      <c r="C24" s="41">
        <f>C23/(C22-C21)</f>
        <v>22273.749999999996</v>
      </c>
    </row>
    <row r="27" spans="1:18" ht="52.8" x14ac:dyDescent="0.65">
      <c r="A27" s="45" t="s">
        <v>74</v>
      </c>
    </row>
    <row r="28" spans="1:18" x14ac:dyDescent="0.65">
      <c r="C28" s="20" t="s">
        <v>53</v>
      </c>
      <c r="F28" s="20" t="s">
        <v>51</v>
      </c>
      <c r="G28" s="46" t="s">
        <v>75</v>
      </c>
      <c r="I28" s="20" t="s">
        <v>62</v>
      </c>
      <c r="J28" s="48" t="s">
        <v>76</v>
      </c>
    </row>
    <row r="29" spans="1:18" x14ac:dyDescent="0.65">
      <c r="A29" s="6" t="s">
        <v>59</v>
      </c>
      <c r="B29" s="6" t="s">
        <v>60</v>
      </c>
      <c r="C29" s="6">
        <v>865</v>
      </c>
      <c r="F29" s="18">
        <v>0.09</v>
      </c>
      <c r="G29" s="47">
        <f>$C$29*(1+$C$30)/(F29-$C$30)</f>
        <v>13640.384615384613</v>
      </c>
      <c r="I29" s="24">
        <v>2.5000000000000001E-2</v>
      </c>
      <c r="J29" s="48">
        <f>$C$29*(1+I29)/($C$31-I29)</f>
        <v>13640.384615384613</v>
      </c>
    </row>
    <row r="30" spans="1:18" x14ac:dyDescent="0.65">
      <c r="A30" s="6" t="s">
        <v>77</v>
      </c>
      <c r="B30" s="6" t="s">
        <v>62</v>
      </c>
      <c r="C30" s="19">
        <v>2.5000000000000001E-2</v>
      </c>
      <c r="E30" s="19"/>
      <c r="F30" s="19">
        <v>9.8500000000000004E-2</v>
      </c>
      <c r="G30" s="47">
        <f t="shared" ref="G30:G51" si="0">$C$29*(1+$C$30)/(F30-$C$30)</f>
        <v>12062.925170068023</v>
      </c>
      <c r="H30" s="19"/>
      <c r="I30" s="19">
        <v>2.5999999999999999E-2</v>
      </c>
      <c r="J30" s="48">
        <f t="shared" ref="J30:J51" si="1">$C$29*(1+I30)/($C$31-I30)</f>
        <v>13867.03125</v>
      </c>
    </row>
    <row r="31" spans="1:18" x14ac:dyDescent="0.65">
      <c r="A31" s="6" t="s">
        <v>78</v>
      </c>
      <c r="B31" s="6" t="s">
        <v>51</v>
      </c>
      <c r="C31" s="18">
        <v>0.09</v>
      </c>
      <c r="E31" s="18"/>
      <c r="F31" s="19">
        <v>9.7500000000000003E-2</v>
      </c>
      <c r="G31" s="47">
        <f t="shared" si="0"/>
        <v>12229.310344827583</v>
      </c>
      <c r="H31" s="19"/>
      <c r="I31" s="19">
        <v>2.7E-2</v>
      </c>
      <c r="J31" s="48">
        <f t="shared" si="1"/>
        <v>14100.873015873014</v>
      </c>
    </row>
    <row r="32" spans="1:18" x14ac:dyDescent="0.65">
      <c r="F32" s="19">
        <v>9.6500000000000002E-2</v>
      </c>
      <c r="G32" s="47">
        <f t="shared" si="0"/>
        <v>12400.349650349648</v>
      </c>
      <c r="H32" s="19"/>
      <c r="I32" s="19">
        <v>2.8000000000000001E-2</v>
      </c>
      <c r="J32" s="48">
        <f t="shared" si="1"/>
        <v>14342.258064516129</v>
      </c>
    </row>
    <row r="33" spans="1:10" x14ac:dyDescent="0.65">
      <c r="A33" s="6" t="s">
        <v>55</v>
      </c>
      <c r="B33" s="6" t="s">
        <v>42</v>
      </c>
      <c r="C33" s="41">
        <f>C29*(1+C30)/(C31-C30)</f>
        <v>13640.384615384613</v>
      </c>
      <c r="F33" s="19">
        <v>9.5500000000000002E-2</v>
      </c>
      <c r="G33" s="47">
        <f t="shared" si="0"/>
        <v>12576.24113475177</v>
      </c>
      <c r="H33" s="19"/>
      <c r="I33" s="19">
        <v>2.9000000000000001E-2</v>
      </c>
      <c r="J33" s="48">
        <f t="shared" si="1"/>
        <v>14591.557377049179</v>
      </c>
    </row>
    <row r="34" spans="1:10" x14ac:dyDescent="0.65">
      <c r="F34" s="19">
        <v>9.4500000000000001E-2</v>
      </c>
      <c r="G34" s="47">
        <f t="shared" si="0"/>
        <v>12757.194244604314</v>
      </c>
      <c r="H34" s="19"/>
      <c r="I34" s="19">
        <v>0.03</v>
      </c>
      <c r="J34" s="48">
        <f t="shared" si="1"/>
        <v>14849.166666666668</v>
      </c>
    </row>
    <row r="35" spans="1:10" x14ac:dyDescent="0.65">
      <c r="F35" s="19">
        <v>9.35E-2</v>
      </c>
      <c r="G35" s="47">
        <f t="shared" si="0"/>
        <v>12943.430656934304</v>
      </c>
      <c r="H35" s="19"/>
      <c r="I35" s="19">
        <v>3.1E-2</v>
      </c>
      <c r="J35" s="48">
        <f t="shared" si="1"/>
        <v>15115.508474576271</v>
      </c>
    </row>
    <row r="36" spans="1:10" x14ac:dyDescent="0.65">
      <c r="C36" s="29"/>
      <c r="F36" s="19">
        <v>9.2499999999999999E-2</v>
      </c>
      <c r="G36" s="47">
        <f t="shared" si="0"/>
        <v>13135.185185185182</v>
      </c>
      <c r="H36" s="19"/>
      <c r="I36" s="19">
        <v>3.2000000000000001E-2</v>
      </c>
      <c r="J36" s="48">
        <f t="shared" si="1"/>
        <v>15391.034482758623</v>
      </c>
    </row>
    <row r="37" spans="1:10" x14ac:dyDescent="0.65">
      <c r="F37" s="19">
        <v>9.1499999999999998E-2</v>
      </c>
      <c r="G37" s="47">
        <f t="shared" si="0"/>
        <v>13332.70676691729</v>
      </c>
      <c r="H37" s="19"/>
      <c r="I37" s="19">
        <v>3.3000000000000002E-2</v>
      </c>
      <c r="J37" s="48">
        <f t="shared" si="1"/>
        <v>15676.228070175439</v>
      </c>
    </row>
    <row r="38" spans="1:10" x14ac:dyDescent="0.65">
      <c r="F38" s="19">
        <v>9.0499999999999997E-2</v>
      </c>
      <c r="G38" s="47">
        <f t="shared" si="0"/>
        <v>13536.259541984731</v>
      </c>
      <c r="H38" s="19"/>
      <c r="I38" s="19">
        <v>3.4000000000000002E-2</v>
      </c>
      <c r="J38" s="48">
        <f t="shared" si="1"/>
        <v>15971.607142857147</v>
      </c>
    </row>
    <row r="39" spans="1:10" x14ac:dyDescent="0.65">
      <c r="F39" s="19">
        <v>8.9499999999999996E-2</v>
      </c>
      <c r="G39" s="47">
        <f t="shared" si="0"/>
        <v>13746.12403100775</v>
      </c>
      <c r="H39" s="19"/>
      <c r="I39" s="19">
        <v>3.5000000000000003E-2</v>
      </c>
      <c r="J39" s="48">
        <f t="shared" si="1"/>
        <v>16277.727272727274</v>
      </c>
    </row>
    <row r="40" spans="1:10" x14ac:dyDescent="0.65">
      <c r="F40" s="19">
        <v>8.8499999999999995E-2</v>
      </c>
      <c r="G40" s="47">
        <f t="shared" si="0"/>
        <v>13962.598425196848</v>
      </c>
      <c r="H40" s="19"/>
      <c r="I40" s="19">
        <v>3.5999999999999997E-2</v>
      </c>
      <c r="J40" s="48">
        <f t="shared" si="1"/>
        <v>16595.185185185186</v>
      </c>
    </row>
    <row r="41" spans="1:10" x14ac:dyDescent="0.65">
      <c r="F41" s="19">
        <v>8.7499999999999994E-2</v>
      </c>
      <c r="G41" s="47">
        <f t="shared" si="0"/>
        <v>14186</v>
      </c>
      <c r="H41" s="19"/>
      <c r="I41" s="19">
        <v>3.6999999999999998E-2</v>
      </c>
      <c r="J41" s="48">
        <f t="shared" si="1"/>
        <v>16924.622641509432</v>
      </c>
    </row>
    <row r="42" spans="1:10" x14ac:dyDescent="0.65">
      <c r="F42" s="19">
        <v>8.6499999999999994E-2</v>
      </c>
      <c r="G42" s="47">
        <f t="shared" si="0"/>
        <v>14416.666666666666</v>
      </c>
      <c r="H42" s="19"/>
      <c r="I42" s="19">
        <v>3.7999999999999999E-2</v>
      </c>
      <c r="J42" s="48">
        <f t="shared" si="1"/>
        <v>17266.73076923077</v>
      </c>
    </row>
    <row r="43" spans="1:10" x14ac:dyDescent="0.65">
      <c r="F43" s="19">
        <v>8.5500000000000007E-2</v>
      </c>
      <c r="G43" s="47">
        <f t="shared" si="0"/>
        <v>14654.958677685947</v>
      </c>
      <c r="H43" s="19"/>
      <c r="I43" s="19">
        <v>3.9E-2</v>
      </c>
      <c r="J43" s="48">
        <f t="shared" si="1"/>
        <v>17622.254901960783</v>
      </c>
    </row>
    <row r="44" spans="1:10" x14ac:dyDescent="0.65">
      <c r="F44" s="19">
        <v>8.4500000000000006E-2</v>
      </c>
      <c r="G44" s="47">
        <f t="shared" si="0"/>
        <v>14901.260504201678</v>
      </c>
      <c r="H44" s="19"/>
      <c r="I44" s="19">
        <v>0.04</v>
      </c>
      <c r="J44" s="48">
        <f t="shared" si="1"/>
        <v>17992.000000000004</v>
      </c>
    </row>
    <row r="45" spans="1:10" x14ac:dyDescent="0.65">
      <c r="F45" s="19">
        <v>8.3500000000000005E-2</v>
      </c>
      <c r="G45" s="47">
        <f t="shared" si="0"/>
        <v>15155.982905982903</v>
      </c>
      <c r="H45" s="19"/>
      <c r="I45" s="19">
        <v>4.1000000000000002E-2</v>
      </c>
      <c r="J45" s="48">
        <f t="shared" si="1"/>
        <v>18376.836734693879</v>
      </c>
    </row>
    <row r="46" spans="1:10" x14ac:dyDescent="0.65">
      <c r="F46" s="19">
        <v>8.2500000000000004E-2</v>
      </c>
      <c r="G46" s="47">
        <f t="shared" si="0"/>
        <v>15419.565217391302</v>
      </c>
      <c r="H46" s="19"/>
      <c r="I46" s="19">
        <v>4.2000000000000003E-2</v>
      </c>
      <c r="J46" s="48">
        <f t="shared" si="1"/>
        <v>18777.708333333336</v>
      </c>
    </row>
    <row r="47" spans="1:10" x14ac:dyDescent="0.65">
      <c r="F47" s="19">
        <v>8.1500000000000003E-2</v>
      </c>
      <c r="G47" s="47">
        <f t="shared" si="0"/>
        <v>15692.477876106192</v>
      </c>
      <c r="H47" s="19"/>
      <c r="I47" s="19">
        <v>4.2999999999999997E-2</v>
      </c>
      <c r="J47" s="48">
        <f t="shared" si="1"/>
        <v>19195.638297872338</v>
      </c>
    </row>
    <row r="48" spans="1:10" x14ac:dyDescent="0.65">
      <c r="F48" s="19">
        <v>8.0500000000000002E-2</v>
      </c>
      <c r="G48" s="47">
        <f t="shared" si="0"/>
        <v>15975.225225225224</v>
      </c>
      <c r="H48" s="19"/>
      <c r="I48" s="19">
        <v>4.3999999999999997E-2</v>
      </c>
      <c r="J48" s="48">
        <f t="shared" si="1"/>
        <v>19631.739130434784</v>
      </c>
    </row>
    <row r="49" spans="6:10" x14ac:dyDescent="0.65">
      <c r="F49" s="19">
        <v>7.9500000000000001E-2</v>
      </c>
      <c r="G49" s="47">
        <f t="shared" si="0"/>
        <v>16268.34862385321</v>
      </c>
      <c r="H49" s="19"/>
      <c r="I49" s="19">
        <v>4.4999999999999998E-2</v>
      </c>
      <c r="J49" s="48">
        <f t="shared" si="1"/>
        <v>20087.222222222223</v>
      </c>
    </row>
    <row r="50" spans="6:10" x14ac:dyDescent="0.65">
      <c r="F50" s="19">
        <v>7.85E-2</v>
      </c>
      <c r="G50" s="47">
        <f t="shared" si="0"/>
        <v>16572.429906542053</v>
      </c>
      <c r="H50" s="19"/>
      <c r="I50" s="19">
        <v>4.5999999999999999E-2</v>
      </c>
      <c r="J50" s="48">
        <f t="shared" si="1"/>
        <v>20563.409090909096</v>
      </c>
    </row>
    <row r="51" spans="6:10" x14ac:dyDescent="0.65">
      <c r="F51" s="19">
        <v>7.7499999999999999E-2</v>
      </c>
      <c r="G51" s="47">
        <f t="shared" si="0"/>
        <v>16888.095238095237</v>
      </c>
      <c r="H51" s="19"/>
      <c r="I51" s="19">
        <v>4.7E-2</v>
      </c>
      <c r="J51" s="48">
        <f t="shared" si="1"/>
        <v>21061.744186046511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1"/>
  <sheetViews>
    <sheetView zoomScale="90" zoomScaleNormal="90" workbookViewId="0">
      <selection activeCell="E9" sqref="E9"/>
    </sheetView>
  </sheetViews>
  <sheetFormatPr defaultColWidth="9.109375" defaultRowHeight="26.4" x14ac:dyDescent="0.65"/>
  <cols>
    <col min="1" max="1" width="31.33203125" style="6" customWidth="1"/>
    <col min="2" max="3" width="9.109375" style="6"/>
    <col min="4" max="5" width="13" style="6" customWidth="1"/>
    <col min="6" max="6" width="12.44140625" style="6" customWidth="1"/>
    <col min="7" max="16384" width="9.109375" style="6"/>
  </cols>
  <sheetData>
    <row r="2" spans="1:6" x14ac:dyDescent="0.65">
      <c r="A2" s="44"/>
    </row>
    <row r="3" spans="1:6" x14ac:dyDescent="0.65">
      <c r="D3" s="6" t="s">
        <v>79</v>
      </c>
      <c r="E3" s="6" t="s">
        <v>80</v>
      </c>
      <c r="F3" s="6" t="s">
        <v>81</v>
      </c>
    </row>
    <row r="4" spans="1:6" x14ac:dyDescent="0.65">
      <c r="A4" s="6" t="s">
        <v>59</v>
      </c>
      <c r="B4" s="6" t="s">
        <v>60</v>
      </c>
      <c r="C4" s="6">
        <v>865</v>
      </c>
    </row>
    <row r="5" spans="1:6" x14ac:dyDescent="0.65">
      <c r="A5" s="6" t="s">
        <v>64</v>
      </c>
      <c r="B5" s="6" t="s">
        <v>62</v>
      </c>
      <c r="C5" s="18">
        <v>0.04</v>
      </c>
      <c r="D5" s="18"/>
    </row>
    <row r="6" spans="1:6" x14ac:dyDescent="0.65">
      <c r="A6" s="6" t="s">
        <v>63</v>
      </c>
      <c r="B6" s="6" t="s">
        <v>49</v>
      </c>
      <c r="C6" s="44">
        <f>C4*(1+C5)</f>
        <v>899.6</v>
      </c>
    </row>
    <row r="7" spans="1:6" x14ac:dyDescent="0.65">
      <c r="A7" s="6" t="s">
        <v>57</v>
      </c>
      <c r="B7" s="6" t="s">
        <v>51</v>
      </c>
      <c r="D7" s="19">
        <v>7.0199999999999999E-2</v>
      </c>
      <c r="E7" s="77">
        <f>B12+B16*B13</f>
        <v>8.8499999999999995E-2</v>
      </c>
      <c r="F7" s="49">
        <f>B20+B21</f>
        <v>8.1000000000000003E-2</v>
      </c>
    </row>
    <row r="8" spans="1:6" x14ac:dyDescent="0.65">
      <c r="B8" s="18"/>
    </row>
    <row r="9" spans="1:6" x14ac:dyDescent="0.65">
      <c r="A9" s="6" t="s">
        <v>55</v>
      </c>
      <c r="B9" s="6" t="s">
        <v>42</v>
      </c>
      <c r="D9" s="41">
        <f>$C$6/(D7-$C$5)</f>
        <v>29788.079470198678</v>
      </c>
      <c r="E9" s="41">
        <f t="shared" ref="E9:F9" si="0">$C$6/(E7-$C$5)</f>
        <v>18548.453608247426</v>
      </c>
      <c r="F9" s="41">
        <f t="shared" si="0"/>
        <v>21941.463414634145</v>
      </c>
    </row>
    <row r="11" spans="1:6" x14ac:dyDescent="0.65">
      <c r="A11" s="21" t="s">
        <v>65</v>
      </c>
    </row>
    <row r="12" spans="1:6" x14ac:dyDescent="0.65">
      <c r="A12" s="6" t="s">
        <v>66</v>
      </c>
      <c r="B12" s="59">
        <v>0.03</v>
      </c>
    </row>
    <row r="13" spans="1:6" x14ac:dyDescent="0.65">
      <c r="A13" s="6" t="s">
        <v>67</v>
      </c>
      <c r="B13" s="59">
        <v>4.4999999999999998E-2</v>
      </c>
    </row>
    <row r="14" spans="1:6" x14ac:dyDescent="0.65">
      <c r="B14" s="23"/>
    </row>
    <row r="15" spans="1:6" x14ac:dyDescent="0.65">
      <c r="A15" s="22" t="s">
        <v>70</v>
      </c>
      <c r="B15" s="23"/>
    </row>
    <row r="16" spans="1:6" x14ac:dyDescent="0.65">
      <c r="A16" s="6" t="s">
        <v>71</v>
      </c>
      <c r="B16" s="60">
        <v>1.3</v>
      </c>
    </row>
    <row r="17" spans="1:2" x14ac:dyDescent="0.65">
      <c r="B17" s="23"/>
    </row>
    <row r="18" spans="1:2" x14ac:dyDescent="0.65">
      <c r="B18" s="23"/>
    </row>
    <row r="19" spans="1:2" x14ac:dyDescent="0.65">
      <c r="A19" s="25" t="s">
        <v>82</v>
      </c>
      <c r="B19" s="23"/>
    </row>
    <row r="20" spans="1:2" x14ac:dyDescent="0.65">
      <c r="A20" s="6" t="s">
        <v>83</v>
      </c>
      <c r="B20" s="61">
        <v>5.6000000000000001E-2</v>
      </c>
    </row>
    <row r="21" spans="1:2" x14ac:dyDescent="0.65">
      <c r="A21" s="6" t="s">
        <v>84</v>
      </c>
      <c r="B21" s="61">
        <v>2.5000000000000001E-2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topLeftCell="F1" zoomScale="40" zoomScaleNormal="90" workbookViewId="0">
      <selection activeCell="I8" sqref="I8"/>
    </sheetView>
  </sheetViews>
  <sheetFormatPr defaultColWidth="9.109375" defaultRowHeight="26.4" x14ac:dyDescent="0.65"/>
  <cols>
    <col min="1" max="1" width="43.5546875" style="6" customWidth="1"/>
    <col min="2" max="2" width="9.109375" style="6"/>
    <col min="3" max="3" width="10" style="6" bestFit="1" customWidth="1"/>
    <col min="4" max="7" width="9.109375" style="6"/>
    <col min="8" max="8" width="25" style="6" customWidth="1"/>
    <col min="9" max="9" width="34.44140625" style="6" customWidth="1"/>
    <col min="10" max="11" width="9.109375" style="6"/>
    <col min="12" max="12" width="26.6640625" style="6" customWidth="1"/>
    <col min="13" max="16384" width="9.109375" style="6"/>
  </cols>
  <sheetData>
    <row r="1" spans="1:12" x14ac:dyDescent="0.65">
      <c r="A1" s="20" t="s">
        <v>85</v>
      </c>
      <c r="B1" s="20"/>
      <c r="C1" s="20"/>
      <c r="D1" s="20"/>
      <c r="E1" s="20"/>
    </row>
    <row r="3" spans="1:12" x14ac:dyDescent="0.65">
      <c r="F3" s="20" t="s">
        <v>86</v>
      </c>
      <c r="G3" s="20" t="s">
        <v>87</v>
      </c>
      <c r="H3" s="20" t="s">
        <v>88</v>
      </c>
      <c r="I3" s="20" t="s">
        <v>89</v>
      </c>
      <c r="L3" s="20"/>
    </row>
    <row r="4" spans="1:12" x14ac:dyDescent="0.65">
      <c r="A4" s="6" t="s">
        <v>59</v>
      </c>
      <c r="B4" s="6" t="s">
        <v>90</v>
      </c>
      <c r="C4" s="6">
        <v>865</v>
      </c>
      <c r="F4" s="6">
        <v>1</v>
      </c>
      <c r="G4" s="6" t="s">
        <v>91</v>
      </c>
      <c r="H4" s="52">
        <f>$C$4*(1+$C$5)^F4</f>
        <v>973.125</v>
      </c>
      <c r="I4" s="51">
        <f>H4/(1+$C$7)^F4</f>
        <v>900.62471078204533</v>
      </c>
    </row>
    <row r="5" spans="1:12" x14ac:dyDescent="0.65">
      <c r="A5" s="6" t="s">
        <v>92</v>
      </c>
      <c r="B5" s="6" t="s">
        <v>93</v>
      </c>
      <c r="C5" s="19">
        <v>0.125</v>
      </c>
      <c r="F5" s="6">
        <v>2</v>
      </c>
      <c r="G5" s="6" t="s">
        <v>94</v>
      </c>
      <c r="H5" s="52">
        <f t="shared" ref="H5:H13" si="0">$C$4*(1+$C$5)^F5</f>
        <v>1094.765625</v>
      </c>
      <c r="I5" s="51">
        <f>H5/(1+$C$7)^F5</f>
        <v>937.71661233669681</v>
      </c>
    </row>
    <row r="6" spans="1:12" x14ac:dyDescent="0.65">
      <c r="A6" s="6" t="s">
        <v>95</v>
      </c>
      <c r="B6" s="6" t="s">
        <v>96</v>
      </c>
      <c r="C6" s="18">
        <v>0.05</v>
      </c>
      <c r="F6" s="6">
        <v>3</v>
      </c>
      <c r="G6" s="6" t="s">
        <v>97</v>
      </c>
      <c r="H6" s="52">
        <f t="shared" si="0"/>
        <v>1231.611328125</v>
      </c>
      <c r="I6" s="51">
        <f t="shared" ref="I5:I14" si="1">H6/(1+$C$7)^F6</f>
        <v>976.33613038295607</v>
      </c>
    </row>
    <row r="7" spans="1:12" x14ac:dyDescent="0.65">
      <c r="A7" s="6" t="s">
        <v>57</v>
      </c>
      <c r="B7" s="6" t="s">
        <v>51</v>
      </c>
      <c r="C7" s="19">
        <v>8.0500000000000002E-2</v>
      </c>
      <c r="F7" s="6">
        <v>4</v>
      </c>
      <c r="G7" s="6" t="s">
        <v>98</v>
      </c>
      <c r="H7" s="52">
        <f>$C$4*(1+$C$5)^F7</f>
        <v>1385.562744140625</v>
      </c>
      <c r="I7" s="51">
        <f t="shared" si="1"/>
        <v>1016.546179251111</v>
      </c>
    </row>
    <row r="8" spans="1:12" x14ac:dyDescent="0.65">
      <c r="C8" s="18"/>
      <c r="F8" s="6">
        <v>5</v>
      </c>
      <c r="G8" s="6" t="s">
        <v>99</v>
      </c>
      <c r="H8" s="52">
        <f t="shared" si="0"/>
        <v>1558.7580871582031</v>
      </c>
      <c r="I8" s="51">
        <f>H8/(1+$C$7)^F8</f>
        <v>1058.4122643752892</v>
      </c>
    </row>
    <row r="9" spans="1:12" x14ac:dyDescent="0.65">
      <c r="B9" s="17"/>
      <c r="F9" s="6">
        <v>6</v>
      </c>
      <c r="G9" s="6" t="s">
        <v>100</v>
      </c>
      <c r="H9" s="52">
        <f t="shared" si="0"/>
        <v>1753.6028480529785</v>
      </c>
      <c r="I9" s="51">
        <f t="shared" si="1"/>
        <v>1102.0025890071265</v>
      </c>
    </row>
    <row r="10" spans="1:12" x14ac:dyDescent="0.65">
      <c r="F10" s="6">
        <v>7</v>
      </c>
      <c r="G10" s="6" t="s">
        <v>101</v>
      </c>
      <c r="H10" s="52">
        <f t="shared" si="0"/>
        <v>1972.8032040596008</v>
      </c>
      <c r="I10" s="51">
        <f t="shared" si="1"/>
        <v>1147.388165324403</v>
      </c>
      <c r="L10" s="6" t="s">
        <v>102</v>
      </c>
    </row>
    <row r="11" spans="1:12" x14ac:dyDescent="0.65">
      <c r="C11" s="19"/>
      <c r="F11" s="6">
        <v>8</v>
      </c>
      <c r="G11" s="6" t="s">
        <v>103</v>
      </c>
      <c r="H11" s="52">
        <f t="shared" si="0"/>
        <v>2219.4036045670509</v>
      </c>
      <c r="I11" s="51">
        <f t="shared" si="1"/>
        <v>1194.6429301156438</v>
      </c>
    </row>
    <row r="12" spans="1:12" x14ac:dyDescent="0.65">
      <c r="A12" s="19"/>
      <c r="C12" s="18"/>
      <c r="F12" s="6">
        <v>9</v>
      </c>
      <c r="G12" s="6" t="s">
        <v>104</v>
      </c>
      <c r="H12" s="52">
        <f t="shared" si="0"/>
        <v>2496.8290551379323</v>
      </c>
      <c r="I12" s="51">
        <f t="shared" si="1"/>
        <v>1243.8438652291525</v>
      </c>
      <c r="L12" s="6" t="s">
        <v>105</v>
      </c>
    </row>
    <row r="13" spans="1:12" x14ac:dyDescent="0.65">
      <c r="A13" s="18"/>
      <c r="C13" s="19"/>
      <c r="F13" s="6">
        <v>10</v>
      </c>
      <c r="G13" s="6" t="s">
        <v>106</v>
      </c>
      <c r="H13" s="52">
        <f t="shared" si="0"/>
        <v>2808.9326870301738</v>
      </c>
      <c r="I13" s="51">
        <f t="shared" si="1"/>
        <v>1295.07112298269</v>
      </c>
    </row>
    <row r="14" spans="1:12" x14ac:dyDescent="0.65">
      <c r="A14" s="19"/>
      <c r="F14" s="6">
        <v>10</v>
      </c>
      <c r="G14" s="6" t="s">
        <v>107</v>
      </c>
      <c r="H14" s="52">
        <f>H13*(1+C6)/(C7-C6)</f>
        <v>96700.961356776475</v>
      </c>
      <c r="I14" s="51">
        <f t="shared" si="1"/>
        <v>44584.415709240144</v>
      </c>
    </row>
    <row r="16" spans="1:12" x14ac:dyDescent="0.65">
      <c r="A16" s="19"/>
      <c r="D16" s="20" t="s">
        <v>108</v>
      </c>
      <c r="I16" s="50">
        <f>SUM(I4:I14)</f>
        <v>55457.000279027256</v>
      </c>
    </row>
    <row r="17" spans="1:12" x14ac:dyDescent="0.65">
      <c r="A17" s="18"/>
      <c r="H17" s="62"/>
    </row>
    <row r="18" spans="1:12" x14ac:dyDescent="0.65">
      <c r="A18" s="19"/>
      <c r="L18" s="6" t="s">
        <v>109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topLeftCell="B1" zoomScale="36" workbookViewId="0">
      <selection activeCell="H13" sqref="H13"/>
    </sheetView>
  </sheetViews>
  <sheetFormatPr defaultRowHeight="14.4" x14ac:dyDescent="0.3"/>
  <cols>
    <col min="1" max="1" width="52.44140625" customWidth="1"/>
    <col min="2" max="2" width="16" customWidth="1"/>
    <col min="3" max="3" width="13.88671875" customWidth="1"/>
    <col min="8" max="8" width="20.44140625" customWidth="1"/>
    <col min="9" max="9" width="15.5546875" customWidth="1"/>
  </cols>
  <sheetData>
    <row r="1" spans="1:9" ht="26.4" x14ac:dyDescent="0.65">
      <c r="A1" s="20" t="s">
        <v>110</v>
      </c>
      <c r="B1" s="20"/>
      <c r="C1" s="20"/>
      <c r="D1" s="20"/>
      <c r="E1" s="20"/>
      <c r="F1" s="6"/>
      <c r="G1" s="6"/>
      <c r="H1" s="6"/>
      <c r="I1" s="6"/>
    </row>
    <row r="2" spans="1:9" ht="26.4" x14ac:dyDescent="0.65">
      <c r="A2" s="6"/>
      <c r="B2" s="6"/>
      <c r="C2" s="6"/>
      <c r="D2" s="6"/>
      <c r="E2" s="6"/>
      <c r="F2" s="6"/>
      <c r="G2" s="6"/>
      <c r="H2" s="6"/>
      <c r="I2" s="6"/>
    </row>
    <row r="3" spans="1:9" ht="26.4" x14ac:dyDescent="0.65">
      <c r="A3" s="6"/>
      <c r="B3" s="6"/>
      <c r="C3" s="6"/>
      <c r="D3" s="6"/>
      <c r="E3" s="6"/>
      <c r="F3" s="20" t="s">
        <v>86</v>
      </c>
      <c r="G3" s="20" t="s">
        <v>87</v>
      </c>
      <c r="H3" s="20" t="s">
        <v>111</v>
      </c>
      <c r="I3" s="20" t="s">
        <v>112</v>
      </c>
    </row>
    <row r="4" spans="1:9" ht="26.4" x14ac:dyDescent="0.65">
      <c r="A4" s="6" t="s">
        <v>59</v>
      </c>
      <c r="B4" s="6">
        <v>865</v>
      </c>
      <c r="C4" s="6"/>
      <c r="D4" s="6"/>
      <c r="E4" s="6">
        <v>1</v>
      </c>
      <c r="F4" s="6">
        <v>1</v>
      </c>
      <c r="G4" s="6" t="s">
        <v>91</v>
      </c>
      <c r="H4" s="54">
        <f>$B$4*(1+$B$5)^E4</f>
        <v>960.15000000000009</v>
      </c>
      <c r="I4" s="54">
        <f>H4/(1+$B$8)^F4</f>
        <v>896.49859943977606</v>
      </c>
    </row>
    <row r="5" spans="1:9" ht="26.4" x14ac:dyDescent="0.65">
      <c r="A5" s="6" t="s">
        <v>113</v>
      </c>
      <c r="B5" s="18">
        <v>0.11</v>
      </c>
      <c r="C5" s="19"/>
      <c r="D5" s="6"/>
      <c r="E5" s="6">
        <v>2</v>
      </c>
      <c r="F5" s="6">
        <v>2</v>
      </c>
      <c r="G5" s="6" t="s">
        <v>91</v>
      </c>
      <c r="H5" s="54">
        <f>$B$4*(1+$B$5)^E5</f>
        <v>1065.7665000000002</v>
      </c>
      <c r="I5" s="54">
        <f t="shared" ref="I5:I11" si="0">H5/(1+$B$8)^F5</f>
        <v>929.1442067022889</v>
      </c>
    </row>
    <row r="6" spans="1:9" ht="26.4" x14ac:dyDescent="0.65">
      <c r="A6" s="6" t="s">
        <v>114</v>
      </c>
      <c r="B6" s="18">
        <v>0.09</v>
      </c>
      <c r="C6" s="19"/>
      <c r="D6" s="6"/>
      <c r="E6" s="6">
        <v>1</v>
      </c>
      <c r="F6" s="6">
        <v>3</v>
      </c>
      <c r="G6" s="6" t="s">
        <v>91</v>
      </c>
      <c r="H6" s="54">
        <f>$H$5*(1+$B$6)^E6</f>
        <v>1161.6854850000002</v>
      </c>
      <c r="I6" s="54">
        <f t="shared" si="0"/>
        <v>945.62762400139593</v>
      </c>
    </row>
    <row r="7" spans="1:9" ht="26.4" x14ac:dyDescent="0.65">
      <c r="A7" s="6" t="s">
        <v>115</v>
      </c>
      <c r="B7" s="18">
        <v>0.05</v>
      </c>
      <c r="C7" s="18"/>
      <c r="D7" s="6"/>
      <c r="E7" s="6">
        <v>2</v>
      </c>
      <c r="F7" s="6">
        <v>4</v>
      </c>
      <c r="G7" s="6" t="s">
        <v>91</v>
      </c>
      <c r="H7" s="54">
        <f>$H$5*(1+$B$6)^E7</f>
        <v>1266.2371786500005</v>
      </c>
      <c r="I7" s="54">
        <f t="shared" si="0"/>
        <v>962.40346420310152</v>
      </c>
    </row>
    <row r="8" spans="1:9" ht="26.4" x14ac:dyDescent="0.65">
      <c r="A8" s="6" t="s">
        <v>116</v>
      </c>
      <c r="B8" s="19">
        <v>7.0999999999999994E-2</v>
      </c>
      <c r="C8" s="19"/>
      <c r="D8" s="6"/>
      <c r="E8" s="6">
        <v>3</v>
      </c>
      <c r="F8" s="6">
        <v>5</v>
      </c>
      <c r="G8" s="6" t="s">
        <v>91</v>
      </c>
      <c r="H8" s="54">
        <f>$H$5*(1+$B$6)^E8</f>
        <v>1380.1985247285004</v>
      </c>
      <c r="I8" s="54">
        <f t="shared" si="0"/>
        <v>979.47691501529471</v>
      </c>
    </row>
    <row r="9" spans="1:9" ht="26.4" x14ac:dyDescent="0.65">
      <c r="A9" s="6"/>
      <c r="B9" s="6"/>
      <c r="C9" s="18"/>
      <c r="D9" s="6"/>
      <c r="E9" s="6">
        <v>4</v>
      </c>
      <c r="F9" s="6">
        <v>6</v>
      </c>
      <c r="G9" s="6" t="s">
        <v>91</v>
      </c>
      <c r="H9" s="54">
        <f>$H$5*(1+$B$6)^E9</f>
        <v>1504.4163919540656</v>
      </c>
      <c r="I9" s="54">
        <f t="shared" si="0"/>
        <v>996.85325617803107</v>
      </c>
    </row>
    <row r="10" spans="1:9" ht="26.4" x14ac:dyDescent="0.65">
      <c r="A10" s="6"/>
      <c r="B10" s="17"/>
      <c r="C10" s="6"/>
      <c r="D10" s="6"/>
      <c r="E10" s="6">
        <v>5</v>
      </c>
      <c r="F10" s="6">
        <v>7</v>
      </c>
      <c r="G10" s="6" t="s">
        <v>91</v>
      </c>
      <c r="H10" s="54">
        <f>$H$5*(1+$B$6)^E10</f>
        <v>1639.8138672299317</v>
      </c>
      <c r="I10" s="54">
        <f t="shared" si="0"/>
        <v>1014.5378610962223</v>
      </c>
    </row>
    <row r="11" spans="1:9" ht="26.4" x14ac:dyDescent="0.65">
      <c r="A11" s="6"/>
      <c r="B11" s="6"/>
      <c r="C11" s="6"/>
      <c r="D11" s="6"/>
      <c r="E11" s="6"/>
      <c r="F11" s="6">
        <v>7</v>
      </c>
      <c r="G11" s="6" t="s">
        <v>117</v>
      </c>
      <c r="H11" s="54">
        <f>H10*(1+B7)/(B8-B7)</f>
        <v>81990.693361496626</v>
      </c>
      <c r="I11" s="54">
        <f t="shared" si="0"/>
        <v>50726.893054811138</v>
      </c>
    </row>
    <row r="12" spans="1:9" ht="26.4" x14ac:dyDescent="0.65">
      <c r="A12" s="6"/>
      <c r="B12" s="6"/>
      <c r="C12" s="6"/>
      <c r="D12" s="20" t="s">
        <v>108</v>
      </c>
      <c r="E12" s="6"/>
      <c r="F12" s="6"/>
      <c r="G12" s="6"/>
      <c r="H12" s="6"/>
      <c r="I12" s="50">
        <f>SUM(I4:I11)</f>
        <v>57451.434981447252</v>
      </c>
    </row>
    <row r="13" spans="1:9" ht="26.4" x14ac:dyDescent="0.65">
      <c r="A13" s="6"/>
      <c r="B13" s="6"/>
      <c r="C13" s="6"/>
      <c r="D13" s="6"/>
      <c r="E13" s="6"/>
      <c r="F13" s="6"/>
      <c r="G13" s="6"/>
      <c r="H13" s="6"/>
      <c r="I13" s="6"/>
    </row>
    <row r="14" spans="1:9" ht="26.4" x14ac:dyDescent="0.65">
      <c r="A14" s="6"/>
      <c r="B14" s="6"/>
      <c r="C14" s="6"/>
      <c r="D14" s="6"/>
      <c r="E14" s="6"/>
      <c r="F14" s="6"/>
      <c r="H14" s="6"/>
      <c r="I14" s="6"/>
    </row>
    <row r="15" spans="1:9" ht="26.4" x14ac:dyDescent="0.65">
      <c r="A15" s="6"/>
      <c r="C15" s="6"/>
      <c r="E15" s="6"/>
      <c r="F15" s="6"/>
      <c r="G15" s="6"/>
      <c r="H15" s="6"/>
      <c r="I15" s="6"/>
    </row>
    <row r="16" spans="1:9" ht="26.4" x14ac:dyDescent="0.65">
      <c r="A16" s="6"/>
      <c r="C16" s="6"/>
      <c r="D16" s="6"/>
      <c r="E16" s="6"/>
      <c r="F16" s="6"/>
      <c r="G16" s="6"/>
      <c r="H16" s="6"/>
      <c r="I16" s="6"/>
    </row>
    <row r="17" spans="1:3" ht="26.4" x14ac:dyDescent="0.65">
      <c r="A17" s="6"/>
      <c r="C1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tabSelected="1" topLeftCell="I1" zoomScale="61" zoomScaleNormal="70" workbookViewId="0">
      <selection activeCell="J9" sqref="J9"/>
    </sheetView>
  </sheetViews>
  <sheetFormatPr defaultRowHeight="14.4" x14ac:dyDescent="0.3"/>
  <cols>
    <col min="1" max="1" width="50.88671875" customWidth="1"/>
    <col min="2" max="2" width="17.33203125" customWidth="1"/>
    <col min="3" max="3" width="10.77734375" bestFit="1" customWidth="1"/>
    <col min="9" max="9" width="25.5546875" customWidth="1"/>
    <col min="10" max="10" width="12.44140625" bestFit="1" customWidth="1"/>
  </cols>
  <sheetData>
    <row r="1" spans="1:10" ht="26.4" x14ac:dyDescent="0.65">
      <c r="A1" s="20" t="s">
        <v>118</v>
      </c>
      <c r="B1" s="20"/>
      <c r="C1" s="20"/>
    </row>
    <row r="2" spans="1:10" ht="26.4" x14ac:dyDescent="0.65">
      <c r="A2" s="6"/>
      <c r="B2" s="6"/>
      <c r="C2" s="6"/>
    </row>
    <row r="3" spans="1:10" ht="26.4" x14ac:dyDescent="0.65">
      <c r="A3" s="6"/>
      <c r="B3" s="6"/>
      <c r="C3" s="6"/>
    </row>
    <row r="4" spans="1:10" ht="26.4" x14ac:dyDescent="0.65">
      <c r="A4" s="6" t="s">
        <v>59</v>
      </c>
      <c r="B4" s="6" t="s">
        <v>119</v>
      </c>
      <c r="C4" s="6">
        <v>865</v>
      </c>
      <c r="F4" s="20" t="s">
        <v>120</v>
      </c>
      <c r="G4" s="6"/>
      <c r="H4" s="6"/>
      <c r="I4" s="6"/>
      <c r="J4" s="6"/>
    </row>
    <row r="5" spans="1:10" ht="26.4" x14ac:dyDescent="0.65">
      <c r="A5" s="6" t="s">
        <v>92</v>
      </c>
      <c r="B5" s="6" t="s">
        <v>93</v>
      </c>
      <c r="C5" s="19">
        <v>0.125</v>
      </c>
      <c r="F5" s="6"/>
      <c r="G5" s="6"/>
      <c r="H5" s="6"/>
      <c r="I5" s="6"/>
      <c r="J5" s="6"/>
    </row>
    <row r="6" spans="1:10" ht="26.4" x14ac:dyDescent="0.65">
      <c r="A6" s="6" t="s">
        <v>95</v>
      </c>
      <c r="B6" s="6" t="s">
        <v>96</v>
      </c>
      <c r="C6" s="18">
        <v>0.05</v>
      </c>
      <c r="E6" s="6" t="s">
        <v>121</v>
      </c>
      <c r="F6" s="6" t="s">
        <v>122</v>
      </c>
      <c r="G6" s="6"/>
      <c r="H6" s="6"/>
      <c r="I6" s="6"/>
      <c r="J6" s="6">
        <f>C4*(1+C6)</f>
        <v>908.25</v>
      </c>
    </row>
    <row r="7" spans="1:10" ht="26.4" x14ac:dyDescent="0.65">
      <c r="A7" s="6" t="s">
        <v>57</v>
      </c>
      <c r="B7" s="6" t="s">
        <v>51</v>
      </c>
      <c r="C7" s="19">
        <v>8.0500000000000002E-2</v>
      </c>
      <c r="E7" s="6" t="s">
        <v>123</v>
      </c>
      <c r="F7" s="6" t="s">
        <v>124</v>
      </c>
      <c r="G7" s="6"/>
      <c r="H7" s="6"/>
      <c r="I7" s="6"/>
      <c r="J7" s="6">
        <f>C4*C8*(C5-C6)</f>
        <v>324.375</v>
      </c>
    </row>
    <row r="8" spans="1:10" ht="26.4" x14ac:dyDescent="0.65">
      <c r="A8" s="6" t="s">
        <v>125</v>
      </c>
      <c r="B8" s="6" t="s">
        <v>126</v>
      </c>
      <c r="C8">
        <v>5</v>
      </c>
      <c r="E8" s="6" t="s">
        <v>127</v>
      </c>
      <c r="F8" s="6" t="s">
        <v>128</v>
      </c>
      <c r="G8" s="6"/>
      <c r="H8" s="6"/>
      <c r="I8" s="6"/>
      <c r="J8" s="6">
        <f>J6+J7</f>
        <v>1232.625</v>
      </c>
    </row>
    <row r="9" spans="1:10" ht="26.4" x14ac:dyDescent="0.65">
      <c r="E9" s="6" t="s">
        <v>129</v>
      </c>
      <c r="F9" s="6" t="s">
        <v>130</v>
      </c>
      <c r="G9" s="6"/>
      <c r="H9" s="6"/>
      <c r="I9" s="6"/>
      <c r="J9" s="53">
        <f>J8/(C7-C6)</f>
        <v>40413.934426229513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49D642397B540B44A42CA92ADF688" ma:contentTypeVersion="4" ma:contentTypeDescription="Create a new document." ma:contentTypeScope="" ma:versionID="de0b1e6499429bc84a09fea3df7c0a54">
  <xsd:schema xmlns:xsd="http://www.w3.org/2001/XMLSchema" xmlns:xs="http://www.w3.org/2001/XMLSchema" xmlns:p="http://schemas.microsoft.com/office/2006/metadata/properties" xmlns:ns2="064bcfb2-8d1e-48c8-8a23-3cc418c6f095" targetNamespace="http://schemas.microsoft.com/office/2006/metadata/properties" ma:root="true" ma:fieldsID="aaee14cbd86bfa9308f887f1bf9cc3a2" ns2:_="">
    <xsd:import namespace="064bcfb2-8d1e-48c8-8a23-3cc418c6f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bcfb2-8d1e-48c8-8a23-3cc418c6f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145312-5E6F-40A8-B985-40169E761A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50A5C-4994-4CCD-A81F-82D9ECA379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4bcfb2-8d1e-48c8-8a23-3cc418c6f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71CFDD-F93C-47A7-9CAB-90B6CE731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CFO</vt:lpstr>
      <vt:lpstr>PV of CFs</vt:lpstr>
      <vt:lpstr>FCFF Single holding period</vt:lpstr>
      <vt:lpstr>FCFF multiple holding period</vt:lpstr>
      <vt:lpstr>Gordon Growth FCFF </vt:lpstr>
      <vt:lpstr>Gordon Growth Debt</vt:lpstr>
      <vt:lpstr>2-stage DDM </vt:lpstr>
      <vt:lpstr>3-stage DDM with 3 distinct st</vt:lpstr>
      <vt:lpstr>H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2023-04-27T18:49:58Z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0x01010078349D642397B540B44A42CA92ADF688</vt:lpwstr>
  </property>
</Properties>
</file>