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6\Gouri\class_assignment\"/>
    </mc:Choice>
  </mc:AlternateContent>
  <xr:revisionPtr revIDLastSave="0" documentId="13_ncr:1_{09A7E9E7-AE85-4D5B-9C48-9286E1AE9848}" xr6:coauthVersionLast="36" xr6:coauthVersionMax="36" xr10:uidLastSave="{00000000-0000-0000-0000-000000000000}"/>
  <bookViews>
    <workbookView xWindow="0" yWindow="0" windowWidth="23040" windowHeight="8556" xr2:uid="{F3F4EBE1-5178-42BB-AA29-A5B95EE92D48}"/>
  </bookViews>
  <sheets>
    <sheet name="ECF_Q9" sheetId="1" r:id="rId1"/>
    <sheet name="FCFF_Q6" sheetId="2" r:id="rId2"/>
    <sheet name="CCF2_Q8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4" l="1"/>
  <c r="C36" i="4"/>
  <c r="D36" i="4"/>
  <c r="E36" i="4"/>
  <c r="B36" i="4"/>
  <c r="C35" i="4"/>
  <c r="D35" i="4"/>
  <c r="E35" i="4"/>
  <c r="B35" i="4"/>
  <c r="C34" i="4"/>
  <c r="D34" i="4"/>
  <c r="E34" i="4"/>
  <c r="B34" i="4"/>
  <c r="C32" i="4"/>
  <c r="D32" i="4"/>
  <c r="E32" i="4"/>
  <c r="B32" i="4"/>
  <c r="C30" i="4"/>
  <c r="D30" i="4"/>
  <c r="E30" i="4"/>
  <c r="B30" i="4"/>
  <c r="C27" i="4"/>
  <c r="D27" i="4"/>
  <c r="E27" i="4"/>
  <c r="B27" i="4"/>
  <c r="D26" i="4"/>
  <c r="E26" i="4"/>
  <c r="C26" i="4"/>
  <c r="B23" i="4"/>
  <c r="D22" i="4"/>
  <c r="D23" i="4" s="1"/>
  <c r="C22" i="4"/>
  <c r="C23" i="4" s="1"/>
  <c r="C21" i="4"/>
  <c r="D21" i="4"/>
  <c r="E21" i="4"/>
  <c r="B21" i="4"/>
  <c r="C14" i="4"/>
  <c r="D14" i="4"/>
  <c r="E14" i="4"/>
  <c r="B14" i="4"/>
  <c r="B26" i="4" l="1"/>
  <c r="E22" i="4"/>
  <c r="E23" i="4" s="1"/>
  <c r="B24" i="4" s="1"/>
  <c r="C15" i="4" l="1"/>
  <c r="D15" i="4"/>
  <c r="E15" i="4"/>
  <c r="B15" i="4"/>
  <c r="C12" i="4"/>
  <c r="D12" i="4"/>
  <c r="E12" i="4"/>
  <c r="B12" i="4"/>
  <c r="B6" i="4" l="1"/>
  <c r="C11" i="4"/>
  <c r="D11" i="4"/>
  <c r="E11" i="4"/>
  <c r="B11" i="4"/>
  <c r="C10" i="4"/>
  <c r="D10" i="4"/>
  <c r="E10" i="4"/>
  <c r="B10" i="4"/>
  <c r="C7" i="4"/>
  <c r="D7" i="4"/>
  <c r="E7" i="4"/>
  <c r="B7" i="4"/>
  <c r="C6" i="4"/>
  <c r="D6" i="4"/>
  <c r="E6" i="4"/>
  <c r="C31" i="3" l="1"/>
  <c r="D31" i="3"/>
  <c r="C30" i="3"/>
  <c r="D30" i="3"/>
  <c r="B31" i="3"/>
  <c r="B30" i="3"/>
  <c r="C28" i="3"/>
  <c r="D28" i="3"/>
  <c r="B28" i="3"/>
  <c r="C27" i="3"/>
  <c r="D27" i="3"/>
  <c r="B27" i="3"/>
  <c r="C26" i="3"/>
  <c r="D26" i="3"/>
  <c r="B26" i="3"/>
  <c r="C21" i="3"/>
  <c r="D21" i="3"/>
  <c r="E21" i="3"/>
  <c r="F21" i="3"/>
  <c r="G21" i="3"/>
  <c r="B21" i="3"/>
  <c r="C19" i="3"/>
  <c r="D19" i="3"/>
  <c r="E19" i="3"/>
  <c r="F19" i="3"/>
  <c r="G19" i="3"/>
  <c r="B19" i="3"/>
  <c r="C18" i="3"/>
  <c r="D18" i="3"/>
  <c r="E18" i="3"/>
  <c r="F18" i="3"/>
  <c r="G18" i="3"/>
  <c r="B18" i="3"/>
  <c r="C12" i="3"/>
  <c r="D12" i="3"/>
  <c r="E12" i="3"/>
  <c r="F12" i="3"/>
  <c r="G12" i="3"/>
  <c r="B12" i="3"/>
  <c r="C11" i="3"/>
  <c r="D11" i="3"/>
  <c r="E11" i="3"/>
  <c r="F11" i="3"/>
  <c r="G11" i="3"/>
  <c r="B11" i="3"/>
  <c r="C10" i="3"/>
  <c r="D10" i="3"/>
  <c r="E10" i="3"/>
  <c r="F10" i="3"/>
  <c r="G10" i="3"/>
  <c r="B10" i="3"/>
  <c r="C9" i="3"/>
  <c r="D9" i="3"/>
  <c r="E9" i="3"/>
  <c r="F9" i="3"/>
  <c r="G9" i="3"/>
  <c r="B9" i="3"/>
  <c r="D8" i="3"/>
  <c r="E8" i="3"/>
  <c r="F8" i="3" s="1"/>
  <c r="G8" i="3" s="1"/>
  <c r="C8" i="3"/>
  <c r="F12" i="2" l="1"/>
  <c r="F15" i="2"/>
  <c r="E1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F28" i="1" l="1"/>
  <c r="B28" i="1"/>
  <c r="D28" i="1"/>
  <c r="E29" i="1"/>
  <c r="E28" i="1"/>
  <c r="E31" i="1"/>
  <c r="E32" i="1"/>
  <c r="F32" i="1"/>
  <c r="F31" i="1"/>
  <c r="G31" i="1"/>
  <c r="F29" i="1"/>
  <c r="F30" i="1"/>
  <c r="G32" i="1"/>
  <c r="K22" i="1"/>
  <c r="D10" i="1"/>
  <c r="E10" i="1" s="1"/>
  <c r="F10" i="1" s="1"/>
  <c r="G10" i="1" s="1"/>
  <c r="K20" i="1" s="1"/>
  <c r="D9" i="1"/>
  <c r="E9" i="1" s="1"/>
  <c r="F9" i="1" s="1"/>
  <c r="G9" i="1" s="1"/>
  <c r="D8" i="1"/>
  <c r="E8" i="1" s="1"/>
  <c r="F8" i="1" s="1"/>
  <c r="G8" i="1" s="1"/>
  <c r="C6" i="1"/>
  <c r="C5" i="1"/>
  <c r="C7" i="1" s="1"/>
  <c r="C11" i="1" s="1"/>
  <c r="C12" i="1" s="1"/>
  <c r="C22" i="1" s="1"/>
  <c r="C23" i="1" s="1"/>
  <c r="D20" i="1" s="1"/>
  <c r="C21" i="1"/>
  <c r="D3" i="1"/>
  <c r="E3" i="1" s="1"/>
  <c r="F3" i="1" s="1"/>
  <c r="G3" i="1" s="1"/>
  <c r="K18" i="1" s="1"/>
  <c r="K19" i="1" s="1"/>
  <c r="K21" i="1" s="1"/>
  <c r="K23" i="1" s="1"/>
  <c r="E30" i="1" l="1"/>
  <c r="G29" i="1"/>
  <c r="D21" i="1"/>
  <c r="D4" i="1" s="1"/>
  <c r="D5" i="1" s="1"/>
  <c r="C13" i="1"/>
  <c r="D29" i="1" l="1"/>
  <c r="D30" i="1" s="1"/>
  <c r="D31" i="1" s="1"/>
  <c r="D32" i="1" s="1"/>
  <c r="C28" i="1" s="1"/>
  <c r="D6" i="1"/>
  <c r="D7" i="1" s="1"/>
  <c r="D11" i="1" s="1"/>
  <c r="C29" i="1" l="1"/>
  <c r="C30" i="1" s="1"/>
  <c r="C31" i="1" s="1"/>
  <c r="C32" i="1" s="1"/>
  <c r="D13" i="1"/>
  <c r="D12" i="1"/>
  <c r="D22" i="1" s="1"/>
  <c r="D23" i="1" s="1"/>
  <c r="E20" i="1" s="1"/>
  <c r="E21" i="1" l="1"/>
  <c r="E4" i="1" s="1"/>
  <c r="E5" i="1" s="1"/>
  <c r="E6" i="1" l="1"/>
  <c r="E7" i="1" s="1"/>
  <c r="E11" i="1" s="1"/>
  <c r="E12" i="1" l="1"/>
  <c r="E22" i="1" s="1"/>
  <c r="E23" i="1" s="1"/>
  <c r="F20" i="1" s="1"/>
  <c r="F21" i="1" s="1"/>
  <c r="F4" i="1" s="1"/>
  <c r="F5" i="1" s="1"/>
  <c r="F6" i="1" s="1"/>
  <c r="F7" i="1" s="1"/>
  <c r="F11" i="1" s="1"/>
  <c r="F12" i="1" l="1"/>
  <c r="F22" i="1" s="1"/>
  <c r="F23" i="1" s="1"/>
  <c r="G20" i="1" s="1"/>
  <c r="G21" i="1" s="1"/>
  <c r="G4" i="1" s="1"/>
  <c r="G5" i="1" s="1"/>
  <c r="E13" i="1"/>
  <c r="G7" i="1" l="1"/>
  <c r="G11" i="1" s="1"/>
  <c r="G6" i="1"/>
  <c r="F13" i="1"/>
  <c r="G12" i="1" l="1"/>
  <c r="G22" i="1" s="1"/>
  <c r="G23" i="1" s="1"/>
  <c r="K24" i="1" s="1"/>
  <c r="K25" i="1" s="1"/>
  <c r="G28" i="1" s="1"/>
  <c r="G30" i="1" s="1"/>
  <c r="G13" i="1"/>
</calcChain>
</file>

<file path=xl/sharedStrings.xml><?xml version="1.0" encoding="utf-8"?>
<sst xmlns="http://schemas.openxmlformats.org/spreadsheetml/2006/main" count="110" uniqueCount="98">
  <si>
    <t>Growth rate</t>
  </si>
  <si>
    <t xml:space="preserve">Interest on debt </t>
  </si>
  <si>
    <t>Tax rate</t>
  </si>
  <si>
    <t>Depreciation growth</t>
  </si>
  <si>
    <t xml:space="preserve">Capital expenditure </t>
  </si>
  <si>
    <t>NWC (10 mn) and grows</t>
  </si>
  <si>
    <t>Risk free rate</t>
  </si>
  <si>
    <t xml:space="preserve">Asset beta </t>
  </si>
  <si>
    <t>Market premium</t>
  </si>
  <si>
    <t>WACC</t>
  </si>
  <si>
    <t>closing</t>
  </si>
  <si>
    <t>EBIT</t>
  </si>
  <si>
    <t>years debt</t>
  </si>
  <si>
    <t>beginning debt</t>
  </si>
  <si>
    <t>int.payment</t>
  </si>
  <si>
    <t>pre tax profit</t>
  </si>
  <si>
    <t>tax</t>
  </si>
  <si>
    <t>net income</t>
  </si>
  <si>
    <t>dep</t>
  </si>
  <si>
    <t>capex</t>
  </si>
  <si>
    <t>nwc</t>
  </si>
  <si>
    <t>FCF</t>
  </si>
  <si>
    <t>princpal payment</t>
  </si>
  <si>
    <t>equity cash flow</t>
  </si>
  <si>
    <t>end debt</t>
  </si>
  <si>
    <t>ebit year6</t>
  </si>
  <si>
    <t>ebit(i-t)</t>
  </si>
  <si>
    <t>less nwc</t>
  </si>
  <si>
    <t>FCF asset</t>
  </si>
  <si>
    <t>wacc</t>
  </si>
  <si>
    <t>tv asset</t>
  </si>
  <si>
    <t>tv debt</t>
  </si>
  <si>
    <t>tv equity</t>
  </si>
  <si>
    <t>*DCF*</t>
  </si>
  <si>
    <t xml:space="preserve">Equity </t>
  </si>
  <si>
    <t>equity+debt</t>
  </si>
  <si>
    <t>equity/capital</t>
  </si>
  <si>
    <t>equity beta</t>
  </si>
  <si>
    <t>cost of beta</t>
  </si>
  <si>
    <t>two stage cash flows</t>
  </si>
  <si>
    <t>FCFF_0</t>
  </si>
  <si>
    <t>fcff super g</t>
  </si>
  <si>
    <t>fcff normal g</t>
  </si>
  <si>
    <t>r</t>
  </si>
  <si>
    <t>years</t>
  </si>
  <si>
    <t>fcffT</t>
  </si>
  <si>
    <t>pv of fcccf</t>
  </si>
  <si>
    <t>Year 1</t>
  </si>
  <si>
    <t>Year 2</t>
  </si>
  <si>
    <t>Year 3</t>
  </si>
  <si>
    <t>Year 4</t>
  </si>
  <si>
    <t>Year 5</t>
  </si>
  <si>
    <t>Year 6</t>
  </si>
  <si>
    <t>Beginning bank debt @ 12%</t>
  </si>
  <si>
    <t>Beginning subordinated debt @ 15%</t>
  </si>
  <si>
    <t>INTERST</t>
  </si>
  <si>
    <t>PRETAX INCOME</t>
  </si>
  <si>
    <t>TAX</t>
  </si>
  <si>
    <t>NET INCOME</t>
  </si>
  <si>
    <t>Noncash adjustments</t>
  </si>
  <si>
    <t>After-tax proceeds from asset sales</t>
  </si>
  <si>
    <t>AVAILABLE CASH FLOW</t>
  </si>
  <si>
    <t>CAPITAL CASH FLOW</t>
  </si>
  <si>
    <t>PV VALUE</t>
  </si>
  <si>
    <t>0%</t>
  </si>
  <si>
    <t>5%</t>
  </si>
  <si>
    <t>10%</t>
  </si>
  <si>
    <t>PRESENT VALUES</t>
  </si>
  <si>
    <t>CASH FLOWS</t>
  </si>
  <si>
    <t>TERMINAL VALUE</t>
  </si>
  <si>
    <t>ENTRPRISE VALUE</t>
  </si>
  <si>
    <t>DEBT</t>
  </si>
  <si>
    <t>EQUITY VALUE</t>
  </si>
  <si>
    <t>Year 0</t>
  </si>
  <si>
    <t>percent debt</t>
  </si>
  <si>
    <t>cost of debt</t>
  </si>
  <si>
    <t>asset beta</t>
  </si>
  <si>
    <t>risk free Rte</t>
  </si>
  <si>
    <t>debt beta</t>
  </si>
  <si>
    <t>risk premium</t>
  </si>
  <si>
    <t xml:space="preserve">tac rate </t>
  </si>
  <si>
    <t>after tax cost of  debt</t>
  </si>
  <si>
    <t>percent equity</t>
  </si>
  <si>
    <t>after tax wacc</t>
  </si>
  <si>
    <t>pre tax wacc</t>
  </si>
  <si>
    <t>valaution using wacc</t>
  </si>
  <si>
    <t>fre cash flow</t>
  </si>
  <si>
    <t>discount factor</t>
  </si>
  <si>
    <t>pv value</t>
  </si>
  <si>
    <t>npv</t>
  </si>
  <si>
    <t xml:space="preserve">valuing capita; cash flows </t>
  </si>
  <si>
    <t>debt</t>
  </si>
  <si>
    <t>intrest</t>
  </si>
  <si>
    <t>int tax shield</t>
  </si>
  <si>
    <t>capital cash flow</t>
  </si>
  <si>
    <t>exp asset return</t>
  </si>
  <si>
    <t>dis facot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</si>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</sst>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0" xfId="0" applyFont="1"/>
    <xf numFmtId="10" fontId="2" fillId="0" borderId="0" xfId="0" applyNumberFormat="1" applyFont="1"/>
    <xf numFmtId="10" fontId="0" fillId="0" borderId="0" xfId="0" applyNumberFormat="1"/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3" fontId="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3" fontId="0" fillId="0" borderId="0" xfId="0" applyNumberFormat="1"/>
    <xf numFmtId="0" fontId="4" fillId="0" borderId="1" xfId="0" applyFont="1" applyBorder="1" applyAlignment="1">
      <alignment horizontal="left" vertical="top" indent="1"/>
    </xf>
    <xf numFmtId="0" fontId="3" fillId="0" borderId="0" xfId="0" applyFont="1" applyAlignment="1">
      <alignment vertical="top"/>
    </xf>
    <xf numFmtId="0" fontId="4" fillId="0" borderId="1" xfId="0" applyNumberFormat="1" applyFont="1" applyFill="1" applyBorder="1" applyAlignment="1" applyProtection="1">
      <alignment horizontal="right" vertical="top"/>
    </xf>
    <xf numFmtId="10" fontId="0" fillId="0" borderId="0" xfId="0" applyNumberFormat="1" applyFill="1"/>
    <xf numFmtId="0" fontId="4" fillId="0" borderId="0" xfId="0" applyNumberFormat="1" applyFont="1" applyFill="1" applyBorder="1" applyAlignment="1" applyProtection="1">
      <alignment horizontal="right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BF92-4AA7-464C-80EC-5F9320235F4A}">
  <dimension ref="A2:K32"/>
  <sheetViews>
    <sheetView tabSelected="1" topLeftCell="C1" zoomScale="80" workbookViewId="0">
      <selection activeCell="L30" sqref="L30"/>
    </sheetView>
  </sheetViews>
  <sheetFormatPr defaultRowHeight="14.4" x14ac:dyDescent="0.3"/>
  <cols>
    <col min="7" max="7" width="24.88671875" bestFit="1" customWidth="1"/>
    <col min="10" max="10" width="16.33203125" customWidth="1"/>
    <col min="12" max="12" width="21.33203125" bestFit="1" customWidth="1"/>
    <col min="13" max="13" width="6.21875" bestFit="1" customWidth="1"/>
  </cols>
  <sheetData>
    <row r="2" spans="1:11" x14ac:dyDescent="0.3">
      <c r="B2" t="s">
        <v>10</v>
      </c>
      <c r="C2">
        <v>1</v>
      </c>
      <c r="D2">
        <v>2</v>
      </c>
      <c r="E2">
        <v>3</v>
      </c>
      <c r="F2">
        <v>4</v>
      </c>
      <c r="G2">
        <v>5</v>
      </c>
    </row>
    <row r="3" spans="1:11" x14ac:dyDescent="0.3">
      <c r="A3" t="s">
        <v>11</v>
      </c>
      <c r="C3">
        <v>125</v>
      </c>
      <c r="D3">
        <f>C3*(1+$K$4)</f>
        <v>128.75</v>
      </c>
      <c r="E3">
        <f t="shared" ref="E3:G3" si="0">D3*(1+$K$4)</f>
        <v>132.61250000000001</v>
      </c>
      <c r="F3">
        <f t="shared" si="0"/>
        <v>136.59087500000001</v>
      </c>
      <c r="G3">
        <f t="shared" si="0"/>
        <v>140.68860125</v>
      </c>
    </row>
    <row r="4" spans="1:11" x14ac:dyDescent="0.3">
      <c r="A4" t="s">
        <v>14</v>
      </c>
      <c r="C4">
        <v>63</v>
      </c>
      <c r="D4">
        <f>D21</f>
        <v>60.92240000000001</v>
      </c>
      <c r="E4">
        <f t="shared" ref="E4:G4" si="1">E21</f>
        <v>58.604723520000015</v>
      </c>
      <c r="F4">
        <f t="shared" si="1"/>
        <v>56.031805133696011</v>
      </c>
      <c r="G4">
        <f t="shared" si="1"/>
        <v>53.187667703685591</v>
      </c>
      <c r="J4" t="s">
        <v>0</v>
      </c>
      <c r="K4" s="1">
        <v>0.03</v>
      </c>
    </row>
    <row r="5" spans="1:11" x14ac:dyDescent="0.3">
      <c r="A5" t="s">
        <v>15</v>
      </c>
      <c r="C5">
        <f>C3-C4</f>
        <v>62</v>
      </c>
      <c r="D5">
        <f t="shared" ref="D5:G5" si="2">D3-D4</f>
        <v>67.82759999999999</v>
      </c>
      <c r="E5">
        <f t="shared" si="2"/>
        <v>74.00777647999999</v>
      </c>
      <c r="F5">
        <f t="shared" si="2"/>
        <v>80.559069866304</v>
      </c>
      <c r="G5">
        <f t="shared" si="2"/>
        <v>87.500933546314414</v>
      </c>
      <c r="J5" t="s">
        <v>1</v>
      </c>
      <c r="K5" s="2">
        <v>7.0000000000000007E-2</v>
      </c>
    </row>
    <row r="6" spans="1:11" x14ac:dyDescent="0.3">
      <c r="A6" t="s">
        <v>16</v>
      </c>
      <c r="C6">
        <f>C5*$K$6</f>
        <v>22.32</v>
      </c>
      <c r="D6">
        <f t="shared" ref="D6:G6" si="3">D5*$K$6</f>
        <v>24.417935999999994</v>
      </c>
      <c r="E6">
        <f t="shared" si="3"/>
        <v>26.642799532799994</v>
      </c>
      <c r="F6">
        <f t="shared" si="3"/>
        <v>29.00126515186944</v>
      </c>
      <c r="G6">
        <f t="shared" si="3"/>
        <v>31.500336076673189</v>
      </c>
      <c r="J6" t="s">
        <v>2</v>
      </c>
      <c r="K6" s="2">
        <v>0.36</v>
      </c>
    </row>
    <row r="7" spans="1:11" x14ac:dyDescent="0.3">
      <c r="A7" t="s">
        <v>17</v>
      </c>
      <c r="C7">
        <f>C5-C6</f>
        <v>39.68</v>
      </c>
      <c r="D7">
        <f t="shared" ref="D7:G7" si="4">D5-D6</f>
        <v>43.409663999999992</v>
      </c>
      <c r="E7">
        <f t="shared" si="4"/>
        <v>47.364976947199992</v>
      </c>
      <c r="F7">
        <f t="shared" si="4"/>
        <v>51.55780471443456</v>
      </c>
      <c r="G7">
        <f t="shared" si="4"/>
        <v>56.000597469641221</v>
      </c>
      <c r="J7" t="s">
        <v>3</v>
      </c>
      <c r="K7" s="2">
        <v>0.03</v>
      </c>
    </row>
    <row r="8" spans="1:11" x14ac:dyDescent="0.3">
      <c r="A8" t="s">
        <v>18</v>
      </c>
      <c r="C8">
        <v>20</v>
      </c>
      <c r="D8">
        <f>C8*(1+$K$7)</f>
        <v>20.6</v>
      </c>
      <c r="E8">
        <f t="shared" ref="E8:G8" si="5">D8*(1+$K$7)</f>
        <v>21.218000000000004</v>
      </c>
      <c r="F8">
        <f t="shared" si="5"/>
        <v>21.854540000000004</v>
      </c>
      <c r="G8">
        <f t="shared" si="5"/>
        <v>22.510176200000004</v>
      </c>
      <c r="J8" t="s">
        <v>4</v>
      </c>
      <c r="K8" s="2">
        <v>0.03</v>
      </c>
    </row>
    <row r="9" spans="1:11" x14ac:dyDescent="0.3">
      <c r="A9" t="s">
        <v>19</v>
      </c>
      <c r="C9">
        <v>20</v>
      </c>
      <c r="D9">
        <f>C9*(1+$K$8)</f>
        <v>20.6</v>
      </c>
      <c r="E9">
        <f t="shared" ref="E9:G9" si="6">D9*(1+$K$8)</f>
        <v>21.218000000000004</v>
      </c>
      <c r="F9">
        <f t="shared" si="6"/>
        <v>21.854540000000004</v>
      </c>
      <c r="G9">
        <f t="shared" si="6"/>
        <v>22.510176200000004</v>
      </c>
      <c r="J9" t="s">
        <v>5</v>
      </c>
      <c r="K9" s="2">
        <v>0.03</v>
      </c>
    </row>
    <row r="10" spans="1:11" x14ac:dyDescent="0.3">
      <c r="A10" t="s">
        <v>20</v>
      </c>
      <c r="C10">
        <v>10</v>
      </c>
      <c r="D10">
        <f>C10*(1+$K$9)</f>
        <v>10.3</v>
      </c>
      <c r="E10">
        <f t="shared" ref="E10:G10" si="7">D10*(1+$K$9)</f>
        <v>10.609000000000002</v>
      </c>
      <c r="F10">
        <f t="shared" si="7"/>
        <v>10.927270000000002</v>
      </c>
      <c r="G10">
        <f t="shared" si="7"/>
        <v>11.255088100000002</v>
      </c>
      <c r="J10" t="s">
        <v>6</v>
      </c>
      <c r="K10" s="2">
        <v>0.04</v>
      </c>
    </row>
    <row r="11" spans="1:11" x14ac:dyDescent="0.3">
      <c r="A11" t="s">
        <v>21</v>
      </c>
      <c r="C11">
        <f>C7+C8-C9-C10</f>
        <v>29.68</v>
      </c>
      <c r="D11">
        <f t="shared" ref="D11:G11" si="8">D7+D8-D9-D10</f>
        <v>33.109663999999981</v>
      </c>
      <c r="E11">
        <f t="shared" si="8"/>
        <v>36.75597694719999</v>
      </c>
      <c r="F11">
        <f t="shared" si="8"/>
        <v>40.630534714434567</v>
      </c>
      <c r="G11">
        <f t="shared" si="8"/>
        <v>44.745509369641219</v>
      </c>
      <c r="J11" t="s">
        <v>7</v>
      </c>
      <c r="K11" s="3">
        <v>0.85</v>
      </c>
    </row>
    <row r="12" spans="1:11" x14ac:dyDescent="0.3">
      <c r="A12" t="s">
        <v>22</v>
      </c>
      <c r="C12">
        <f>C11</f>
        <v>29.68</v>
      </c>
      <c r="D12">
        <f t="shared" ref="D12:G12" si="9">D11</f>
        <v>33.109663999999981</v>
      </c>
      <c r="E12">
        <f t="shared" si="9"/>
        <v>36.75597694719999</v>
      </c>
      <c r="F12">
        <f t="shared" si="9"/>
        <v>40.630534714434567</v>
      </c>
      <c r="G12">
        <f t="shared" si="9"/>
        <v>44.745509369641219</v>
      </c>
      <c r="J12" t="s">
        <v>8</v>
      </c>
      <c r="K12" s="1">
        <v>0.06</v>
      </c>
    </row>
    <row r="13" spans="1:11" x14ac:dyDescent="0.3">
      <c r="A13" t="s">
        <v>23</v>
      </c>
      <c r="C13">
        <f>C11-C12</f>
        <v>0</v>
      </c>
      <c r="D13">
        <f t="shared" ref="D13:G13" si="10">D11-D12</f>
        <v>0</v>
      </c>
      <c r="E13">
        <f t="shared" si="10"/>
        <v>0</v>
      </c>
      <c r="F13">
        <f t="shared" si="10"/>
        <v>0</v>
      </c>
      <c r="G13">
        <f t="shared" si="10"/>
        <v>0</v>
      </c>
      <c r="J13" s="4" t="s">
        <v>9</v>
      </c>
      <c r="K13" s="5">
        <v>8.5999999999999993E-2</v>
      </c>
    </row>
    <row r="18" spans="1:11" x14ac:dyDescent="0.3">
      <c r="J18" t="s">
        <v>25</v>
      </c>
      <c r="K18">
        <f>G3*(1+K4)</f>
        <v>144.90925928750002</v>
      </c>
    </row>
    <row r="19" spans="1:11" x14ac:dyDescent="0.3">
      <c r="A19" t="s">
        <v>12</v>
      </c>
      <c r="B19" t="s">
        <v>10</v>
      </c>
      <c r="C19">
        <v>1</v>
      </c>
      <c r="D19">
        <v>2</v>
      </c>
      <c r="E19">
        <v>3</v>
      </c>
      <c r="F19">
        <v>4</v>
      </c>
      <c r="G19">
        <v>5</v>
      </c>
      <c r="J19" t="s">
        <v>26</v>
      </c>
      <c r="K19">
        <f>K18*(1-K6)</f>
        <v>92.741925944000016</v>
      </c>
    </row>
    <row r="20" spans="1:11" x14ac:dyDescent="0.3">
      <c r="A20" t="s">
        <v>13</v>
      </c>
      <c r="C20">
        <v>900</v>
      </c>
      <c r="D20">
        <f>C23</f>
        <v>870.32</v>
      </c>
      <c r="E20">
        <f t="shared" ref="E20:G20" si="11">D23</f>
        <v>837.2103360000001</v>
      </c>
      <c r="F20">
        <f t="shared" si="11"/>
        <v>800.4543590528001</v>
      </c>
      <c r="G20">
        <f t="shared" si="11"/>
        <v>759.82382433836551</v>
      </c>
      <c r="J20" t="s">
        <v>27</v>
      </c>
      <c r="K20">
        <f>G10*(1+K9)</f>
        <v>11.592740743000002</v>
      </c>
    </row>
    <row r="21" spans="1:11" x14ac:dyDescent="0.3">
      <c r="A21" t="s">
        <v>14</v>
      </c>
      <c r="C21">
        <f>C20*$K$5</f>
        <v>63.000000000000007</v>
      </c>
      <c r="D21">
        <f t="shared" ref="D21:G21" si="12">D20*$K$5</f>
        <v>60.92240000000001</v>
      </c>
      <c r="E21">
        <f t="shared" si="12"/>
        <v>58.604723520000015</v>
      </c>
      <c r="F21">
        <f t="shared" si="12"/>
        <v>56.031805133696011</v>
      </c>
      <c r="G21">
        <f t="shared" si="12"/>
        <v>53.187667703685591</v>
      </c>
      <c r="J21" t="s">
        <v>28</v>
      </c>
      <c r="K21">
        <f>K19-K20</f>
        <v>81.149185201000009</v>
      </c>
    </row>
    <row r="22" spans="1:11" x14ac:dyDescent="0.3">
      <c r="A22" t="s">
        <v>22</v>
      </c>
      <c r="C22">
        <f>C12</f>
        <v>29.68</v>
      </c>
      <c r="D22">
        <f t="shared" ref="D22:G22" si="13">D12</f>
        <v>33.109663999999981</v>
      </c>
      <c r="E22">
        <f t="shared" si="13"/>
        <v>36.75597694719999</v>
      </c>
      <c r="F22">
        <f t="shared" si="13"/>
        <v>40.630534714434567</v>
      </c>
      <c r="G22">
        <f t="shared" si="13"/>
        <v>44.745509369641219</v>
      </c>
      <c r="J22" t="s">
        <v>29</v>
      </c>
      <c r="K22" s="6">
        <f>K13</f>
        <v>8.5999999999999993E-2</v>
      </c>
    </row>
    <row r="23" spans="1:11" x14ac:dyDescent="0.3">
      <c r="A23" t="s">
        <v>24</v>
      </c>
      <c r="C23">
        <f>C20-C22</f>
        <v>870.32</v>
      </c>
      <c r="D23">
        <f>D20-D22</f>
        <v>837.2103360000001</v>
      </c>
      <c r="E23">
        <f t="shared" ref="E23:G23" si="14">E20-E22</f>
        <v>800.4543590528001</v>
      </c>
      <c r="F23">
        <f t="shared" si="14"/>
        <v>759.82382433836551</v>
      </c>
      <c r="G23">
        <f t="shared" si="14"/>
        <v>715.07831496872427</v>
      </c>
      <c r="J23" t="s">
        <v>30</v>
      </c>
      <c r="K23">
        <f>K21/(K22-K4)</f>
        <v>1449.0925928750003</v>
      </c>
    </row>
    <row r="24" spans="1:11" x14ac:dyDescent="0.3">
      <c r="J24" t="s">
        <v>31</v>
      </c>
      <c r="K24">
        <f>G23</f>
        <v>715.07831496872427</v>
      </c>
    </row>
    <row r="25" spans="1:11" x14ac:dyDescent="0.3">
      <c r="J25" t="s">
        <v>32</v>
      </c>
      <c r="K25">
        <f>K23-K24</f>
        <v>734.01427790627599</v>
      </c>
    </row>
    <row r="26" spans="1:11" x14ac:dyDescent="0.3">
      <c r="A26" t="s">
        <v>33</v>
      </c>
    </row>
    <row r="27" spans="1:11" x14ac:dyDescent="0.3">
      <c r="B27" t="s">
        <v>10</v>
      </c>
      <c r="C27">
        <v>1</v>
      </c>
      <c r="D27">
        <v>2</v>
      </c>
      <c r="E27">
        <v>3</v>
      </c>
      <c r="F27">
        <v>4</v>
      </c>
      <c r="G27">
        <v>5</v>
      </c>
    </row>
    <row r="28" spans="1:11" x14ac:dyDescent="0.3">
      <c r="A28" t="s">
        <v>34</v>
      </c>
      <c r="B28" s="3">
        <f t="shared" ref="B28:C28" si="15">C28/(1+C32)</f>
        <v>339.12368139602791</v>
      </c>
      <c r="C28" s="3">
        <f t="shared" si="15"/>
        <v>406.97052694336134</v>
      </c>
      <c r="D28" s="3">
        <f>E28/(1+E32)</f>
        <v>480.19187243428689</v>
      </c>
      <c r="E28" s="3">
        <f>F28/(1+F32)</f>
        <v>558.95975662420335</v>
      </c>
      <c r="F28" s="3">
        <f>G28/(1+G32)</f>
        <v>643.48590620207221</v>
      </c>
      <c r="G28" s="3">
        <f>K25</f>
        <v>734.01427790627599</v>
      </c>
    </row>
    <row r="29" spans="1:11" x14ac:dyDescent="0.3">
      <c r="A29" t="s">
        <v>35</v>
      </c>
      <c r="B29" s="3"/>
      <c r="C29" s="3">
        <f t="shared" ref="C29:D29" si="16">C28+C23</f>
        <v>1277.2905269433613</v>
      </c>
      <c r="D29" s="3">
        <f t="shared" si="16"/>
        <v>1317.4022084342869</v>
      </c>
      <c r="E29" s="3">
        <f>E28+E23</f>
        <v>1359.4141156770033</v>
      </c>
      <c r="F29" s="3">
        <f>F28+F23</f>
        <v>1403.3097305404376</v>
      </c>
      <c r="G29" s="3">
        <f>K23</f>
        <v>1449.0925928750003</v>
      </c>
    </row>
    <row r="30" spans="1:11" x14ac:dyDescent="0.3">
      <c r="A30" t="s">
        <v>36</v>
      </c>
      <c r="B30" s="3"/>
      <c r="C30" s="3">
        <f t="shared" ref="C30:E30" si="17">C28/C29</f>
        <v>0.31862017165136897</v>
      </c>
      <c r="D30" s="3">
        <f t="shared" si="17"/>
        <v>0.36449906441631663</v>
      </c>
      <c r="E30" s="3">
        <f t="shared" si="17"/>
        <v>0.41117695496771794</v>
      </c>
      <c r="F30" s="3">
        <f>F28/F29</f>
        <v>0.4585487381707638</v>
      </c>
      <c r="G30" s="3">
        <f>G28/G29</f>
        <v>0.50653373118828204</v>
      </c>
    </row>
    <row r="31" spans="1:11" x14ac:dyDescent="0.3">
      <c r="A31" t="s">
        <v>37</v>
      </c>
      <c r="B31" s="3"/>
      <c r="C31" s="3">
        <f t="shared" ref="C31:E31" si="18">$K$11/C30</f>
        <v>2.6677532549008278</v>
      </c>
      <c r="D31" s="3">
        <f t="shared" si="18"/>
        <v>2.3319675768197943</v>
      </c>
      <c r="E31" s="3">
        <f t="shared" si="18"/>
        <v>2.0672364774595273</v>
      </c>
      <c r="F31" s="3">
        <f>$K$11/F30</f>
        <v>1.853674275477909</v>
      </c>
      <c r="G31" s="3">
        <f>$K$11/G30</f>
        <v>1.6780718591158328</v>
      </c>
    </row>
    <row r="32" spans="1:11" x14ac:dyDescent="0.3">
      <c r="A32" t="s">
        <v>38</v>
      </c>
      <c r="B32" s="3"/>
      <c r="C32" s="3">
        <f t="shared" ref="C32:F32" si="19">$K$10+$K$12*C31</f>
        <v>0.20006519529404967</v>
      </c>
      <c r="D32" s="3">
        <f t="shared" si="19"/>
        <v>0.17991805460918767</v>
      </c>
      <c r="E32" s="3">
        <f t="shared" si="19"/>
        <v>0.16403418864757163</v>
      </c>
      <c r="F32" s="3">
        <f t="shared" si="19"/>
        <v>0.15122045652867452</v>
      </c>
      <c r="G32" s="3">
        <f>$K$10+$K$12*G31</f>
        <v>0.14068431154694996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7DE7-4583-44C5-8D2A-46E599FD6C17}">
  <dimension ref="A1:F15"/>
  <sheetViews>
    <sheetView workbookViewId="0">
      <selection activeCell="H13" sqref="H13"/>
    </sheetView>
  </sheetViews>
  <sheetFormatPr defaultRowHeight="14.4" x14ac:dyDescent="0.3"/>
  <sheetData>
    <row r="1" spans="1:6" x14ac:dyDescent="0.3">
      <c r="A1" t="s">
        <v>39</v>
      </c>
      <c r="D1" t="s">
        <v>44</v>
      </c>
      <c r="E1" t="s">
        <v>45</v>
      </c>
      <c r="F1" t="s">
        <v>46</v>
      </c>
    </row>
    <row r="2" spans="1:6" x14ac:dyDescent="0.3">
      <c r="D2">
        <v>1</v>
      </c>
      <c r="E2">
        <f>$B$3*(1+$B$4)^D2</f>
        <v>973.125</v>
      </c>
      <c r="F2">
        <f>E2/(1+$B$6)^D2</f>
        <v>900.62471078204533</v>
      </c>
    </row>
    <row r="3" spans="1:6" x14ac:dyDescent="0.3">
      <c r="A3" t="s">
        <v>40</v>
      </c>
      <c r="B3">
        <v>865</v>
      </c>
      <c r="D3">
        <v>2</v>
      </c>
      <c r="E3">
        <f t="shared" ref="E3:E11" si="0">$B$3*(1+$B$4)^D3</f>
        <v>1094.765625</v>
      </c>
      <c r="F3">
        <f t="shared" ref="F3:F11" si="1">E3/(1+$B$6)^D3</f>
        <v>937.71661233669681</v>
      </c>
    </row>
    <row r="4" spans="1:6" x14ac:dyDescent="0.3">
      <c r="A4" t="s">
        <v>41</v>
      </c>
      <c r="B4" s="6">
        <v>0.125</v>
      </c>
      <c r="D4">
        <v>3</v>
      </c>
      <c r="E4">
        <f t="shared" si="0"/>
        <v>1231.611328125</v>
      </c>
      <c r="F4">
        <f t="shared" si="1"/>
        <v>976.33613038295607</v>
      </c>
    </row>
    <row r="5" spans="1:6" x14ac:dyDescent="0.3">
      <c r="A5" t="s">
        <v>42</v>
      </c>
      <c r="B5" s="1">
        <v>0.05</v>
      </c>
      <c r="D5">
        <v>4</v>
      </c>
      <c r="E5">
        <f t="shared" si="0"/>
        <v>1385.562744140625</v>
      </c>
      <c r="F5">
        <f t="shared" si="1"/>
        <v>1016.546179251111</v>
      </c>
    </row>
    <row r="6" spans="1:6" x14ac:dyDescent="0.3">
      <c r="A6" t="s">
        <v>43</v>
      </c>
      <c r="B6" s="6">
        <v>8.0500000000000002E-2</v>
      </c>
      <c r="D6">
        <v>5</v>
      </c>
      <c r="E6">
        <f t="shared" si="0"/>
        <v>1558.7580871582031</v>
      </c>
      <c r="F6">
        <f t="shared" si="1"/>
        <v>1058.4122643752892</v>
      </c>
    </row>
    <row r="7" spans="1:6" x14ac:dyDescent="0.3">
      <c r="D7">
        <v>6</v>
      </c>
      <c r="E7">
        <f t="shared" si="0"/>
        <v>1753.6028480529785</v>
      </c>
      <c r="F7">
        <f t="shared" si="1"/>
        <v>1102.0025890071265</v>
      </c>
    </row>
    <row r="8" spans="1:6" x14ac:dyDescent="0.3">
      <c r="D8">
        <v>7</v>
      </c>
      <c r="E8">
        <f t="shared" si="0"/>
        <v>1972.8032040596008</v>
      </c>
      <c r="F8">
        <f t="shared" si="1"/>
        <v>1147.388165324403</v>
      </c>
    </row>
    <row r="9" spans="1:6" x14ac:dyDescent="0.3">
      <c r="D9">
        <v>8</v>
      </c>
      <c r="E9">
        <f t="shared" si="0"/>
        <v>2219.4036045670509</v>
      </c>
      <c r="F9">
        <f t="shared" si="1"/>
        <v>1194.6429301156438</v>
      </c>
    </row>
    <row r="10" spans="1:6" x14ac:dyDescent="0.3">
      <c r="D10">
        <v>9</v>
      </c>
      <c r="E10">
        <f t="shared" si="0"/>
        <v>2496.8290551379323</v>
      </c>
      <c r="F10">
        <f t="shared" si="1"/>
        <v>1243.8438652291525</v>
      </c>
    </row>
    <row r="11" spans="1:6" x14ac:dyDescent="0.3">
      <c r="D11">
        <v>10</v>
      </c>
      <c r="E11">
        <f t="shared" si="0"/>
        <v>2808.9326870301738</v>
      </c>
      <c r="F11">
        <f t="shared" si="1"/>
        <v>1295.07112298269</v>
      </c>
    </row>
    <row r="12" spans="1:6" x14ac:dyDescent="0.3">
      <c r="D12">
        <v>10</v>
      </c>
      <c r="E12">
        <f>E11*(1+B5)/(B6-B5)</f>
        <v>96700.961356776475</v>
      </c>
      <c r="F12">
        <f>E12/(1+$B$6)^D12</f>
        <v>44584.415709240144</v>
      </c>
    </row>
    <row r="15" spans="1:6" x14ac:dyDescent="0.3">
      <c r="F15">
        <f>SUM(F2:F12)</f>
        <v>55457.000279027256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14FE-19A2-4866-B2FA-632FB801DA38}">
  <dimension ref="A2:G31"/>
  <sheetViews>
    <sheetView topLeftCell="A11" workbookViewId="0">
      <selection activeCell="F28" sqref="F28"/>
    </sheetView>
  </sheetViews>
  <sheetFormatPr defaultRowHeight="14.4" x14ac:dyDescent="0.3"/>
  <cols>
    <col min="1" max="1" width="15.88671875" customWidth="1"/>
  </cols>
  <sheetData>
    <row r="2" spans="1:7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7" x14ac:dyDescent="0.3">
      <c r="A3" s="7"/>
      <c r="B3" s="8" t="s">
        <v>47</v>
      </c>
      <c r="C3" s="8" t="s">
        <v>48</v>
      </c>
      <c r="D3" s="9" t="s">
        <v>49</v>
      </c>
      <c r="E3" s="8" t="s">
        <v>50</v>
      </c>
      <c r="F3" s="9" t="s">
        <v>51</v>
      </c>
      <c r="G3" s="9" t="s">
        <v>52</v>
      </c>
    </row>
    <row r="4" spans="1:7" x14ac:dyDescent="0.3">
      <c r="A4" s="10" t="s">
        <v>53</v>
      </c>
      <c r="B4" s="11">
        <v>50000</v>
      </c>
      <c r="C4" s="11">
        <v>27640</v>
      </c>
      <c r="D4" s="11">
        <v>22527</v>
      </c>
      <c r="E4" s="11">
        <v>15955</v>
      </c>
      <c r="F4" s="11">
        <v>6959</v>
      </c>
      <c r="G4" s="12">
        <v>0</v>
      </c>
    </row>
    <row r="5" spans="1:7" x14ac:dyDescent="0.3">
      <c r="A5" s="13" t="s">
        <v>54</v>
      </c>
      <c r="B5" s="14">
        <v>40000</v>
      </c>
      <c r="C5" s="14">
        <v>40000</v>
      </c>
      <c r="D5" s="14">
        <v>40000</v>
      </c>
      <c r="E5" s="14">
        <v>40000</v>
      </c>
      <c r="F5" s="14">
        <v>40000</v>
      </c>
      <c r="G5" s="14">
        <v>35056</v>
      </c>
    </row>
    <row r="8" spans="1:7" x14ac:dyDescent="0.3">
      <c r="A8" t="s">
        <v>11</v>
      </c>
      <c r="B8">
        <v>14000</v>
      </c>
      <c r="C8">
        <f>B8*(1+15%)</f>
        <v>16099.999999999998</v>
      </c>
      <c r="D8">
        <f t="shared" ref="D8:G8" si="0">C8*(1+15%)</f>
        <v>18514.999999999996</v>
      </c>
      <c r="E8">
        <f t="shared" si="0"/>
        <v>21292.249999999993</v>
      </c>
      <c r="F8">
        <f t="shared" si="0"/>
        <v>24486.087499999991</v>
      </c>
      <c r="G8">
        <f t="shared" si="0"/>
        <v>28159.000624999986</v>
      </c>
    </row>
    <row r="9" spans="1:7" x14ac:dyDescent="0.3">
      <c r="A9" t="s">
        <v>55</v>
      </c>
      <c r="B9">
        <f>12%*B4+15%*B5</f>
        <v>12000</v>
      </c>
      <c r="C9">
        <f t="shared" ref="C9:G9" si="1">12%*C4+15%*C5</f>
        <v>9316.7999999999993</v>
      </c>
      <c r="D9">
        <f t="shared" si="1"/>
        <v>8703.24</v>
      </c>
      <c r="E9">
        <f t="shared" si="1"/>
        <v>7914.6</v>
      </c>
      <c r="F9">
        <f t="shared" si="1"/>
        <v>6835.08</v>
      </c>
      <c r="G9">
        <f t="shared" si="1"/>
        <v>5258.4</v>
      </c>
    </row>
    <row r="10" spans="1:7" x14ac:dyDescent="0.3">
      <c r="A10" t="s">
        <v>56</v>
      </c>
      <c r="B10">
        <f>B8-B9</f>
        <v>2000</v>
      </c>
      <c r="C10">
        <f t="shared" ref="C10:G10" si="2">C8-C9</f>
        <v>6783.1999999999989</v>
      </c>
      <c r="D10">
        <f t="shared" si="2"/>
        <v>9811.7599999999966</v>
      </c>
      <c r="E10">
        <f t="shared" si="2"/>
        <v>13377.649999999992</v>
      </c>
      <c r="F10">
        <f t="shared" si="2"/>
        <v>17651.007499999992</v>
      </c>
      <c r="G10">
        <f t="shared" si="2"/>
        <v>22900.600624999985</v>
      </c>
    </row>
    <row r="11" spans="1:7" x14ac:dyDescent="0.3">
      <c r="A11" t="s">
        <v>57</v>
      </c>
      <c r="B11">
        <f>B10*32%</f>
        <v>640</v>
      </c>
      <c r="C11">
        <f t="shared" ref="C11:G11" si="3">C10*32%</f>
        <v>2170.6239999999998</v>
      </c>
      <c r="D11">
        <f t="shared" si="3"/>
        <v>3139.763199999999</v>
      </c>
      <c r="E11">
        <f t="shared" si="3"/>
        <v>4280.8479999999972</v>
      </c>
      <c r="F11">
        <f t="shared" si="3"/>
        <v>5648.3223999999973</v>
      </c>
      <c r="G11">
        <f t="shared" si="3"/>
        <v>7328.192199999995</v>
      </c>
    </row>
    <row r="12" spans="1:7" x14ac:dyDescent="0.3">
      <c r="A12" t="s">
        <v>58</v>
      </c>
      <c r="B12">
        <f>B10-B11</f>
        <v>1360</v>
      </c>
      <c r="C12">
        <f t="shared" ref="C12:G12" si="4">C10-C11</f>
        <v>4612.5759999999991</v>
      </c>
      <c r="D12">
        <f t="shared" si="4"/>
        <v>6671.9967999999972</v>
      </c>
      <c r="E12">
        <f t="shared" si="4"/>
        <v>9096.801999999996</v>
      </c>
      <c r="F12">
        <f t="shared" si="4"/>
        <v>12002.685099999995</v>
      </c>
      <c r="G12">
        <f t="shared" si="4"/>
        <v>15572.408424999991</v>
      </c>
    </row>
    <row r="14" spans="1:7" x14ac:dyDescent="0.3">
      <c r="A14" s="13" t="s">
        <v>59</v>
      </c>
      <c r="B14" s="14">
        <v>1000</v>
      </c>
      <c r="C14" s="15">
        <v>500</v>
      </c>
      <c r="D14" s="15">
        <v>-100</v>
      </c>
      <c r="E14" s="15">
        <v>-100</v>
      </c>
      <c r="F14" s="15">
        <v>-100</v>
      </c>
      <c r="G14" s="15">
        <v>-100</v>
      </c>
    </row>
    <row r="15" spans="1:7" x14ac:dyDescent="0.3">
      <c r="A15" s="13"/>
      <c r="B15" s="15"/>
      <c r="C15" s="15"/>
      <c r="D15" s="15"/>
      <c r="E15" s="15"/>
      <c r="F15" s="15"/>
      <c r="G15" s="15"/>
    </row>
    <row r="16" spans="1:7" x14ac:dyDescent="0.3">
      <c r="A16" s="13" t="s">
        <v>60</v>
      </c>
      <c r="B16" s="14">
        <v>20000</v>
      </c>
      <c r="C16" s="15"/>
      <c r="D16" s="15"/>
      <c r="E16" s="15"/>
      <c r="F16" s="15"/>
      <c r="G16" s="15"/>
    </row>
    <row r="18" spans="1:7" x14ac:dyDescent="0.3">
      <c r="A18" t="s">
        <v>61</v>
      </c>
      <c r="B18" s="16">
        <f>B12+B14+B16</f>
        <v>22360</v>
      </c>
      <c r="C18" s="16">
        <f t="shared" ref="C18:G18" si="5">C12+C14+C16</f>
        <v>5112.5759999999991</v>
      </c>
      <c r="D18" s="16">
        <f t="shared" si="5"/>
        <v>6571.9967999999972</v>
      </c>
      <c r="E18" s="16">
        <f t="shared" si="5"/>
        <v>8996.801999999996</v>
      </c>
      <c r="F18" s="16">
        <f t="shared" si="5"/>
        <v>11902.685099999995</v>
      </c>
      <c r="G18" s="16">
        <f t="shared" si="5"/>
        <v>15472.408424999991</v>
      </c>
    </row>
    <row r="19" spans="1:7" x14ac:dyDescent="0.3">
      <c r="A19" s="13" t="s">
        <v>62</v>
      </c>
      <c r="B19" s="16">
        <f>B18+B9</f>
        <v>34360</v>
      </c>
      <c r="C19" s="16">
        <f t="shared" ref="C19:G19" si="6">C18+C9</f>
        <v>14429.375999999998</v>
      </c>
      <c r="D19" s="16">
        <f t="shared" si="6"/>
        <v>15275.236799999997</v>
      </c>
      <c r="E19" s="16">
        <f t="shared" si="6"/>
        <v>16911.401999999995</v>
      </c>
      <c r="F19" s="16">
        <f t="shared" si="6"/>
        <v>18737.765099999997</v>
      </c>
      <c r="G19" s="16">
        <f t="shared" si="6"/>
        <v>20730.808424999988</v>
      </c>
    </row>
    <row r="20" spans="1:7" x14ac:dyDescent="0.3">
      <c r="A20" s="13"/>
      <c r="B20" s="16"/>
    </row>
    <row r="21" spans="1:7" x14ac:dyDescent="0.3">
      <c r="A21" s="13" t="s">
        <v>63</v>
      </c>
      <c r="B21">
        <f>B19/(1+18%)^B2</f>
        <v>29118.644067796613</v>
      </c>
      <c r="C21">
        <f t="shared" ref="C21:G21" si="7">C19/(1+18%)^C2</f>
        <v>10362.95317437518</v>
      </c>
      <c r="D21">
        <f t="shared" si="7"/>
        <v>9296.9807039668121</v>
      </c>
      <c r="E21">
        <f t="shared" si="7"/>
        <v>8722.7130148222859</v>
      </c>
      <c r="F21">
        <f t="shared" si="7"/>
        <v>8190.449816771441</v>
      </c>
      <c r="G21">
        <f t="shared" si="7"/>
        <v>7679.3452732843507</v>
      </c>
    </row>
    <row r="24" spans="1:7" x14ac:dyDescent="0.3">
      <c r="B24" s="8" t="s">
        <v>64</v>
      </c>
      <c r="C24" s="9" t="s">
        <v>65</v>
      </c>
      <c r="D24" s="17" t="s">
        <v>66</v>
      </c>
      <c r="E24" s="18"/>
    </row>
    <row r="25" spans="1:7" x14ac:dyDescent="0.3">
      <c r="A25" t="s">
        <v>67</v>
      </c>
    </row>
    <row r="26" spans="1:7" x14ac:dyDescent="0.3">
      <c r="A26" t="s">
        <v>68</v>
      </c>
      <c r="B26">
        <f>SUM($B$21:$G$21)</f>
        <v>73371.086051016668</v>
      </c>
      <c r="C26">
        <f t="shared" ref="C26:D26" si="8">SUM($B$21:$G$21)</f>
        <v>73371.086051016668</v>
      </c>
      <c r="D26">
        <f t="shared" si="8"/>
        <v>73371.086051016668</v>
      </c>
    </row>
    <row r="27" spans="1:7" x14ac:dyDescent="0.3">
      <c r="A27" t="s">
        <v>69</v>
      </c>
      <c r="B27">
        <f>$G$19*(1+B24)/((18%-B24)*(1+18%)^6)</f>
        <v>42663.029296024179</v>
      </c>
      <c r="C27">
        <f t="shared" ref="C27:D27" si="9">$G$19*(1+C24)/((18%-C24)*(1+18%)^6)</f>
        <v>62025.48105345053</v>
      </c>
      <c r="D27">
        <f t="shared" si="9"/>
        <v>105590.99750765985</v>
      </c>
    </row>
    <row r="28" spans="1:7" x14ac:dyDescent="0.3">
      <c r="A28" t="s">
        <v>70</v>
      </c>
      <c r="B28">
        <f>B26+B27</f>
        <v>116034.11534704085</v>
      </c>
      <c r="C28">
        <f t="shared" ref="C28:D28" si="10">C26+C27</f>
        <v>135396.56710446719</v>
      </c>
      <c r="D28">
        <f t="shared" si="10"/>
        <v>178962.08355867653</v>
      </c>
    </row>
    <row r="30" spans="1:7" x14ac:dyDescent="0.3">
      <c r="A30" t="s">
        <v>71</v>
      </c>
      <c r="B30">
        <f>90000</f>
        <v>90000</v>
      </c>
      <c r="C30">
        <f t="shared" ref="C30:D30" si="11">90000</f>
        <v>90000</v>
      </c>
      <c r="D30">
        <f t="shared" si="11"/>
        <v>90000</v>
      </c>
    </row>
    <row r="31" spans="1:7" x14ac:dyDescent="0.3">
      <c r="A31" t="s">
        <v>72</v>
      </c>
      <c r="B31">
        <f>B28-B30</f>
        <v>26034.115347040846</v>
      </c>
      <c r="C31">
        <f t="shared" ref="C31:D31" si="12">C28-C30</f>
        <v>45396.567104467191</v>
      </c>
      <c r="D31">
        <f t="shared" si="12"/>
        <v>88962.083558676532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75CB-42C5-4BCA-B7A2-2CD3827D3777}">
  <dimension ref="A3:I37"/>
  <sheetViews>
    <sheetView zoomScale="70" zoomScaleNormal="70" workbookViewId="0">
      <selection activeCell="B38" sqref="B38"/>
    </sheetView>
  </sheetViews>
  <sheetFormatPr defaultRowHeight="14.4" x14ac:dyDescent="0.3"/>
  <cols>
    <col min="2" max="3" width="10" bestFit="1" customWidth="1"/>
  </cols>
  <sheetData>
    <row r="3" spans="1:9" x14ac:dyDescent="0.3">
      <c r="H3" t="s">
        <v>76</v>
      </c>
      <c r="I3">
        <v>1</v>
      </c>
    </row>
    <row r="4" spans="1:9" x14ac:dyDescent="0.3">
      <c r="B4" s="19" t="s">
        <v>73</v>
      </c>
      <c r="C4" s="19" t="s">
        <v>47</v>
      </c>
      <c r="D4" s="19" t="s">
        <v>48</v>
      </c>
      <c r="E4" s="19" t="s">
        <v>49</v>
      </c>
      <c r="H4" s="21" t="s">
        <v>77</v>
      </c>
      <c r="I4" s="1">
        <v>0.1</v>
      </c>
    </row>
    <row r="5" spans="1:9" x14ac:dyDescent="0.3">
      <c r="A5" t="s">
        <v>74</v>
      </c>
      <c r="B5" s="20">
        <v>0.9</v>
      </c>
      <c r="C5" s="20">
        <v>0.7</v>
      </c>
      <c r="D5" s="20">
        <v>0.5</v>
      </c>
      <c r="E5" s="20">
        <v>0.3</v>
      </c>
      <c r="H5" t="s">
        <v>78</v>
      </c>
      <c r="I5">
        <v>0.25</v>
      </c>
    </row>
    <row r="6" spans="1:9" x14ac:dyDescent="0.3">
      <c r="A6" t="s">
        <v>75</v>
      </c>
      <c r="B6" s="6">
        <f>$I$4+$I$5*$I$6</f>
        <v>0.12000000000000001</v>
      </c>
      <c r="C6" s="6">
        <f t="shared" ref="C6:E6" si="0">$I$4+$I$5*$I$6</f>
        <v>0.12000000000000001</v>
      </c>
      <c r="D6" s="6">
        <f t="shared" si="0"/>
        <v>0.12000000000000001</v>
      </c>
      <c r="E6" s="6">
        <f t="shared" si="0"/>
        <v>0.12000000000000001</v>
      </c>
      <c r="H6" t="s">
        <v>79</v>
      </c>
      <c r="I6" s="1">
        <v>0.08</v>
      </c>
    </row>
    <row r="7" spans="1:9" x14ac:dyDescent="0.3">
      <c r="A7" t="s">
        <v>81</v>
      </c>
      <c r="B7" s="22">
        <f>B6*(1-$I$7)</f>
        <v>8.0399999999999999E-2</v>
      </c>
      <c r="C7" s="22">
        <f t="shared" ref="C7:E7" si="1">C6*(1-$I$7)</f>
        <v>8.0399999999999999E-2</v>
      </c>
      <c r="D7" s="22">
        <f t="shared" si="1"/>
        <v>8.0399999999999999E-2</v>
      </c>
      <c r="E7" s="22">
        <f t="shared" si="1"/>
        <v>8.0399999999999999E-2</v>
      </c>
      <c r="H7" t="s">
        <v>80</v>
      </c>
      <c r="I7" s="1">
        <v>0.33</v>
      </c>
    </row>
    <row r="10" spans="1:9" x14ac:dyDescent="0.3">
      <c r="A10" t="s">
        <v>82</v>
      </c>
      <c r="B10" s="23">
        <f>100%-B5</f>
        <v>9.9999999999999978E-2</v>
      </c>
      <c r="C10" s="23">
        <f t="shared" ref="C10:E10" si="2">100%-C5</f>
        <v>0.30000000000000004</v>
      </c>
      <c r="D10" s="23">
        <f t="shared" si="2"/>
        <v>0.5</v>
      </c>
      <c r="E10" s="23">
        <f t="shared" si="2"/>
        <v>0.7</v>
      </c>
    </row>
    <row r="11" spans="1:9" x14ac:dyDescent="0.3">
      <c r="A11" t="s">
        <v>37</v>
      </c>
      <c r="B11">
        <f>($I$3-$I$5*B5)/B10</f>
        <v>7.7500000000000018</v>
      </c>
      <c r="C11">
        <f t="shared" ref="C11:E11" si="3">($I$3-$I$5*C5)/C10</f>
        <v>2.7499999999999996</v>
      </c>
      <c r="D11">
        <f t="shared" si="3"/>
        <v>1.75</v>
      </c>
      <c r="E11">
        <f t="shared" si="3"/>
        <v>1.3214285714285716</v>
      </c>
    </row>
    <row r="12" spans="1:9" x14ac:dyDescent="0.3">
      <c r="A12" t="s">
        <v>75</v>
      </c>
      <c r="B12" s="6">
        <f>$I$4+$I$6*B11</f>
        <v>0.72000000000000008</v>
      </c>
      <c r="C12" s="6">
        <f t="shared" ref="C12:E12" si="4">$I$4+$I$6*C11</f>
        <v>0.31999999999999995</v>
      </c>
      <c r="D12" s="6">
        <f t="shared" si="4"/>
        <v>0.24000000000000002</v>
      </c>
      <c r="E12" s="6">
        <f t="shared" si="4"/>
        <v>0.20571428571428574</v>
      </c>
    </row>
    <row r="14" spans="1:9" x14ac:dyDescent="0.3">
      <c r="A14" t="s">
        <v>83</v>
      </c>
      <c r="B14" s="6">
        <f>B7*B5+B12*B10</f>
        <v>0.14435999999999999</v>
      </c>
      <c r="C14" s="6">
        <f t="shared" ref="C14:E14" si="5">C7*C5+C12*C10</f>
        <v>0.15228</v>
      </c>
      <c r="D14" s="6">
        <f t="shared" si="5"/>
        <v>0.16020000000000001</v>
      </c>
      <c r="E14" s="6">
        <f t="shared" si="5"/>
        <v>0.16812000000000002</v>
      </c>
    </row>
    <row r="15" spans="1:9" x14ac:dyDescent="0.3">
      <c r="A15" t="s">
        <v>84</v>
      </c>
      <c r="B15" s="6">
        <f>B6*B5+B12*B10</f>
        <v>0.18</v>
      </c>
      <c r="C15" s="6">
        <f t="shared" ref="C15:E15" si="6">C6*C5+C12*C10</f>
        <v>0.18</v>
      </c>
      <c r="D15" s="6">
        <f t="shared" si="6"/>
        <v>0.18000000000000002</v>
      </c>
      <c r="E15" s="6">
        <f t="shared" si="6"/>
        <v>0.18000000000000002</v>
      </c>
    </row>
    <row r="19" spans="1:5" x14ac:dyDescent="0.3">
      <c r="A19" t="s">
        <v>85</v>
      </c>
    </row>
    <row r="20" spans="1:5" x14ac:dyDescent="0.3">
      <c r="A20" t="s">
        <v>86</v>
      </c>
      <c r="B20" s="24">
        <v>-100</v>
      </c>
      <c r="C20" s="24">
        <v>30</v>
      </c>
      <c r="D20" s="24">
        <v>30</v>
      </c>
      <c r="E20" s="24">
        <v>130</v>
      </c>
    </row>
    <row r="21" spans="1:5" x14ac:dyDescent="0.3">
      <c r="A21" t="s">
        <v>83</v>
      </c>
      <c r="B21" s="6">
        <f>B14</f>
        <v>0.14435999999999999</v>
      </c>
      <c r="C21" s="6">
        <f>C14</f>
        <v>0.15228</v>
      </c>
      <c r="D21" s="6">
        <f>D14</f>
        <v>0.16020000000000001</v>
      </c>
      <c r="E21" s="6">
        <f>E14</f>
        <v>0.16812000000000002</v>
      </c>
    </row>
    <row r="22" spans="1:5" x14ac:dyDescent="0.3">
      <c r="A22" t="s">
        <v>87</v>
      </c>
      <c r="C22">
        <f>1/(1+B21)</f>
        <v>0.87385088608479844</v>
      </c>
      <c r="D22">
        <f>C22*(1/(1+C21))</f>
        <v>0.75836679113132099</v>
      </c>
      <c r="E22">
        <f>D22*(1/(1+D21))</f>
        <v>0.65365177653104711</v>
      </c>
    </row>
    <row r="23" spans="1:5" x14ac:dyDescent="0.3">
      <c r="A23" t="s">
        <v>88</v>
      </c>
      <c r="B23">
        <f>B20</f>
        <v>-100</v>
      </c>
      <c r="C23">
        <f>C20*C22</f>
        <v>26.215526582543951</v>
      </c>
      <c r="D23">
        <f t="shared" ref="D23:E23" si="7">D20*D22</f>
        <v>22.75100373393963</v>
      </c>
      <c r="E23">
        <f t="shared" si="7"/>
        <v>84.974730949036129</v>
      </c>
    </row>
    <row r="24" spans="1:5" x14ac:dyDescent="0.3">
      <c r="A24" t="s">
        <v>89</v>
      </c>
      <c r="B24">
        <f>SUM(B23:E23)</f>
        <v>33.941261265519714</v>
      </c>
    </row>
    <row r="26" spans="1:5" x14ac:dyDescent="0.3">
      <c r="A26" t="s">
        <v>90</v>
      </c>
      <c r="B26">
        <f>SUM(C23:E23)</f>
        <v>133.9412612655197</v>
      </c>
      <c r="C26">
        <f>(D20/(1+D21))+(E20/((1+E21)*(1+D21)))</f>
        <v>121.78067226812877</v>
      </c>
      <c r="D26">
        <f>(E20/(1+E21))+(F20/((1+F21)*(1+E21)))</f>
        <v>111.289935965483</v>
      </c>
      <c r="E26">
        <f>(F20/(1+F21))+(G20/((1+G21)*(1+F21)))</f>
        <v>0</v>
      </c>
    </row>
    <row r="27" spans="1:5" x14ac:dyDescent="0.3">
      <c r="A27" t="s">
        <v>91</v>
      </c>
      <c r="B27">
        <f>B26*B5</f>
        <v>120.54713513896773</v>
      </c>
      <c r="C27">
        <f t="shared" ref="C27:E27" si="8">C26*C5</f>
        <v>85.246470587690126</v>
      </c>
      <c r="D27">
        <f t="shared" si="8"/>
        <v>55.644967982741498</v>
      </c>
      <c r="E27">
        <f t="shared" si="8"/>
        <v>0</v>
      </c>
    </row>
    <row r="29" spans="1:5" x14ac:dyDescent="0.3">
      <c r="A29" t="s">
        <v>92</v>
      </c>
      <c r="B29" s="25">
        <v>0</v>
      </c>
      <c r="C29" s="25">
        <v>14.5</v>
      </c>
      <c r="D29" s="25">
        <v>10.4</v>
      </c>
      <c r="E29" s="25">
        <v>6.7</v>
      </c>
    </row>
    <row r="30" spans="1:5" x14ac:dyDescent="0.3">
      <c r="A30" t="s">
        <v>93</v>
      </c>
      <c r="B30">
        <f>B29*($I$7)</f>
        <v>0</v>
      </c>
      <c r="C30">
        <f t="shared" ref="C30:E30" si="9">C29*($I$7)</f>
        <v>4.7850000000000001</v>
      </c>
      <c r="D30">
        <f t="shared" si="9"/>
        <v>3.4320000000000004</v>
      </c>
      <c r="E30">
        <f t="shared" si="9"/>
        <v>2.2110000000000003</v>
      </c>
    </row>
    <row r="32" spans="1:5" x14ac:dyDescent="0.3">
      <c r="A32" t="s">
        <v>94</v>
      </c>
      <c r="B32">
        <f>B20+B30</f>
        <v>-100</v>
      </c>
      <c r="C32">
        <f t="shared" ref="C32:E32" si="10">C20+C30</f>
        <v>34.784999999999997</v>
      </c>
      <c r="D32">
        <f t="shared" si="10"/>
        <v>33.432000000000002</v>
      </c>
      <c r="E32">
        <f t="shared" si="10"/>
        <v>132.21100000000001</v>
      </c>
    </row>
    <row r="33" spans="1:5" x14ac:dyDescent="0.3">
      <c r="B33">
        <v>0</v>
      </c>
      <c r="C33">
        <v>1</v>
      </c>
      <c r="D33">
        <v>2</v>
      </c>
      <c r="E33">
        <v>3</v>
      </c>
    </row>
    <row r="34" spans="1:5" x14ac:dyDescent="0.3">
      <c r="A34" t="s">
        <v>95</v>
      </c>
      <c r="B34" s="6">
        <f>B15</f>
        <v>0.18</v>
      </c>
      <c r="C34" s="6">
        <f t="shared" ref="C34:E34" si="11">C15</f>
        <v>0.18</v>
      </c>
      <c r="D34" s="6">
        <f t="shared" si="11"/>
        <v>0.18000000000000002</v>
      </c>
      <c r="E34" s="6">
        <f t="shared" si="11"/>
        <v>0.18000000000000002</v>
      </c>
    </row>
    <row r="35" spans="1:5" x14ac:dyDescent="0.3">
      <c r="A35" t="s">
        <v>96</v>
      </c>
      <c r="B35">
        <f>1/(1+B34)^B33</f>
        <v>1</v>
      </c>
      <c r="C35">
        <f t="shared" ref="C35:E35" si="12">1/(1+C34)^C33</f>
        <v>0.84745762711864414</v>
      </c>
      <c r="D35">
        <f t="shared" si="12"/>
        <v>0.71818442976156283</v>
      </c>
      <c r="E35">
        <f t="shared" si="12"/>
        <v>0.6086308726792905</v>
      </c>
    </row>
    <row r="36" spans="1:5" x14ac:dyDescent="0.3">
      <c r="A36" t="s">
        <v>97</v>
      </c>
      <c r="B36">
        <f>B32*B35</f>
        <v>-100</v>
      </c>
      <c r="C36">
        <f t="shared" ref="C36:E36" si="13">C32*C35</f>
        <v>29.478813559322035</v>
      </c>
      <c r="D36">
        <f t="shared" si="13"/>
        <v>24.010341855788571</v>
      </c>
      <c r="E36">
        <f t="shared" si="13"/>
        <v>80.467696307801688</v>
      </c>
    </row>
    <row r="37" spans="1:5" x14ac:dyDescent="0.3">
      <c r="A37" t="s">
        <v>89</v>
      </c>
      <c r="B37">
        <f>SUM(B36:E36)</f>
        <v>33.95685172291229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ECF_Q9</vt:lpstr>
      <vt:lpstr>FCFF_Q6</vt:lpstr>
      <vt:lpstr>CCF2_Q8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Adhnan</dc:creator>
  <cp:lastModifiedBy>Mohamed Adhnan</cp:lastModifiedBy>
  <dcterms:created xsi:type="dcterms:W3CDTF">2023-04-27T12:32:47Z</dcterms:created>
  <dcterms:modified xsi:type="dcterms:W3CDTF">2023-04-30T09:00:31Z</dcterms:modified>
</cp:coreProperties>
</file>