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hna\Downloads\"/>
    </mc:Choice>
  </mc:AlternateContent>
  <xr:revisionPtr revIDLastSave="0" documentId="13_ncr:1_{701372B9-E5FD-411D-A4B4-6F1BA205B841}" xr6:coauthVersionLast="36" xr6:coauthVersionMax="47" xr10:uidLastSave="{00000000-0000-0000-0000-000000000000}"/>
  <bookViews>
    <workbookView minimized="1" xWindow="0" yWindow="0" windowWidth="7476" windowHeight="1584" activeTab="5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4" i="2" l="1"/>
  <c r="K7" i="4"/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J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F24" i="2" s="1"/>
  <c r="E5" i="2"/>
  <c r="F4" i="2"/>
  <c r="G4" i="2"/>
  <c r="H4" i="2"/>
  <c r="I4" i="2"/>
  <c r="I5" i="2"/>
  <c r="J4" i="2"/>
  <c r="J5" i="2"/>
  <c r="K4" i="2"/>
  <c r="C5" i="2"/>
  <c r="D5" i="2"/>
  <c r="F5" i="2"/>
  <c r="G5" i="2"/>
  <c r="H5" i="2"/>
  <c r="H23" i="2" s="1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H16" i="2" s="1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K16" i="2" s="1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C4" i="3"/>
  <c r="C14" i="3" s="1"/>
  <c r="D4" i="3"/>
  <c r="D14" i="3" s="1"/>
  <c r="E4" i="3"/>
  <c r="F4" i="3"/>
  <c r="G4" i="3"/>
  <c r="H4" i="3"/>
  <c r="I4" i="3"/>
  <c r="J4" i="3"/>
  <c r="L4" i="1" s="1"/>
  <c r="L23" i="1" s="1"/>
  <c r="K4" i="3"/>
  <c r="K14" i="3" s="1"/>
  <c r="C5" i="3"/>
  <c r="D5" i="3"/>
  <c r="E5" i="3"/>
  <c r="F5" i="3"/>
  <c r="G5" i="3"/>
  <c r="H5" i="3"/>
  <c r="I5" i="3"/>
  <c r="L5" i="1" s="1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G6" i="1" s="1"/>
  <c r="G19" i="1" s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D12" i="1"/>
  <c r="E12" i="1"/>
  <c r="F12" i="1"/>
  <c r="F13" i="1" s="1"/>
  <c r="F14" i="1" s="1"/>
  <c r="G12" i="1"/>
  <c r="G13" i="1" s="1"/>
  <c r="G14" i="1" s="1"/>
  <c r="H12" i="1"/>
  <c r="I12" i="1"/>
  <c r="I13" i="1" s="1"/>
  <c r="J12" i="1"/>
  <c r="K12" i="1"/>
  <c r="K13" i="1" s="1"/>
  <c r="K14" i="1" s="1"/>
  <c r="C15" i="1"/>
  <c r="D15" i="1"/>
  <c r="E15" i="1"/>
  <c r="F15" i="1"/>
  <c r="G15" i="1"/>
  <c r="H15" i="1"/>
  <c r="I15" i="1"/>
  <c r="J15" i="1"/>
  <c r="J14" i="1" s="1"/>
  <c r="K15" i="1"/>
  <c r="B15" i="1"/>
  <c r="H13" i="1"/>
  <c r="B7" i="1"/>
  <c r="B4" i="1"/>
  <c r="B20" i="2" s="1"/>
  <c r="A1" i="1"/>
  <c r="E1" i="6"/>
  <c r="H1" i="1" s="1"/>
  <c r="E1" i="2"/>
  <c r="E1" i="3"/>
  <c r="D16" i="2"/>
  <c r="F23" i="2"/>
  <c r="C16" i="2"/>
  <c r="G23" i="2"/>
  <c r="F16" i="2"/>
  <c r="E6" i="1"/>
  <c r="E19" i="1"/>
  <c r="D23" i="2"/>
  <c r="I6" i="1"/>
  <c r="I19" i="1" s="1"/>
  <c r="J6" i="1"/>
  <c r="J19" i="1"/>
  <c r="K6" i="1"/>
  <c r="K19" i="1" s="1"/>
  <c r="C6" i="1"/>
  <c r="C19" i="1"/>
  <c r="D6" i="1"/>
  <c r="D19" i="1" s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 s="1"/>
  <c r="B13" i="2"/>
  <c r="B16" i="2" s="1"/>
  <c r="B12" i="2"/>
  <c r="B11" i="2"/>
  <c r="B10" i="2"/>
  <c r="B8" i="2"/>
  <c r="B7" i="2"/>
  <c r="B6" i="2"/>
  <c r="B3" i="2"/>
  <c r="H14" i="3"/>
  <c r="F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I14" i="3"/>
  <c r="G14" i="3"/>
  <c r="K20" i="2"/>
  <c r="D20" i="2"/>
  <c r="J20" i="2"/>
  <c r="C20" i="2"/>
  <c r="E20" i="2"/>
  <c r="L12" i="1"/>
  <c r="L13" i="1" s="1"/>
  <c r="L14" i="1" s="1"/>
  <c r="L25" i="1" s="1"/>
  <c r="L11" i="1"/>
  <c r="L10" i="1"/>
  <c r="N11" i="1" s="1"/>
  <c r="L6" i="1"/>
  <c r="A1" i="3"/>
  <c r="A1" i="2"/>
  <c r="A1" i="4" s="1"/>
  <c r="H23" i="1"/>
  <c r="I23" i="1"/>
  <c r="J23" i="1"/>
  <c r="C14" i="1" l="1"/>
  <c r="G20" i="2"/>
  <c r="J14" i="3"/>
  <c r="G16" i="2"/>
  <c r="E24" i="2"/>
  <c r="C23" i="2"/>
  <c r="E14" i="1"/>
  <c r="J24" i="2"/>
  <c r="D24" i="2"/>
  <c r="M11" i="1"/>
  <c r="D14" i="1"/>
  <c r="I24" i="2"/>
  <c r="I23" i="2"/>
  <c r="K23" i="2"/>
  <c r="I14" i="1"/>
  <c r="K25" i="1" s="1"/>
  <c r="M25" i="1" s="1"/>
  <c r="M14" i="1" s="1"/>
  <c r="C24" i="2"/>
  <c r="H24" i="2"/>
  <c r="L19" i="1"/>
  <c r="L24" i="1" s="1"/>
  <c r="B23" i="2"/>
  <c r="H14" i="1"/>
  <c r="G24" i="2"/>
  <c r="D13" i="1"/>
  <c r="E13" i="1" s="1"/>
  <c r="K24" i="1"/>
  <c r="M24" i="1" s="1"/>
  <c r="L7" i="1"/>
  <c r="J23" i="2"/>
  <c r="E23" i="2"/>
  <c r="B14" i="1"/>
  <c r="I16" i="2"/>
  <c r="J25" i="1"/>
  <c r="M9" i="1"/>
  <c r="N9" i="1"/>
  <c r="N8" i="1"/>
  <c r="M8" i="1"/>
  <c r="H25" i="1"/>
  <c r="N25" i="1" s="1"/>
  <c r="N14" i="1" s="1"/>
  <c r="I25" i="1"/>
  <c r="I20" i="2"/>
  <c r="H20" i="2"/>
  <c r="K23" i="1"/>
  <c r="M23" i="1" s="1"/>
  <c r="M4" i="1" s="1"/>
  <c r="H6" i="1"/>
  <c r="H19" i="1" s="1"/>
  <c r="J24" i="1" s="1"/>
  <c r="F6" i="1"/>
  <c r="F19" i="1" s="1"/>
  <c r="H24" i="1" s="1"/>
  <c r="E1" i="4"/>
  <c r="N23" i="1" l="1"/>
  <c r="N4" i="1" s="1"/>
  <c r="I24" i="1"/>
  <c r="N24" i="1" s="1"/>
  <c r="M6" i="1"/>
  <c r="M10" i="1" s="1"/>
  <c r="M12" i="1" s="1"/>
  <c r="M13" i="1" s="1"/>
  <c r="M15" i="1" s="1"/>
  <c r="N6" i="1" l="1"/>
  <c r="N10" i="1" s="1"/>
  <c r="N12" i="1" s="1"/>
  <c r="N13" i="1" s="1"/>
  <c r="N15" i="1" s="1"/>
  <c r="M5" i="1"/>
  <c r="N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<sst xmlns="http://schemas.openxmlformats.org/spreadsheetml/2006/main" count="145" uniqueCount="93">
  <si>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</si>
  <si>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</si>
  <si>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</si>
  <si>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</si>
  <si>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</si>
  <si>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</si>
  <si>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</si>
  <si>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</si>
  <si>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</si>
  <si>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</si>
  <si>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</si>
  <si>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</si>
  <si>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</si>
  <si>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</si>
  <si>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</si>
  <si>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</si>
  <si>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</si>
  <si>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</si>
  <si>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</si>
  <si>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</si>
  <si>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</si>
  <si>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</si>
  <si>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</si>
  <si>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</si>
  <si>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</si>
  <si>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</si>
  <si>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</si>
  <si>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</si>
  <si>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</si>
  <si>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</si>
  <si>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</si>
  <si>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</si>
  <si>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</si>
  <si>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</si>
  <si>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</si>
  <si>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</si>
  <si>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</si>
  <si>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</si>
  <si>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</si>
  <si>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</si>
  <si>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</si>
  <si>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</si>
  <si>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</si>
  <si>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</si>
  <si>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</si>
  <si>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</si>
  <si>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</si>
  <si>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</si>
  <si>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</si>
  <si>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</si>
  <si>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</si>
  <si>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</si>
  <si>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</si>
  <si>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</si>
  <si>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</si>
  <si>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</si>
  <si>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</si>
  <si>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</si>
  <si>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</si>
  <si>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</si>
  <si>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</si>
  <si>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</si>
  <si>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</si>
  <si>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MARUTI SUZUKI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</si>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</sst>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43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43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43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43" fontId="0" fillId="0" borderId="0" xfId="1" applyNumberFormat="1" applyFont="1" applyBorder="1" applyAlignment="1">
      <alignment horizontal="center"/>
    </xf>
    <xf numFmtId="43" fontId="1" fillId="0" borderId="0" xfId="1" applyNumberFormat="1" applyFont="1" applyBorder="1" applyAlignment="1">
      <alignment horizontal="center"/>
    </xf>
    <xf numFmtId="43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164" fontId="0" fillId="0" borderId="0" xfId="1" applyNumberFormat="1" applyFont="1" applyBorder="1"/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style="6" customWidth="1"/>
    <col min="2" max="6" width="13.44140625" style="6" customWidth="1"/>
    <col min="7" max="7" width="14.77734375" style="6" bestFit="1" customWidth="1"/>
    <col min="8" max="11" width="13.44140625" style="6" customWidth="1"/>
    <col min="12" max="12" width="13.33203125" style="6" customWidth="1"/>
    <col min="13" max="14" width="12.109375" style="6" customWidth="1"/>
    <col min="15" max="16384" width="8.77734375" style="6"/>
  </cols>
  <sheetData>
    <row r="1" spans="1:14" s="8" customFormat="1" x14ac:dyDescent="0.3">
      <c r="A1" s="8" t="str">
        <f>'Data Sheet'!B1</f>
        <v>MARUTI SUZUKI INDIA LTD</v>
      </c>
      <c r="H1" t="str">
        <f>UPDATE</f>
        <v/>
      </c>
      <c r="J1" s="3"/>
      <c r="K1" s="3"/>
      <c r="M1" s="8" t="s">
        <v>1</v>
      </c>
    </row>
    <row r="3" spans="1:14" s="2" customFormat="1" x14ac:dyDescent="0.3">
      <c r="A3" s="15" t="s">
        <v>2</v>
      </c>
      <c r="B3" s="16">
        <f>'Data Sheet'!B16</f>
        <v>41364</v>
      </c>
      <c r="C3" s="16">
        <f>'Data Sheet'!C16</f>
        <v>41729</v>
      </c>
      <c r="D3" s="16">
        <f>'Data Sheet'!D16</f>
        <v>42094</v>
      </c>
      <c r="E3" s="16">
        <f>'Data Sheet'!E16</f>
        <v>42460</v>
      </c>
      <c r="F3" s="16">
        <f>'Data Sheet'!F16</f>
        <v>42825</v>
      </c>
      <c r="G3" s="16">
        <f>'Data Sheet'!G16</f>
        <v>43190</v>
      </c>
      <c r="H3" s="16">
        <f>'Data Sheet'!H16</f>
        <v>43555</v>
      </c>
      <c r="I3" s="16">
        <f>'Data Sheet'!I16</f>
        <v>43921</v>
      </c>
      <c r="J3" s="16">
        <f>'Data Sheet'!J16</f>
        <v>44286</v>
      </c>
      <c r="K3" s="16">
        <f>'Data Sheet'!K16</f>
        <v>44651</v>
      </c>
      <c r="L3" s="17" t="s">
        <v>3</v>
      </c>
      <c r="M3" s="17" t="s">
        <v>4</v>
      </c>
      <c r="N3" s="17" t="s">
        <v>5</v>
      </c>
    </row>
    <row r="4" spans="1:14" s="8" customFormat="1" x14ac:dyDescent="0.3">
      <c r="A4" s="8" t="s">
        <v>6</v>
      </c>
      <c r="B4" s="1">
        <f>'Data Sheet'!B17</f>
        <v>44304.4</v>
      </c>
      <c r="C4" s="1">
        <f>'Data Sheet'!C17</f>
        <v>44541.8</v>
      </c>
      <c r="D4" s="1">
        <f>'Data Sheet'!D17</f>
        <v>50801.4</v>
      </c>
      <c r="E4" s="1">
        <f>'Data Sheet'!E17</f>
        <v>57589</v>
      </c>
      <c r="F4" s="1">
        <f>'Data Sheet'!F17</f>
        <v>68085</v>
      </c>
      <c r="G4" s="1">
        <f>'Data Sheet'!G17</f>
        <v>79809.399999999994</v>
      </c>
      <c r="H4" s="1">
        <f>'Data Sheet'!H17</f>
        <v>86068.5</v>
      </c>
      <c r="I4" s="1">
        <f>'Data Sheet'!I17</f>
        <v>75660</v>
      </c>
      <c r="J4" s="1">
        <f>'Data Sheet'!J17</f>
        <v>70372</v>
      </c>
      <c r="K4" s="1">
        <f>'Data Sheet'!K17</f>
        <v>88329.8</v>
      </c>
      <c r="L4" s="1">
        <f>SUM(Quarters!H4:K4)</f>
        <v>112260.9</v>
      </c>
      <c r="M4" s="1">
        <f>$K4+M23*K4</f>
        <v>112260.9</v>
      </c>
      <c r="N4" s="1">
        <f>$K4+N23*L4</f>
        <v>89304.466541027781</v>
      </c>
    </row>
    <row r="5" spans="1:14" x14ac:dyDescent="0.3">
      <c r="A5" s="6" t="s">
        <v>7</v>
      </c>
      <c r="B5" s="9">
        <f>SUM('Data Sheet'!B18,'Data Sheet'!B20:B24, -1*'Data Sheet'!B19)</f>
        <v>39943.699999999997</v>
      </c>
      <c r="C5" s="9">
        <f>SUM('Data Sheet'!C18,'Data Sheet'!C20:C24, -1*'Data Sheet'!C19)</f>
        <v>39231.900000000009</v>
      </c>
      <c r="D5" s="9">
        <f>SUM('Data Sheet'!D18,'Data Sheet'!D20:D24, -1*'Data Sheet'!D19)</f>
        <v>43909</v>
      </c>
      <c r="E5" s="9">
        <f>SUM('Data Sheet'!E18,'Data Sheet'!E20:E24, -1*'Data Sheet'!E19)</f>
        <v>48564.900000000009</v>
      </c>
      <c r="F5" s="9">
        <f>SUM('Data Sheet'!F18,'Data Sheet'!F20:F24, -1*'Data Sheet'!F19)</f>
        <v>57663.700000000004</v>
      </c>
      <c r="G5" s="9">
        <f>SUM('Data Sheet'!G18,'Data Sheet'!G20:G24, -1*'Data Sheet'!G19)</f>
        <v>67691.5</v>
      </c>
      <c r="H5" s="9">
        <f>SUM('Data Sheet'!H18,'Data Sheet'!H20:H24, -1*'Data Sheet'!H19)</f>
        <v>75012.2</v>
      </c>
      <c r="I5" s="9">
        <f>SUM('Data Sheet'!I18,'Data Sheet'!I20:I24, -1*'Data Sheet'!I19)</f>
        <v>68305</v>
      </c>
      <c r="J5" s="9">
        <f>SUM('Data Sheet'!J18,'Data Sheet'!J20:J24, -1*'Data Sheet'!J19)</f>
        <v>64961.4</v>
      </c>
      <c r="K5" s="9">
        <f>SUM('Data Sheet'!K18,'Data Sheet'!K20:K24, -1*'Data Sheet'!K19)</f>
        <v>82577.799999999988</v>
      </c>
      <c r="L5" s="9">
        <f>SUM(Quarters!H5:K5)</f>
        <v>102309.1</v>
      </c>
      <c r="M5" s="9">
        <f t="shared" ref="M5:N5" si="0">M4-M6</f>
        <v>102309.09999999999</v>
      </c>
      <c r="N5" s="9">
        <f t="shared" si="0"/>
        <v>82248.263739973438</v>
      </c>
    </row>
    <row r="6" spans="1:14" s="8" customFormat="1" x14ac:dyDescent="0.3">
      <c r="A6" s="8" t="s">
        <v>8</v>
      </c>
      <c r="B6" s="1">
        <f>B4-B5</f>
        <v>4360.7000000000044</v>
      </c>
      <c r="C6" s="1">
        <f t="shared" ref="C6:K6" si="1">C4-C5</f>
        <v>5309.8999999999942</v>
      </c>
      <c r="D6" s="1">
        <f t="shared" si="1"/>
        <v>6892.4000000000015</v>
      </c>
      <c r="E6" s="1">
        <f t="shared" si="1"/>
        <v>9024.0999999999913</v>
      </c>
      <c r="F6" s="1">
        <f t="shared" si="1"/>
        <v>10421.299999999996</v>
      </c>
      <c r="G6" s="1">
        <f t="shared" si="1"/>
        <v>12117.899999999994</v>
      </c>
      <c r="H6" s="1">
        <f t="shared" si="1"/>
        <v>11056.300000000003</v>
      </c>
      <c r="I6" s="1">
        <f t="shared" si="1"/>
        <v>7355</v>
      </c>
      <c r="J6" s="1">
        <f t="shared" si="1"/>
        <v>5410.5999999999985</v>
      </c>
      <c r="K6" s="1">
        <f t="shared" si="1"/>
        <v>5752.0000000000146</v>
      </c>
      <c r="L6" s="1">
        <f>SUM(Quarters!H6:K6)</f>
        <v>9951.7999999999993</v>
      </c>
      <c r="M6" s="1">
        <f>M4*M24</f>
        <v>9951.7999999999993</v>
      </c>
      <c r="N6" s="1">
        <f>N4*N24</f>
        <v>7056.2028010543409</v>
      </c>
    </row>
    <row r="7" spans="1:14" x14ac:dyDescent="0.3">
      <c r="A7" s="6" t="s">
        <v>9</v>
      </c>
      <c r="B7" s="9">
        <f>'Data Sheet'!B25</f>
        <v>796.9</v>
      </c>
      <c r="C7" s="9">
        <f>'Data Sheet'!C25</f>
        <v>724.4</v>
      </c>
      <c r="D7" s="9">
        <f>'Data Sheet'!D25</f>
        <v>816.7</v>
      </c>
      <c r="E7" s="9">
        <f>'Data Sheet'!E25</f>
        <v>1464.1</v>
      </c>
      <c r="F7" s="9">
        <f>'Data Sheet'!F25</f>
        <v>2399.1999999999998</v>
      </c>
      <c r="G7" s="9">
        <f>'Data Sheet'!G25</f>
        <v>2154.6</v>
      </c>
      <c r="H7" s="9">
        <f>'Data Sheet'!H25</f>
        <v>2664.2</v>
      </c>
      <c r="I7" s="9">
        <f>'Data Sheet'!I25</f>
        <v>3410.4</v>
      </c>
      <c r="J7" s="9">
        <f>'Data Sheet'!J25</f>
        <v>3046.3</v>
      </c>
      <c r="K7" s="9">
        <f>'Data Sheet'!K25</f>
        <v>1860.8</v>
      </c>
      <c r="L7" s="9">
        <f>SUM(Quarters!H7:K7)</f>
        <v>2184.6999999999998</v>
      </c>
      <c r="M7" s="9">
        <v>0</v>
      </c>
      <c r="N7" s="9">
        <v>0</v>
      </c>
    </row>
    <row r="8" spans="1:14" x14ac:dyDescent="0.3">
      <c r="A8" s="6" t="s">
        <v>10</v>
      </c>
      <c r="B8" s="9">
        <f>'Data Sheet'!B26</f>
        <v>1889.7</v>
      </c>
      <c r="C8" s="9">
        <f>'Data Sheet'!C26</f>
        <v>2116</v>
      </c>
      <c r="D8" s="9">
        <f>'Data Sheet'!D26</f>
        <v>2515.3000000000002</v>
      </c>
      <c r="E8" s="9">
        <f>'Data Sheet'!E26</f>
        <v>2821.8</v>
      </c>
      <c r="F8" s="9">
        <f>'Data Sheet'!F26</f>
        <v>2603.9</v>
      </c>
      <c r="G8" s="9">
        <f>'Data Sheet'!G26</f>
        <v>2759.8</v>
      </c>
      <c r="H8" s="9">
        <f>'Data Sheet'!H26</f>
        <v>3020.8</v>
      </c>
      <c r="I8" s="9">
        <f>'Data Sheet'!I26</f>
        <v>3528.4</v>
      </c>
      <c r="J8" s="9">
        <f>'Data Sheet'!J26</f>
        <v>3034.1</v>
      </c>
      <c r="K8" s="9">
        <f>'Data Sheet'!K26</f>
        <v>2789</v>
      </c>
      <c r="L8" s="9">
        <f>SUM(Quarters!H8:K8)</f>
        <v>2733.8</v>
      </c>
      <c r="M8" s="9">
        <f>+$L8</f>
        <v>2733.8</v>
      </c>
      <c r="N8" s="9">
        <f>+$L8</f>
        <v>2733.8</v>
      </c>
    </row>
    <row r="9" spans="1:14" x14ac:dyDescent="0.3">
      <c r="A9" s="6" t="s">
        <v>11</v>
      </c>
      <c r="B9" s="9">
        <f>'Data Sheet'!B27</f>
        <v>197.8</v>
      </c>
      <c r="C9" s="9">
        <f>'Data Sheet'!C27</f>
        <v>184.5</v>
      </c>
      <c r="D9" s="9">
        <f>'Data Sheet'!D27</f>
        <v>217.8</v>
      </c>
      <c r="E9" s="9">
        <f>'Data Sheet'!E27</f>
        <v>81.7</v>
      </c>
      <c r="F9" s="9">
        <f>'Data Sheet'!F27</f>
        <v>89.4</v>
      </c>
      <c r="G9" s="9">
        <f>'Data Sheet'!G27</f>
        <v>345.8</v>
      </c>
      <c r="H9" s="9">
        <f>'Data Sheet'!H27</f>
        <v>75.900000000000006</v>
      </c>
      <c r="I9" s="9">
        <f>'Data Sheet'!I27</f>
        <v>134.19999999999999</v>
      </c>
      <c r="J9" s="9">
        <f>'Data Sheet'!J27</f>
        <v>101.8</v>
      </c>
      <c r="K9" s="9">
        <f>'Data Sheet'!K27</f>
        <v>126.6</v>
      </c>
      <c r="L9" s="9">
        <f>SUM(Quarters!H9:K9)</f>
        <v>144</v>
      </c>
      <c r="M9" s="9">
        <f>+$L9</f>
        <v>144</v>
      </c>
      <c r="N9" s="9">
        <f>+$L9</f>
        <v>144</v>
      </c>
    </row>
    <row r="10" spans="1:14" x14ac:dyDescent="0.3">
      <c r="A10" s="6" t="s">
        <v>12</v>
      </c>
      <c r="B10" s="9">
        <f>'Data Sheet'!B28</f>
        <v>3070.1</v>
      </c>
      <c r="C10" s="9">
        <f>'Data Sheet'!C28</f>
        <v>3733.8</v>
      </c>
      <c r="D10" s="9">
        <f>'Data Sheet'!D28</f>
        <v>4976</v>
      </c>
      <c r="E10" s="9">
        <f>'Data Sheet'!E28</f>
        <v>7584.7</v>
      </c>
      <c r="F10" s="9">
        <f>'Data Sheet'!F28</f>
        <v>10127.200000000001</v>
      </c>
      <c r="G10" s="9">
        <f>'Data Sheet'!G28</f>
        <v>11166.9</v>
      </c>
      <c r="H10" s="9">
        <f>'Data Sheet'!H28</f>
        <v>10623.8</v>
      </c>
      <c r="I10" s="9">
        <f>'Data Sheet'!I28</f>
        <v>7102.8</v>
      </c>
      <c r="J10" s="9">
        <f>'Data Sheet'!J28</f>
        <v>5321</v>
      </c>
      <c r="K10" s="9">
        <f>'Data Sheet'!K28</f>
        <v>4697.2</v>
      </c>
      <c r="L10" s="9">
        <f>SUM(Quarters!H10:K10)</f>
        <v>9258.7000000000007</v>
      </c>
      <c r="M10" s="9">
        <f>M6+M7-SUM(M8:M9)</f>
        <v>7073.9999999999991</v>
      </c>
      <c r="N10" s="9">
        <f>N6+N7-SUM(N8:N9)</f>
        <v>4178.4028010543407</v>
      </c>
    </row>
    <row r="11" spans="1:14" x14ac:dyDescent="0.3">
      <c r="A11" s="6" t="s">
        <v>13</v>
      </c>
      <c r="B11" s="9">
        <f>'Data Sheet'!B29</f>
        <v>621.5</v>
      </c>
      <c r="C11" s="9">
        <f>'Data Sheet'!C29</f>
        <v>902.2</v>
      </c>
      <c r="D11" s="9">
        <f>'Data Sheet'!D29</f>
        <v>1185.4000000000001</v>
      </c>
      <c r="E11" s="9">
        <f>'Data Sheet'!E29</f>
        <v>2087.5</v>
      </c>
      <c r="F11" s="9">
        <f>'Data Sheet'!F29</f>
        <v>2616.1999999999998</v>
      </c>
      <c r="G11" s="9">
        <f>'Data Sheet'!G29</f>
        <v>3286.2</v>
      </c>
      <c r="H11" s="9">
        <f>'Data Sheet'!H29</f>
        <v>2973.2</v>
      </c>
      <c r="I11" s="9">
        <f>'Data Sheet'!I29</f>
        <v>1425.2</v>
      </c>
      <c r="J11" s="9">
        <f>'Data Sheet'!J29</f>
        <v>931.9</v>
      </c>
      <c r="K11" s="9">
        <f>'Data Sheet'!K29</f>
        <v>817.7</v>
      </c>
      <c r="L11" s="9">
        <f>SUM(Quarters!H11:K11)</f>
        <v>1842.6999999999998</v>
      </c>
      <c r="M11" s="10">
        <f>IF($L10&gt;0,$L11/$L10,0)</f>
        <v>0.19902362102670998</v>
      </c>
      <c r="N11" s="10">
        <f>IF($L10&gt;0,$L11/$L10,0)</f>
        <v>0.19902362102670998</v>
      </c>
    </row>
    <row r="12" spans="1:14" s="8" customFormat="1" x14ac:dyDescent="0.3">
      <c r="A12" s="8" t="s">
        <v>14</v>
      </c>
      <c r="B12" s="1">
        <f>'Data Sheet'!B30</f>
        <v>2469.1999999999998</v>
      </c>
      <c r="C12" s="1">
        <f>'Data Sheet'!C30</f>
        <v>2852.9</v>
      </c>
      <c r="D12" s="1">
        <f>'Data Sheet'!D30</f>
        <v>3807.4</v>
      </c>
      <c r="E12" s="1">
        <f>'Data Sheet'!E30</f>
        <v>5497.2</v>
      </c>
      <c r="F12" s="1">
        <f>'Data Sheet'!F30</f>
        <v>7509.9</v>
      </c>
      <c r="G12" s="1">
        <f>'Data Sheet'!G30</f>
        <v>7880</v>
      </c>
      <c r="H12" s="1">
        <f>'Data Sheet'!H30</f>
        <v>7649.1</v>
      </c>
      <c r="I12" s="1">
        <f>'Data Sheet'!I30</f>
        <v>5676</v>
      </c>
      <c r="J12" s="1">
        <f>'Data Sheet'!J30</f>
        <v>4389.1000000000004</v>
      </c>
      <c r="K12" s="1">
        <f>'Data Sheet'!K30</f>
        <v>3879.5</v>
      </c>
      <c r="L12" s="1">
        <f>SUM(Quarters!H12:K12)</f>
        <v>7416</v>
      </c>
      <c r="M12" s="1">
        <f>M10-M11*M10</f>
        <v>5666.1069048570525</v>
      </c>
      <c r="N12" s="1">
        <f>N10-N11*N10</f>
        <v>3346.801945480358</v>
      </c>
    </row>
    <row r="13" spans="1:14" x14ac:dyDescent="0.3">
      <c r="A13" s="11" t="s">
        <v>57</v>
      </c>
      <c r="B13" s="9">
        <f>IF('Data Sheet'!B93&gt;0,B12/'Data Sheet'!B93,0)</f>
        <v>81.734524991724584</v>
      </c>
      <c r="C13" s="9">
        <f>IF('Data Sheet'!C93&gt;0,C12/'Data Sheet'!C93,0)</f>
        <v>94.435617345249923</v>
      </c>
      <c r="D13" s="9">
        <f>IF('Data Sheet'!D93&gt;0,D12/'Data Sheet'!D93,0)</f>
        <v>126.03111552466071</v>
      </c>
      <c r="E13" s="9">
        <f>IF('Data Sheet'!E93&gt;0,E12/'Data Sheet'!E93,0)</f>
        <v>181.96623634558091</v>
      </c>
      <c r="F13" s="9">
        <f>IF('Data Sheet'!F93&gt;0,F12/'Data Sheet'!F93,0)</f>
        <v>248.58987090367427</v>
      </c>
      <c r="G13" s="9">
        <f>IF('Data Sheet'!G93&gt;0,G12/'Data Sheet'!G93,0)</f>
        <v>260.84078119827871</v>
      </c>
      <c r="H13" s="9">
        <f>IF('Data Sheet'!H93&gt;0,H12/'Data Sheet'!H93,0)</f>
        <v>253.19761668321749</v>
      </c>
      <c r="I13" s="9">
        <f>IF('Data Sheet'!I93&gt;0,I12/'Data Sheet'!I93,0)</f>
        <v>187.88480635551142</v>
      </c>
      <c r="J13" s="9">
        <f>IF('Data Sheet'!J93&gt;0,J12/'Data Sheet'!J93,0)</f>
        <v>145.28632903012249</v>
      </c>
      <c r="K13" s="9">
        <f>IF('Data Sheet'!K93&gt;0,K12/'Data Sheet'!K93,0)</f>
        <v>128.41774246938098</v>
      </c>
      <c r="L13" s="9">
        <f>IF('Data Sheet'!$B6&gt;0,'Profit &amp; Loss'!L12/'Data Sheet'!$B6,0)</f>
        <v>245.49788556129749</v>
      </c>
      <c r="M13" s="9">
        <f>IF('Data Sheet'!$B6&gt;0,'Profit &amp; Loss'!M12/'Data Sheet'!$B6,0)</f>
        <v>187.5697497986346</v>
      </c>
      <c r="N13" s="9">
        <f>IF('Data Sheet'!$B6&gt;0,'Profit &amp; Loss'!N12/'Data Sheet'!$B6,0)</f>
        <v>110.79190952101736</v>
      </c>
    </row>
    <row r="14" spans="1:14" x14ac:dyDescent="0.3">
      <c r="A14" s="6" t="s">
        <v>16</v>
      </c>
      <c r="B14" s="9">
        <f>IF(B15&gt;0,B15/B13,"")</f>
        <v>15.675138506398836</v>
      </c>
      <c r="C14" s="9">
        <f t="shared" ref="C14:K14" si="2">IF(C15&gt;0,C15/C13,"")</f>
        <v>20.879304392022153</v>
      </c>
      <c r="D14" s="9">
        <f t="shared" si="2"/>
        <v>29.336802936387034</v>
      </c>
      <c r="E14" s="9">
        <f t="shared" si="2"/>
        <v>20.423019537218952</v>
      </c>
      <c r="F14" s="9">
        <f t="shared" si="2"/>
        <v>24.199296528582273</v>
      </c>
      <c r="G14" s="9">
        <f t="shared" si="2"/>
        <v>33.971298350253811</v>
      </c>
      <c r="H14" s="9">
        <f t="shared" si="2"/>
        <v>26.353131152684629</v>
      </c>
      <c r="I14" s="9">
        <f t="shared" si="2"/>
        <v>22.824091437632138</v>
      </c>
      <c r="J14" s="9">
        <f t="shared" si="2"/>
        <v>47.211599644574051</v>
      </c>
      <c r="K14" s="9">
        <f t="shared" si="2"/>
        <v>58.88049310478155</v>
      </c>
      <c r="L14" s="9">
        <f t="shared" ref="L14" si="3">IF(L13&gt;0,L15/L13,0)</f>
        <v>34.635939859762672</v>
      </c>
      <c r="M14" s="9">
        <f>M25</f>
        <v>40.888031011687602</v>
      </c>
      <c r="N14" s="9">
        <f>N25</f>
        <v>30.399101404572551</v>
      </c>
    </row>
    <row r="15" spans="1:14" s="8" customFormat="1" x14ac:dyDescent="0.3">
      <c r="A15" s="8" t="s">
        <v>58</v>
      </c>
      <c r="B15" s="1">
        <f>'Data Sheet'!B90</f>
        <v>1281.2</v>
      </c>
      <c r="C15" s="1">
        <f>'Data Sheet'!C90</f>
        <v>1971.75</v>
      </c>
      <c r="D15" s="1">
        <f>'Data Sheet'!D90</f>
        <v>3697.35</v>
      </c>
      <c r="E15" s="1">
        <f>'Data Sheet'!E90</f>
        <v>3716.3</v>
      </c>
      <c r="F15" s="1">
        <f>'Data Sheet'!F90</f>
        <v>6015.7</v>
      </c>
      <c r="G15" s="1">
        <f>'Data Sheet'!G90</f>
        <v>8861.1</v>
      </c>
      <c r="H15" s="1">
        <f>'Data Sheet'!H90</f>
        <v>6672.55</v>
      </c>
      <c r="I15" s="1">
        <f>'Data Sheet'!I90</f>
        <v>4288.3</v>
      </c>
      <c r="J15" s="1">
        <f>'Data Sheet'!J90</f>
        <v>6859.2</v>
      </c>
      <c r="K15" s="1">
        <f>'Data Sheet'!K90</f>
        <v>7561.3</v>
      </c>
      <c r="L15" s="1">
        <f>'Data Sheet'!B8</f>
        <v>8503.0499999999993</v>
      </c>
      <c r="M15" s="12">
        <f>M13*M14</f>
        <v>7669.3577466210563</v>
      </c>
      <c r="N15" s="13">
        <f>N13*N14</f>
        <v>3367.9744923356338</v>
      </c>
    </row>
    <row r="17" spans="1:14" s="8" customFormat="1" x14ac:dyDescent="0.3">
      <c r="A17" s="8" t="s">
        <v>15</v>
      </c>
    </row>
    <row r="18" spans="1:14" x14ac:dyDescent="0.3">
      <c r="A18" s="6" t="s">
        <v>17</v>
      </c>
      <c r="B18" s="7">
        <f>IF('Data Sheet'!B30&gt;0, 'Data Sheet'!B31/'Data Sheet'!B30, 0)</f>
        <v>9.784545601814354E-2</v>
      </c>
      <c r="C18" s="7">
        <f>IF('Data Sheet'!C30&gt;0, 'Data Sheet'!C31/'Data Sheet'!C30, 0)</f>
        <v>0.12702863752672719</v>
      </c>
      <c r="D18" s="7">
        <f>IF('Data Sheet'!D30&gt;0, 'Data Sheet'!D31/'Data Sheet'!D30, 0)</f>
        <v>0.19829805116352367</v>
      </c>
      <c r="E18" s="7">
        <f>IF('Data Sheet'!E30&gt;0, 'Data Sheet'!E31/'Data Sheet'!E30, 0)</f>
        <v>0.19227970603216182</v>
      </c>
      <c r="F18" s="7">
        <f>IF('Data Sheet'!F30&gt;0, 'Data Sheet'!F31/'Data Sheet'!F30, 0)</f>
        <v>0.30160188551112532</v>
      </c>
      <c r="G18" s="7">
        <f>IF('Data Sheet'!G30&gt;0, 'Data Sheet'!G31/'Data Sheet'!G30, 0)</f>
        <v>0.3065989847715736</v>
      </c>
      <c r="H18" s="7">
        <f>IF('Data Sheet'!H30&gt;0, 'Data Sheet'!H31/'Data Sheet'!H30, 0)</f>
        <v>0.31585415277614359</v>
      </c>
      <c r="I18" s="7">
        <f>IF('Data Sheet'!I30&gt;0, 'Data Sheet'!I31/'Data Sheet'!I30, 0)</f>
        <v>0.31923890063424948</v>
      </c>
      <c r="J18" s="7">
        <f>IF('Data Sheet'!J30&gt;0, 'Data Sheet'!J31/'Data Sheet'!J30, 0)</f>
        <v>0.30963067599280031</v>
      </c>
      <c r="K18" s="7">
        <f>IF('Data Sheet'!K30&gt;0, 'Data Sheet'!K31/'Data Sheet'!K30, 0)</f>
        <v>0.46707049877561541</v>
      </c>
    </row>
    <row r="19" spans="1:14" x14ac:dyDescent="0.3">
      <c r="A19" s="6" t="s">
        <v>18</v>
      </c>
      <c r="B19" s="7">
        <f t="shared" ref="B19:L19" si="4">IF(B6&gt;0,B6/B4,0)</f>
        <v>9.8425889979324943E-2</v>
      </c>
      <c r="C19" s="7">
        <f t="shared" ref="C19:K19" si="5">IF(C6&gt;0,C6/C4,0)</f>
        <v>0.11921161695306418</v>
      </c>
      <c r="D19" s="7">
        <f t="shared" si="5"/>
        <v>0.13567342632289664</v>
      </c>
      <c r="E19" s="7">
        <f t="shared" si="5"/>
        <v>0.15669832780565718</v>
      </c>
      <c r="F19" s="7">
        <f t="shared" si="5"/>
        <v>0.15306308291106699</v>
      </c>
      <c r="G19" s="7">
        <f t="shared" si="5"/>
        <v>0.15183549807416163</v>
      </c>
      <c r="H19" s="7">
        <f t="shared" si="5"/>
        <v>0.12845930857398472</v>
      </c>
      <c r="I19" s="7">
        <f t="shared" si="5"/>
        <v>9.7211208035950306E-2</v>
      </c>
      <c r="J19" s="7">
        <f t="shared" si="5"/>
        <v>7.6885693173421227E-2</v>
      </c>
      <c r="K19" s="7">
        <f t="shared" si="5"/>
        <v>6.5119585915512257E-2</v>
      </c>
      <c r="L19" s="7">
        <f t="shared" si="4"/>
        <v>8.864885280627538E-2</v>
      </c>
    </row>
    <row r="20" spans="1:14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3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3">
      <c r="A23" s="6"/>
      <c r="B23" s="6"/>
      <c r="C23" s="6"/>
      <c r="D23" s="6"/>
      <c r="E23" s="6"/>
      <c r="F23" s="6"/>
      <c r="G23" s="6" t="s">
        <v>22</v>
      </c>
      <c r="H23" s="7">
        <f>IF(B4=0,"",POWER($K4/B4,1/9)-1)</f>
        <v>7.9681347583204776E-2</v>
      </c>
      <c r="I23" s="7">
        <f>IF(D4=0,"",POWER($K4/D4,1/7)-1)</f>
        <v>8.2228072581513434E-2</v>
      </c>
      <c r="J23" s="7">
        <f>IF(F4=0,"",POWER($K4/F4,1/5)-1)</f>
        <v>5.3443289647381764E-2</v>
      </c>
      <c r="K23" s="7">
        <f>IF(H4=0,"",POWER($K4/H4, 1/3)-1)</f>
        <v>8.6821550604687658E-3</v>
      </c>
      <c r="L23" s="7">
        <f>IF(ISERROR(MAX(IF(J4=0,"",(K4-J4)/J4),IF(K4=0,"",(L4-K4)/K4))),"",MAX(IF(J4=0,"",(K4-J4)/J4),IF(K4=0,"",(L4-K4)/K4)))</f>
        <v>0.27092895036556169</v>
      </c>
      <c r="M23" s="22">
        <f>MAX(K23:L23)</f>
        <v>0.27092895036556169</v>
      </c>
      <c r="N23" s="22">
        <f>MIN(H23:L23)</f>
        <v>8.6821550604687658E-3</v>
      </c>
    </row>
    <row r="24" spans="1:14" x14ac:dyDescent="0.3">
      <c r="G24" s="6" t="s">
        <v>18</v>
      </c>
      <c r="H24" s="7">
        <f>IF(SUM(B4:$K$4)=0,"",SUMPRODUCT(B19:$K$19,B4:$K$4)/SUM(B4:$K$4))</f>
        <v>0.11674386716895949</v>
      </c>
      <c r="I24" s="7">
        <f>IF(SUM(E4:$K$4)=0,"",SUMPRODUCT(E19:$K$19,E4:$K$4)/SUM(E4:$K$4))</f>
        <v>0.11624949112373378</v>
      </c>
      <c r="J24" s="7">
        <f>IF(SUM(G4:$K$4)=0,"",SUMPRODUCT(G19:$K$19,G4:$K$4)/SUM(G4:$K$4))</f>
        <v>0.10416707787858129</v>
      </c>
      <c r="K24" s="7">
        <f>IF(SUM(I4:$K$4)=0, "", SUMPRODUCT(I19:$K$19,I4:$K$4)/SUM(I4:$K$4))</f>
        <v>7.901287667188088E-2</v>
      </c>
      <c r="L24" s="7">
        <f>L19</f>
        <v>8.864885280627538E-2</v>
      </c>
      <c r="M24" s="22">
        <f>MAX(K24:L24)</f>
        <v>8.864885280627538E-2</v>
      </c>
      <c r="N24" s="22">
        <f>MIN(H24:L24)</f>
        <v>7.901287667188088E-2</v>
      </c>
    </row>
    <row r="25" spans="1:14" x14ac:dyDescent="0.3">
      <c r="G25" s="6" t="s">
        <v>23</v>
      </c>
      <c r="H25" s="9">
        <f>IF(ISERROR(AVERAGEIF(B14:$L14,"&gt;0")),"",AVERAGEIF(B14:$L14,"&gt;0"))</f>
        <v>30.399101404572551</v>
      </c>
      <c r="I25" s="9">
        <f>IF(ISERROR(AVERAGEIF(E14:$L14,"&gt;0")),"",AVERAGEIF(E14:$L14,"&gt;0"))</f>
        <v>33.562358701936255</v>
      </c>
      <c r="J25" s="9">
        <f>IF(ISERROR(AVERAGEIF(G14:$L14,"&gt;0")),"",AVERAGEIF(G14:$L14,"&gt;0"))</f>
        <v>37.312758924948135</v>
      </c>
      <c r="K25" s="9">
        <f>IF(ISERROR(AVERAGEIF(I14:$L14,"&gt;0")),"",AVERAGEIF(I14:$L14,"&gt;0"))</f>
        <v>40.888031011687602</v>
      </c>
      <c r="L25" s="9">
        <f>L14</f>
        <v>34.635939859762672</v>
      </c>
      <c r="M25" s="1">
        <f>MAX(K25:L25)</f>
        <v>40.888031011687602</v>
      </c>
      <c r="N25" s="1">
        <f>MIN(H25:L25)</f>
        <v>30.399101404572551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style="6" customWidth="1"/>
    <col min="2" max="11" width="13.44140625" style="6" bestFit="1" customWidth="1"/>
    <col min="12" max="16384" width="8.77734375" style="6"/>
  </cols>
  <sheetData>
    <row r="1" spans="1:11" s="8" customFormat="1" x14ac:dyDescent="0.3">
      <c r="A1" s="8" t="str">
        <f>'Profit &amp; Loss'!A1</f>
        <v>MARUTI SUZUKI INDIA LTD</v>
      </c>
      <c r="E1" t="str">
        <f>UPDATE</f>
        <v/>
      </c>
      <c r="J1" s="4" t="s">
        <v>1</v>
      </c>
      <c r="K1" s="4"/>
    </row>
    <row r="3" spans="1:11" s="2" customFormat="1" x14ac:dyDescent="0.3">
      <c r="A3" s="15" t="s">
        <v>2</v>
      </c>
      <c r="B3" s="16">
        <f>'Data Sheet'!B41</f>
        <v>44104</v>
      </c>
      <c r="C3" s="16">
        <f>'Data Sheet'!C41</f>
        <v>44196</v>
      </c>
      <c r="D3" s="16">
        <f>'Data Sheet'!D41</f>
        <v>44286</v>
      </c>
      <c r="E3" s="16">
        <f>'Data Sheet'!E41</f>
        <v>44377</v>
      </c>
      <c r="F3" s="16">
        <f>'Data Sheet'!F41</f>
        <v>44469</v>
      </c>
      <c r="G3" s="16">
        <f>'Data Sheet'!G41</f>
        <v>44561</v>
      </c>
      <c r="H3" s="16">
        <f>'Data Sheet'!H41</f>
        <v>44651</v>
      </c>
      <c r="I3" s="16">
        <f>'Data Sheet'!I41</f>
        <v>44742</v>
      </c>
      <c r="J3" s="16">
        <f>'Data Sheet'!J41</f>
        <v>44834</v>
      </c>
      <c r="K3" s="16">
        <f>'Data Sheet'!K41</f>
        <v>44926</v>
      </c>
    </row>
    <row r="4" spans="1:11" s="8" customFormat="1" x14ac:dyDescent="0.3">
      <c r="A4" s="8" t="s">
        <v>6</v>
      </c>
      <c r="B4" s="1">
        <f>'Data Sheet'!B42</f>
        <v>18755.599999999999</v>
      </c>
      <c r="C4" s="1">
        <f>'Data Sheet'!C42</f>
        <v>23471.3</v>
      </c>
      <c r="D4" s="1">
        <f>'Data Sheet'!D42</f>
        <v>24034.5</v>
      </c>
      <c r="E4" s="1">
        <f>'Data Sheet'!E42</f>
        <v>17776.400000000001</v>
      </c>
      <c r="F4" s="1">
        <f>'Data Sheet'!F42</f>
        <v>20550.900000000001</v>
      </c>
      <c r="G4" s="1">
        <f>'Data Sheet'!G42</f>
        <v>23253.3</v>
      </c>
      <c r="H4" s="1">
        <f>'Data Sheet'!H42</f>
        <v>26749.200000000001</v>
      </c>
      <c r="I4" s="1">
        <f>'Data Sheet'!I42</f>
        <v>26511.7</v>
      </c>
      <c r="J4" s="1">
        <f>'Data Sheet'!J42</f>
        <v>29942.5</v>
      </c>
      <c r="K4" s="1">
        <f>'Data Sheet'!K42</f>
        <v>29057.5</v>
      </c>
    </row>
    <row r="5" spans="1:11" x14ac:dyDescent="0.3">
      <c r="A5" s="6" t="s">
        <v>7</v>
      </c>
      <c r="B5" s="9">
        <f>'Data Sheet'!B43</f>
        <v>16819.2</v>
      </c>
      <c r="C5" s="9">
        <f>'Data Sheet'!C43</f>
        <v>21243.5</v>
      </c>
      <c r="D5" s="9">
        <f>'Data Sheet'!D43</f>
        <v>22039.8</v>
      </c>
      <c r="E5" s="9">
        <f>'Data Sheet'!E43</f>
        <v>16957.5</v>
      </c>
      <c r="F5" s="9">
        <f>'Data Sheet'!F43</f>
        <v>19694.2</v>
      </c>
      <c r="G5" s="9">
        <f>'Data Sheet'!G43</f>
        <v>21691.1</v>
      </c>
      <c r="H5" s="9">
        <f>'Data Sheet'!H43</f>
        <v>24320.2</v>
      </c>
      <c r="I5" s="9">
        <f>'Data Sheet'!I43</f>
        <v>24596.799999999999</v>
      </c>
      <c r="J5" s="9">
        <f>'Data Sheet'!J43</f>
        <v>27171.599999999999</v>
      </c>
      <c r="K5" s="9">
        <f>'Data Sheet'!K43</f>
        <v>26220.5</v>
      </c>
    </row>
    <row r="6" spans="1:11" s="8" customFormat="1" x14ac:dyDescent="0.3">
      <c r="A6" s="8" t="s">
        <v>8</v>
      </c>
      <c r="B6" s="1">
        <f>'Data Sheet'!B50</f>
        <v>1936.4</v>
      </c>
      <c r="C6" s="1">
        <f>'Data Sheet'!C50</f>
        <v>2227.8000000000002</v>
      </c>
      <c r="D6" s="1">
        <f>'Data Sheet'!D50</f>
        <v>1994.7</v>
      </c>
      <c r="E6" s="1">
        <f>'Data Sheet'!E50</f>
        <v>818.9</v>
      </c>
      <c r="F6" s="1">
        <f>'Data Sheet'!F50</f>
        <v>856.7</v>
      </c>
      <c r="G6" s="1">
        <f>'Data Sheet'!G50</f>
        <v>1562.2</v>
      </c>
      <c r="H6" s="1">
        <f>'Data Sheet'!H50</f>
        <v>2429</v>
      </c>
      <c r="I6" s="1">
        <f>'Data Sheet'!I50</f>
        <v>1914.9</v>
      </c>
      <c r="J6" s="1">
        <f>'Data Sheet'!J50</f>
        <v>2770.9</v>
      </c>
      <c r="K6" s="1">
        <f>'Data Sheet'!K50</f>
        <v>2837</v>
      </c>
    </row>
    <row r="7" spans="1:11" x14ac:dyDescent="0.3">
      <c r="A7" s="6" t="s">
        <v>9</v>
      </c>
      <c r="B7" s="9">
        <f>'Data Sheet'!B44</f>
        <v>649.5</v>
      </c>
      <c r="C7" s="9">
        <f>'Data Sheet'!C44</f>
        <v>1053.5</v>
      </c>
      <c r="D7" s="9">
        <f>'Data Sheet'!D44</f>
        <v>163.1</v>
      </c>
      <c r="E7" s="9">
        <f>'Data Sheet'!E44</f>
        <v>543.79999999999995</v>
      </c>
      <c r="F7" s="9">
        <f>'Data Sheet'!F44</f>
        <v>532.5</v>
      </c>
      <c r="G7" s="9">
        <f>'Data Sheet'!G44</f>
        <v>355.4</v>
      </c>
      <c r="H7" s="9">
        <f>'Data Sheet'!H44</f>
        <v>514.29999999999995</v>
      </c>
      <c r="I7" s="9">
        <f>'Data Sheet'!I44</f>
        <v>111.8</v>
      </c>
      <c r="J7" s="9">
        <f>'Data Sheet'!J44</f>
        <v>661.7</v>
      </c>
      <c r="K7" s="9">
        <f>'Data Sheet'!K44</f>
        <v>896.9</v>
      </c>
    </row>
    <row r="8" spans="1:11" x14ac:dyDescent="0.3">
      <c r="A8" s="6" t="s">
        <v>10</v>
      </c>
      <c r="B8" s="9">
        <f>'Data Sheet'!B45</f>
        <v>766.5</v>
      </c>
      <c r="C8" s="9">
        <f>'Data Sheet'!C45</f>
        <v>742</v>
      </c>
      <c r="D8" s="9">
        <f>'Data Sheet'!D45</f>
        <v>741.6</v>
      </c>
      <c r="E8" s="9">
        <f>'Data Sheet'!E45</f>
        <v>743.8</v>
      </c>
      <c r="F8" s="9">
        <f>'Data Sheet'!F45</f>
        <v>756.8</v>
      </c>
      <c r="G8" s="9">
        <f>'Data Sheet'!G45</f>
        <v>640.6</v>
      </c>
      <c r="H8" s="9">
        <f>'Data Sheet'!H45</f>
        <v>647.79999999999995</v>
      </c>
      <c r="I8" s="9">
        <f>'Data Sheet'!I45</f>
        <v>652</v>
      </c>
      <c r="J8" s="9">
        <f>'Data Sheet'!J45</f>
        <v>723.3</v>
      </c>
      <c r="K8" s="9">
        <f>'Data Sheet'!K45</f>
        <v>710.7</v>
      </c>
    </row>
    <row r="9" spans="1:11" x14ac:dyDescent="0.3">
      <c r="A9" s="6" t="s">
        <v>11</v>
      </c>
      <c r="B9" s="9">
        <f>'Data Sheet'!B46</f>
        <v>22.6</v>
      </c>
      <c r="C9" s="9">
        <f>'Data Sheet'!C46</f>
        <v>29</v>
      </c>
      <c r="D9" s="9">
        <f>'Data Sheet'!D46</f>
        <v>32.6</v>
      </c>
      <c r="E9" s="9">
        <f>'Data Sheet'!E46</f>
        <v>22.4</v>
      </c>
      <c r="F9" s="9">
        <f>'Data Sheet'!F46</f>
        <v>22.7</v>
      </c>
      <c r="G9" s="9">
        <f>'Data Sheet'!G46</f>
        <v>25.3</v>
      </c>
      <c r="H9" s="9">
        <f>'Data Sheet'!H46</f>
        <v>56.2</v>
      </c>
      <c r="I9" s="9">
        <f>'Data Sheet'!I46</f>
        <v>27.5</v>
      </c>
      <c r="J9" s="9">
        <f>'Data Sheet'!J46</f>
        <v>30.7</v>
      </c>
      <c r="K9" s="9">
        <f>'Data Sheet'!K46</f>
        <v>29.6</v>
      </c>
    </row>
    <row r="10" spans="1:11" x14ac:dyDescent="0.3">
      <c r="A10" s="6" t="s">
        <v>12</v>
      </c>
      <c r="B10" s="9">
        <f>'Data Sheet'!B47</f>
        <v>1796.8</v>
      </c>
      <c r="C10" s="9">
        <f>'Data Sheet'!C47</f>
        <v>2510.3000000000002</v>
      </c>
      <c r="D10" s="9">
        <f>'Data Sheet'!D47</f>
        <v>1383.6</v>
      </c>
      <c r="E10" s="9">
        <f>'Data Sheet'!E47</f>
        <v>596.5</v>
      </c>
      <c r="F10" s="9">
        <f>'Data Sheet'!F47</f>
        <v>609.70000000000005</v>
      </c>
      <c r="G10" s="9">
        <f>'Data Sheet'!G47</f>
        <v>1251.7</v>
      </c>
      <c r="H10" s="9">
        <f>'Data Sheet'!H47</f>
        <v>2239.3000000000002</v>
      </c>
      <c r="I10" s="9">
        <f>'Data Sheet'!I47</f>
        <v>1347.2</v>
      </c>
      <c r="J10" s="9">
        <f>'Data Sheet'!J47</f>
        <v>2678.6</v>
      </c>
      <c r="K10" s="9">
        <f>'Data Sheet'!K47</f>
        <v>2993.6</v>
      </c>
    </row>
    <row r="11" spans="1:11" x14ac:dyDescent="0.3">
      <c r="A11" s="6" t="s">
        <v>13</v>
      </c>
      <c r="B11" s="9">
        <f>'Data Sheet'!B48</f>
        <v>377.2</v>
      </c>
      <c r="C11" s="9">
        <f>'Data Sheet'!C48</f>
        <v>513.6</v>
      </c>
      <c r="D11" s="9">
        <f>'Data Sheet'!D48</f>
        <v>142.5</v>
      </c>
      <c r="E11" s="9">
        <f>'Data Sheet'!E48</f>
        <v>121.5</v>
      </c>
      <c r="F11" s="9">
        <f>'Data Sheet'!F48</f>
        <v>122.8</v>
      </c>
      <c r="G11" s="9">
        <f>'Data Sheet'!G48</f>
        <v>209.9</v>
      </c>
      <c r="H11" s="9">
        <f>'Data Sheet'!H48</f>
        <v>363.5</v>
      </c>
      <c r="I11" s="9">
        <f>'Data Sheet'!I48</f>
        <v>311</v>
      </c>
      <c r="J11" s="9">
        <f>'Data Sheet'!J48</f>
        <v>566.1</v>
      </c>
      <c r="K11" s="9">
        <f>'Data Sheet'!K48</f>
        <v>602.1</v>
      </c>
    </row>
    <row r="12" spans="1:11" s="8" customFormat="1" x14ac:dyDescent="0.3">
      <c r="A12" s="8" t="s">
        <v>14</v>
      </c>
      <c r="B12" s="1">
        <f>'Data Sheet'!B49</f>
        <v>1419.6</v>
      </c>
      <c r="C12" s="1">
        <f>'Data Sheet'!C49</f>
        <v>1996.7</v>
      </c>
      <c r="D12" s="1">
        <f>'Data Sheet'!D49</f>
        <v>1241.0999999999999</v>
      </c>
      <c r="E12" s="1">
        <f>'Data Sheet'!E49</f>
        <v>475</v>
      </c>
      <c r="F12" s="1">
        <f>'Data Sheet'!F49</f>
        <v>486.9</v>
      </c>
      <c r="G12" s="1">
        <f>'Data Sheet'!G49</f>
        <v>1041.8</v>
      </c>
      <c r="H12" s="1">
        <f>'Data Sheet'!H49</f>
        <v>1875.8</v>
      </c>
      <c r="I12" s="1">
        <f>'Data Sheet'!I49</f>
        <v>1036.2</v>
      </c>
      <c r="J12" s="1">
        <f>'Data Sheet'!J49</f>
        <v>2112.5</v>
      </c>
      <c r="K12" s="1">
        <f>'Data Sheet'!K49</f>
        <v>2391.5</v>
      </c>
    </row>
    <row r="14" spans="1:11" s="8" customFormat="1" x14ac:dyDescent="0.3">
      <c r="A14" s="2" t="s">
        <v>18</v>
      </c>
      <c r="B14" s="14">
        <f>IF(B4&gt;0,B6/B4,"")</f>
        <v>0.10324383117575552</v>
      </c>
      <c r="C14" s="14">
        <f t="shared" ref="C14:K14" si="0">IF(C4&gt;0,C6/C4,"")</f>
        <v>9.4915918589937504E-2</v>
      </c>
      <c r="D14" s="14">
        <f t="shared" si="0"/>
        <v>8.2993197278911565E-2</v>
      </c>
      <c r="E14" s="14">
        <f t="shared" si="0"/>
        <v>4.6066695168875585E-2</v>
      </c>
      <c r="F14" s="14">
        <f t="shared" si="0"/>
        <v>4.1686738780296724E-2</v>
      </c>
      <c r="G14" s="14">
        <f t="shared" si="0"/>
        <v>6.718186235932104E-2</v>
      </c>
      <c r="H14" s="14">
        <f t="shared" si="0"/>
        <v>9.0806454024793259E-2</v>
      </c>
      <c r="I14" s="14">
        <f t="shared" si="0"/>
        <v>7.2228487799726154E-2</v>
      </c>
      <c r="J14" s="14">
        <f t="shared" si="0"/>
        <v>9.2540703014110381E-2</v>
      </c>
      <c r="K14" s="14">
        <f t="shared" si="0"/>
        <v>9.7634001548653537E-2</v>
      </c>
    </row>
    <row r="22" s="30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B12" activePane="bottomRight" state="frozen"/>
      <selection activeCell="C4" sqref="C4"/>
      <selection pane="topRight" activeCell="C4" sqref="C4"/>
      <selection pane="bottomLeft" activeCell="C4" sqref="C4"/>
      <selection pane="bottomRight" activeCell="K25" sqref="K25"/>
    </sheetView>
  </sheetViews>
  <sheetFormatPr defaultColWidth="8.77734375" defaultRowHeight="14.4" x14ac:dyDescent="0.3"/>
  <cols>
    <col min="1" max="1" width="22.77734375" style="11" bestFit="1" customWidth="1"/>
    <col min="2" max="2" width="13.44140625" style="11" customWidth="1"/>
    <col min="3" max="11" width="15.44140625" style="11" customWidth="1"/>
    <col min="12" max="16384" width="8.77734375" style="11"/>
  </cols>
  <sheetData>
    <row r="1" spans="1:11" s="8" customFormat="1" x14ac:dyDescent="0.3">
      <c r="A1" s="8" t="str">
        <f>'Profit &amp; Loss'!A1</f>
        <v>MARUTI SUZUKI INDIA LTD</v>
      </c>
      <c r="E1" t="str">
        <f>UPDATE</f>
        <v/>
      </c>
      <c r="G1"/>
      <c r="J1" s="4" t="s">
        <v>1</v>
      </c>
      <c r="K1" s="4"/>
    </row>
    <row r="2" spans="1:11" x14ac:dyDescent="0.3">
      <c r="G2" s="8"/>
      <c r="H2" s="8"/>
    </row>
    <row r="3" spans="1:11" s="18" customFormat="1" x14ac:dyDescent="0.3">
      <c r="A3" s="15" t="s">
        <v>2</v>
      </c>
      <c r="B3" s="16">
        <f>'Data Sheet'!B56</f>
        <v>41364</v>
      </c>
      <c r="C3" s="16">
        <f>'Data Sheet'!C56</f>
        <v>41729</v>
      </c>
      <c r="D3" s="16">
        <f>'Data Sheet'!D56</f>
        <v>42094</v>
      </c>
      <c r="E3" s="16">
        <f>'Data Sheet'!E56</f>
        <v>42460</v>
      </c>
      <c r="F3" s="16">
        <f>'Data Sheet'!F56</f>
        <v>42825</v>
      </c>
      <c r="G3" s="16">
        <f>'Data Sheet'!G56</f>
        <v>43190</v>
      </c>
      <c r="H3" s="16">
        <f>'Data Sheet'!H56</f>
        <v>43555</v>
      </c>
      <c r="I3" s="16">
        <f>'Data Sheet'!I56</f>
        <v>43921</v>
      </c>
      <c r="J3" s="16">
        <f>'Data Sheet'!J56</f>
        <v>44286</v>
      </c>
      <c r="K3" s="16">
        <f>'Data Sheet'!K56</f>
        <v>44651</v>
      </c>
    </row>
    <row r="4" spans="1:11" x14ac:dyDescent="0.3">
      <c r="A4" s="6" t="s">
        <v>24</v>
      </c>
      <c r="B4" s="19">
        <f>'Data Sheet'!B57</f>
        <v>151</v>
      </c>
      <c r="C4" s="19">
        <f>'Data Sheet'!C57</f>
        <v>151</v>
      </c>
      <c r="D4" s="19">
        <f>'Data Sheet'!D57</f>
        <v>151</v>
      </c>
      <c r="E4" s="19">
        <f>'Data Sheet'!E57</f>
        <v>151</v>
      </c>
      <c r="F4" s="19">
        <f>'Data Sheet'!F57</f>
        <v>151</v>
      </c>
      <c r="G4" s="19">
        <f>'Data Sheet'!G57</f>
        <v>151</v>
      </c>
      <c r="H4" s="19">
        <f>'Data Sheet'!H57</f>
        <v>151</v>
      </c>
      <c r="I4" s="19">
        <f>'Data Sheet'!I57</f>
        <v>151</v>
      </c>
      <c r="J4" s="19">
        <f>'Data Sheet'!J57</f>
        <v>151</v>
      </c>
      <c r="K4" s="19">
        <f>'Data Sheet'!K57</f>
        <v>151</v>
      </c>
    </row>
    <row r="5" spans="1:11" s="6" customFormat="1" x14ac:dyDescent="0.3">
      <c r="A5" s="6" t="s">
        <v>25</v>
      </c>
      <c r="B5" s="19">
        <f>'Data Sheet'!B58</f>
        <v>18876.8</v>
      </c>
      <c r="C5" s="19">
        <f>'Data Sheet'!C58</f>
        <v>21345.4</v>
      </c>
      <c r="D5" s="19">
        <f>'Data Sheet'!D58</f>
        <v>24167.4</v>
      </c>
      <c r="E5" s="19">
        <f>'Data Sheet'!E58</f>
        <v>30465</v>
      </c>
      <c r="F5" s="19">
        <f>'Data Sheet'!F58</f>
        <v>36924.1</v>
      </c>
      <c r="G5" s="19">
        <f>'Data Sheet'!G58</f>
        <v>42408.4</v>
      </c>
      <c r="H5" s="19">
        <f>'Data Sheet'!H58</f>
        <v>46941.1</v>
      </c>
      <c r="I5" s="19">
        <f>'Data Sheet'!I58</f>
        <v>49262</v>
      </c>
      <c r="J5" s="19">
        <f>'Data Sheet'!J58</f>
        <v>52349.599999999999</v>
      </c>
      <c r="K5" s="19">
        <f>'Data Sheet'!K58</f>
        <v>55182.5</v>
      </c>
    </row>
    <row r="6" spans="1:11" x14ac:dyDescent="0.3">
      <c r="A6" s="11" t="s">
        <v>71</v>
      </c>
      <c r="B6" s="19">
        <f>'Data Sheet'!B59</f>
        <v>1568.8</v>
      </c>
      <c r="C6" s="19">
        <f>'Data Sheet'!C59</f>
        <v>2004.1</v>
      </c>
      <c r="D6" s="19">
        <f>'Data Sheet'!D59</f>
        <v>666.2</v>
      </c>
      <c r="E6" s="19">
        <f>'Data Sheet'!E59</f>
        <v>230.9</v>
      </c>
      <c r="F6" s="19">
        <f>'Data Sheet'!F59</f>
        <v>483.6</v>
      </c>
      <c r="G6" s="19">
        <f>'Data Sheet'!G59</f>
        <v>120.8</v>
      </c>
      <c r="H6" s="19">
        <f>'Data Sheet'!H59</f>
        <v>159.6</v>
      </c>
      <c r="I6" s="19">
        <f>'Data Sheet'!I59</f>
        <v>184.1</v>
      </c>
      <c r="J6" s="19">
        <f>'Data Sheet'!J59</f>
        <v>540.9</v>
      </c>
      <c r="K6" s="19">
        <f>'Data Sheet'!K59</f>
        <v>425.5</v>
      </c>
    </row>
    <row r="7" spans="1:11" s="6" customFormat="1" x14ac:dyDescent="0.3">
      <c r="A7" s="11" t="s">
        <v>72</v>
      </c>
      <c r="B7" s="19">
        <f>'Data Sheet'!B60</f>
        <v>6920.4</v>
      </c>
      <c r="C7" s="19">
        <f>'Data Sheet'!C60</f>
        <v>7975</v>
      </c>
      <c r="D7" s="19">
        <f>'Data Sheet'!D60</f>
        <v>9492.2999999999993</v>
      </c>
      <c r="E7" s="19">
        <f>'Data Sheet'!E60</f>
        <v>11878.6</v>
      </c>
      <c r="F7" s="19">
        <f>'Data Sheet'!F60</f>
        <v>14401.8</v>
      </c>
      <c r="G7" s="19">
        <f>'Data Sheet'!G60</f>
        <v>17568.2</v>
      </c>
      <c r="H7" s="19">
        <f>'Data Sheet'!H60</f>
        <v>16717</v>
      </c>
      <c r="I7" s="19">
        <f>'Data Sheet'!I60</f>
        <v>14030.6</v>
      </c>
      <c r="J7" s="19">
        <f>'Data Sheet'!J60</f>
        <v>18334.599999999999</v>
      </c>
      <c r="K7" s="19">
        <f>'Data Sheet'!K60</f>
        <v>18896.5</v>
      </c>
    </row>
    <row r="8" spans="1:11" s="8" customFormat="1" x14ac:dyDescent="0.3">
      <c r="A8" s="8" t="s">
        <v>26</v>
      </c>
      <c r="B8" s="20">
        <f>'Data Sheet'!B61</f>
        <v>27517</v>
      </c>
      <c r="C8" s="20">
        <f>'Data Sheet'!C61</f>
        <v>31475.5</v>
      </c>
      <c r="D8" s="20">
        <f>'Data Sheet'!D61</f>
        <v>34476.9</v>
      </c>
      <c r="E8" s="20">
        <f>'Data Sheet'!E61</f>
        <v>42725.5</v>
      </c>
      <c r="F8" s="20">
        <f>'Data Sheet'!F61</f>
        <v>51960.5</v>
      </c>
      <c r="G8" s="20">
        <f>'Data Sheet'!G61</f>
        <v>60248.4</v>
      </c>
      <c r="H8" s="20">
        <f>'Data Sheet'!H61</f>
        <v>63968.7</v>
      </c>
      <c r="I8" s="20">
        <f>'Data Sheet'!I61</f>
        <v>63627.7</v>
      </c>
      <c r="J8" s="20">
        <f>'Data Sheet'!J61</f>
        <v>71376.100000000006</v>
      </c>
      <c r="K8" s="20">
        <f>'Data Sheet'!K61</f>
        <v>74655.5</v>
      </c>
    </row>
    <row r="9" spans="1:11" s="8" customFormat="1" x14ac:dyDescent="0.3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3">
      <c r="A10" s="6" t="s">
        <v>27</v>
      </c>
      <c r="B10" s="19">
        <f>'Data Sheet'!B62</f>
        <v>10021.700000000001</v>
      </c>
      <c r="C10" s="19">
        <f>'Data Sheet'!C62</f>
        <v>11033.7</v>
      </c>
      <c r="D10" s="19">
        <f>'Data Sheet'!D62</f>
        <v>12489.5</v>
      </c>
      <c r="E10" s="19">
        <f>'Data Sheet'!E62</f>
        <v>12529.6</v>
      </c>
      <c r="F10" s="19">
        <f>'Data Sheet'!F62</f>
        <v>13310.7</v>
      </c>
      <c r="G10" s="19">
        <f>'Data Sheet'!G62</f>
        <v>13388.8</v>
      </c>
      <c r="H10" s="19">
        <f>'Data Sheet'!H62</f>
        <v>15437.3</v>
      </c>
      <c r="I10" s="19">
        <f>'Data Sheet'!I62</f>
        <v>15744.4</v>
      </c>
      <c r="J10" s="19">
        <f>'Data Sheet'!J62</f>
        <v>14988.7</v>
      </c>
      <c r="K10" s="19">
        <f>'Data Sheet'!K62</f>
        <v>13747.2</v>
      </c>
    </row>
    <row r="11" spans="1:11" x14ac:dyDescent="0.3">
      <c r="A11" s="6" t="s">
        <v>28</v>
      </c>
      <c r="B11" s="19">
        <f>'Data Sheet'!B63</f>
        <v>1966.5</v>
      </c>
      <c r="C11" s="19">
        <f>'Data Sheet'!C63</f>
        <v>2639.5</v>
      </c>
      <c r="D11" s="19">
        <f>'Data Sheet'!D63</f>
        <v>1890.1</v>
      </c>
      <c r="E11" s="19">
        <f>'Data Sheet'!E63</f>
        <v>1006.9</v>
      </c>
      <c r="F11" s="19">
        <f>'Data Sheet'!F63</f>
        <v>1252.3</v>
      </c>
      <c r="G11" s="19">
        <f>'Data Sheet'!G63</f>
        <v>2132.1</v>
      </c>
      <c r="H11" s="19">
        <f>'Data Sheet'!H63</f>
        <v>1606.9</v>
      </c>
      <c r="I11" s="19">
        <f>'Data Sheet'!I63</f>
        <v>1415.2</v>
      </c>
      <c r="J11" s="19">
        <f>'Data Sheet'!J63</f>
        <v>1496.8</v>
      </c>
      <c r="K11" s="19">
        <f>'Data Sheet'!K63</f>
        <v>2936.5</v>
      </c>
    </row>
    <row r="12" spans="1:11" x14ac:dyDescent="0.3">
      <c r="A12" s="6" t="s">
        <v>29</v>
      </c>
      <c r="B12" s="19">
        <f>'Data Sheet'!B64</f>
        <v>7421.4</v>
      </c>
      <c r="C12" s="19">
        <f>'Data Sheet'!C64</f>
        <v>10527.1</v>
      </c>
      <c r="D12" s="19">
        <f>'Data Sheet'!D64</f>
        <v>13297.7</v>
      </c>
      <c r="E12" s="19">
        <f>'Data Sheet'!E64</f>
        <v>20675.8</v>
      </c>
      <c r="F12" s="19">
        <f>'Data Sheet'!F64</f>
        <v>29150.6</v>
      </c>
      <c r="G12" s="19">
        <f>'Data Sheet'!G64</f>
        <v>36123.1</v>
      </c>
      <c r="H12" s="19">
        <f>'Data Sheet'!H64</f>
        <v>37503.599999999999</v>
      </c>
      <c r="I12" s="19">
        <f>'Data Sheet'!I64</f>
        <v>37488</v>
      </c>
      <c r="J12" s="19">
        <f>'Data Sheet'!J64</f>
        <v>42944.800000000003</v>
      </c>
      <c r="K12" s="19">
        <f>'Data Sheet'!K64</f>
        <v>42034.7</v>
      </c>
    </row>
    <row r="13" spans="1:11" x14ac:dyDescent="0.3">
      <c r="A13" s="11" t="s">
        <v>73</v>
      </c>
      <c r="B13" s="19">
        <f>'Data Sheet'!B65</f>
        <v>8107.4</v>
      </c>
      <c r="C13" s="19">
        <f>'Data Sheet'!C65</f>
        <v>7275.2</v>
      </c>
      <c r="D13" s="19">
        <f>'Data Sheet'!D65</f>
        <v>6799.6</v>
      </c>
      <c r="E13" s="19">
        <f>'Data Sheet'!E65</f>
        <v>8513.2000000000007</v>
      </c>
      <c r="F13" s="19">
        <f>'Data Sheet'!F65</f>
        <v>8246.9</v>
      </c>
      <c r="G13" s="19">
        <f>'Data Sheet'!G65</f>
        <v>8604.4</v>
      </c>
      <c r="H13" s="19">
        <f>'Data Sheet'!H65</f>
        <v>9420.9</v>
      </c>
      <c r="I13" s="19">
        <f>'Data Sheet'!I65</f>
        <v>8980.1</v>
      </c>
      <c r="J13" s="19">
        <f>'Data Sheet'!J65</f>
        <v>11945.8</v>
      </c>
      <c r="K13" s="19">
        <f>'Data Sheet'!K65</f>
        <v>15937.1</v>
      </c>
    </row>
    <row r="14" spans="1:11" s="8" customFormat="1" x14ac:dyDescent="0.3">
      <c r="A14" s="8" t="s">
        <v>26</v>
      </c>
      <c r="B14" s="19">
        <f>'Data Sheet'!B66</f>
        <v>27517</v>
      </c>
      <c r="C14" s="19">
        <f>'Data Sheet'!C66</f>
        <v>31475.5</v>
      </c>
      <c r="D14" s="19">
        <f>'Data Sheet'!D66</f>
        <v>34476.9</v>
      </c>
      <c r="E14" s="19">
        <f>'Data Sheet'!E66</f>
        <v>42725.5</v>
      </c>
      <c r="F14" s="19">
        <f>'Data Sheet'!F66</f>
        <v>51960.5</v>
      </c>
      <c r="G14" s="19">
        <f>'Data Sheet'!G66</f>
        <v>60248.4</v>
      </c>
      <c r="H14" s="19">
        <f>'Data Sheet'!H66</f>
        <v>63968.7</v>
      </c>
      <c r="I14" s="19">
        <f>'Data Sheet'!I66</f>
        <v>63627.7</v>
      </c>
      <c r="J14" s="19">
        <f>'Data Sheet'!J66</f>
        <v>71376.100000000006</v>
      </c>
      <c r="K14" s="19">
        <f>'Data Sheet'!K66</f>
        <v>74655.5</v>
      </c>
    </row>
    <row r="15" spans="1:11" x14ac:dyDescent="0.3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3">
      <c r="A16" s="29" t="s">
        <v>30</v>
      </c>
      <c r="B16" s="21">
        <f>B13-B7</f>
        <v>1187</v>
      </c>
      <c r="C16" s="21">
        <f t="shared" ref="C16:K16" si="0">C13-C7</f>
        <v>-699.80000000000018</v>
      </c>
      <c r="D16" s="21">
        <f t="shared" si="0"/>
        <v>-2692.6999999999989</v>
      </c>
      <c r="E16" s="21">
        <f t="shared" si="0"/>
        <v>-3365.3999999999996</v>
      </c>
      <c r="F16" s="21">
        <f t="shared" si="0"/>
        <v>-6154.9</v>
      </c>
      <c r="G16" s="21">
        <f t="shared" si="0"/>
        <v>-8963.8000000000011</v>
      </c>
      <c r="H16" s="21">
        <f t="shared" si="0"/>
        <v>-7296.1</v>
      </c>
      <c r="I16" s="21">
        <f t="shared" si="0"/>
        <v>-5050.5</v>
      </c>
      <c r="J16" s="21">
        <f t="shared" si="0"/>
        <v>-6388.7999999999993</v>
      </c>
      <c r="K16" s="21">
        <f t="shared" si="0"/>
        <v>-2959.3999999999996</v>
      </c>
    </row>
    <row r="17" spans="1:11" x14ac:dyDescent="0.3">
      <c r="A17" s="11" t="s">
        <v>44</v>
      </c>
      <c r="B17" s="21">
        <f>'Data Sheet'!B67</f>
        <v>1535.5</v>
      </c>
      <c r="C17" s="21">
        <f>'Data Sheet'!C67</f>
        <v>1489.1</v>
      </c>
      <c r="D17" s="21">
        <f>'Data Sheet'!D67</f>
        <v>1144.3</v>
      </c>
      <c r="E17" s="21">
        <f>'Data Sheet'!E67</f>
        <v>1323.4</v>
      </c>
      <c r="F17" s="21">
        <f>'Data Sheet'!F67</f>
        <v>1202.5999999999999</v>
      </c>
      <c r="G17" s="21">
        <f>'Data Sheet'!G67</f>
        <v>1465.4</v>
      </c>
      <c r="H17" s="21">
        <f>'Data Sheet'!H67</f>
        <v>2312.8000000000002</v>
      </c>
      <c r="I17" s="21">
        <f>'Data Sheet'!I67</f>
        <v>1977.7</v>
      </c>
      <c r="J17" s="21">
        <f>'Data Sheet'!J67</f>
        <v>1279.9000000000001</v>
      </c>
      <c r="K17" s="21">
        <f>'Data Sheet'!K67</f>
        <v>2034.5</v>
      </c>
    </row>
    <row r="18" spans="1:11" x14ac:dyDescent="0.3">
      <c r="A18" s="11" t="s">
        <v>45</v>
      </c>
      <c r="B18" s="21">
        <f>'Data Sheet'!B68</f>
        <v>1887.2</v>
      </c>
      <c r="C18" s="21">
        <f>'Data Sheet'!C68</f>
        <v>1763.2</v>
      </c>
      <c r="D18" s="21">
        <f>'Data Sheet'!D68</f>
        <v>2745.3</v>
      </c>
      <c r="E18" s="21">
        <f>'Data Sheet'!E68</f>
        <v>3132.6</v>
      </c>
      <c r="F18" s="21">
        <f>'Data Sheet'!F68</f>
        <v>3263.7</v>
      </c>
      <c r="G18" s="21">
        <f>'Data Sheet'!G68</f>
        <v>3160.2</v>
      </c>
      <c r="H18" s="21">
        <f>'Data Sheet'!H68</f>
        <v>3322.6</v>
      </c>
      <c r="I18" s="21">
        <f>'Data Sheet'!I68</f>
        <v>3213.9</v>
      </c>
      <c r="J18" s="21">
        <f>'Data Sheet'!J68</f>
        <v>3049</v>
      </c>
      <c r="K18" s="21">
        <f>'Data Sheet'!K68</f>
        <v>3532.3</v>
      </c>
    </row>
    <row r="20" spans="1:11" x14ac:dyDescent="0.3">
      <c r="A20" s="11" t="s">
        <v>46</v>
      </c>
      <c r="B20" s="5">
        <f>IF('Profit &amp; Loss'!B4&gt;0,'Balance Sheet'!B17/('Profit &amp; Loss'!B4/365),0)</f>
        <v>12.650154386471772</v>
      </c>
      <c r="C20" s="5">
        <f>IF('Profit &amp; Loss'!C4&gt;0,'Balance Sheet'!C17/('Profit &amp; Loss'!C4/365),0)</f>
        <v>12.202504164627383</v>
      </c>
      <c r="D20" s="5">
        <f>IF('Profit &amp; Loss'!D4&gt;0,'Balance Sheet'!D17/('Profit &amp; Loss'!D4/365),0)</f>
        <v>8.2216139712685088</v>
      </c>
      <c r="E20" s="5">
        <f>IF('Profit &amp; Loss'!E4&gt;0,'Balance Sheet'!E17/('Profit &amp; Loss'!E4/365),0)</f>
        <v>8.3877302957161977</v>
      </c>
      <c r="F20" s="5">
        <f>IF('Profit &amp; Loss'!F4&gt;0,'Balance Sheet'!F17/('Profit &amp; Loss'!F4/365),0)</f>
        <v>6.44707351105236</v>
      </c>
      <c r="G20" s="5">
        <f>IF('Profit &amp; Loss'!G4&gt;0,'Balance Sheet'!G17/('Profit &amp; Loss'!G4/365),0)</f>
        <v>6.7018546687482941</v>
      </c>
      <c r="H20" s="5">
        <f>IF('Profit &amp; Loss'!H4&gt;0,'Balance Sheet'!H17/('Profit &amp; Loss'!H4/365),0)</f>
        <v>9.8081411898662108</v>
      </c>
      <c r="I20" s="5">
        <f>IF('Profit &amp; Loss'!I4&gt;0,'Balance Sheet'!I17/('Profit &amp; Loss'!I4/365),0)</f>
        <v>9.5408472112080371</v>
      </c>
      <c r="J20" s="5">
        <f>IF('Profit &amp; Loss'!J4&gt;0,'Balance Sheet'!J17/('Profit &amp; Loss'!J4/365),0)</f>
        <v>6.6384854771784232</v>
      </c>
      <c r="K20" s="5">
        <f>IF('Profit &amp; Loss'!K4&gt;0,'Balance Sheet'!K17/('Profit &amp; Loss'!K4/365),0)</f>
        <v>8.4070438289229692</v>
      </c>
    </row>
    <row r="21" spans="1:11" x14ac:dyDescent="0.3">
      <c r="A21" s="11" t="s">
        <v>47</v>
      </c>
      <c r="B21" s="5">
        <f>IF('Balance Sheet'!B18&gt;0,'Profit &amp; Loss'!B4/'Balance Sheet'!B18,0)</f>
        <v>23.476261127596441</v>
      </c>
      <c r="C21" s="5">
        <f>IF('Balance Sheet'!C18&gt;0,'Profit &amp; Loss'!C4/'Balance Sheet'!C18,0)</f>
        <v>25.261910163339383</v>
      </c>
      <c r="D21" s="5">
        <f>IF('Balance Sheet'!D18&gt;0,'Profit &amp; Loss'!D4/'Balance Sheet'!D18,0)</f>
        <v>18.504862856518411</v>
      </c>
      <c r="E21" s="5">
        <f>IF('Balance Sheet'!E18&gt;0,'Profit &amp; Loss'!E4/'Balance Sheet'!E18,0)</f>
        <v>18.383770669731213</v>
      </c>
      <c r="F21" s="5">
        <f>IF('Balance Sheet'!F18&gt;0,'Profit &amp; Loss'!F4/'Balance Sheet'!F18,0)</f>
        <v>20.861292398198366</v>
      </c>
      <c r="G21" s="5">
        <f>IF('Balance Sheet'!G18&gt;0,'Profit &amp; Loss'!G4/'Balance Sheet'!G18,0)</f>
        <v>25.254540851844819</v>
      </c>
      <c r="H21" s="5">
        <f>IF('Balance Sheet'!H18&gt;0,'Profit &amp; Loss'!H4/'Balance Sheet'!H18,0)</f>
        <v>25.903960753626677</v>
      </c>
      <c r="I21" s="5">
        <f>IF('Balance Sheet'!I18&gt;0,'Profit &amp; Loss'!I4/'Balance Sheet'!I18,0)</f>
        <v>23.541491645664145</v>
      </c>
      <c r="J21" s="5">
        <f>IF('Balance Sheet'!J18&gt;0,'Profit &amp; Loss'!J4/'Balance Sheet'!J18,0)</f>
        <v>23.080354214496555</v>
      </c>
      <c r="K21" s="5">
        <f>IF('Balance Sheet'!K18&gt;0,'Profit &amp; Loss'!K4/'Balance Sheet'!K18,0)</f>
        <v>25.006313167058291</v>
      </c>
    </row>
    <row r="23" spans="1:11" s="8" customFormat="1" x14ac:dyDescent="0.3">
      <c r="A23" s="8" t="s">
        <v>59</v>
      </c>
      <c r="B23" s="14">
        <f>IF(SUM('Balance Sheet'!B4:B5)&gt;0,'Profit &amp; Loss'!B12/SUM('Balance Sheet'!B4:B5),"")</f>
        <v>0.12976802362858553</v>
      </c>
      <c r="C23" s="14">
        <f>IF(SUM('Balance Sheet'!C4:C5)&gt;0,'Profit &amp; Loss'!C12/SUM('Balance Sheet'!C4:C5),"")</f>
        <v>0.13271524534340634</v>
      </c>
      <c r="D23" s="14">
        <f>IF(SUM('Balance Sheet'!D4:D5)&gt;0,'Profit &amp; Loss'!D12/SUM('Balance Sheet'!D4:D5),"")</f>
        <v>0.15656457661688269</v>
      </c>
      <c r="E23" s="14">
        <f>IF(SUM('Balance Sheet'!E4:E5)&gt;0,'Profit &amp; Loss'!E12/SUM('Balance Sheet'!E4:E5),"")</f>
        <v>0.17955317481055658</v>
      </c>
      <c r="F23" s="14">
        <f>IF(SUM('Balance Sheet'!F4:F5)&gt;0,'Profit &amp; Loss'!F12/SUM('Balance Sheet'!F4:F5),"")</f>
        <v>0.20255912998211736</v>
      </c>
      <c r="G23" s="14">
        <f>IF(SUM('Balance Sheet'!G4:G5)&gt;0,'Profit &amp; Loss'!G12/SUM('Balance Sheet'!G4:G5),"")</f>
        <v>0.18515298617931644</v>
      </c>
      <c r="H23" s="14">
        <f>IF(SUM('Balance Sheet'!H4:H5)&gt;0,'Profit &amp; Loss'!H12/SUM('Balance Sheet'!H4:H5),"")</f>
        <v>0.16242851773439707</v>
      </c>
      <c r="I23" s="14">
        <f>IF(SUM('Balance Sheet'!I4:I5)&gt;0,'Profit &amp; Loss'!I12/SUM('Balance Sheet'!I4:I5),"")</f>
        <v>0.11486855685750713</v>
      </c>
      <c r="J23" s="14">
        <f>IF(SUM('Balance Sheet'!J4:J5)&gt;0,'Profit &amp; Loss'!J12/SUM('Balance Sheet'!J4:J5),"")</f>
        <v>8.3600949322483936E-2</v>
      </c>
      <c r="K23" s="14">
        <f>IF(SUM('Balance Sheet'!K4:K5)&gt;0,'Profit &amp; Loss'!K12/SUM('Balance Sheet'!K4:K5),"")</f>
        <v>7.011123460471505E-2</v>
      </c>
    </row>
    <row r="24" spans="1:11" s="8" customFormat="1" x14ac:dyDescent="0.3">
      <c r="A24" s="8" t="s">
        <v>60</v>
      </c>
      <c r="B24" s="14"/>
      <c r="C24" s="14">
        <f>IF((B4+B5+B6+C4+C5+C6)&gt;0,('Profit &amp; Loss'!C10+'Profit &amp; Loss'!C9)*2/(B4+B5+B6+C4+C5+C6),"")</f>
        <v>0.17771236657285855</v>
      </c>
      <c r="D24" s="14">
        <f>IF((C4+C5+C6+D4+D5+D6)&gt;0,('Profit &amp; Loss'!D10+'Profit &amp; Loss'!D9)*2/(C4+C5+C6+D4+D5+D6),"")</f>
        <v>0.21424313861371846</v>
      </c>
      <c r="E24" s="14">
        <f>IF((D4+D5+D6+E4+E5+E6)&gt;0,('Profit &amp; Loss'!E10+'Profit &amp; Loss'!E9)*2/(D4+D5+D6+E4+E5+E6),"")</f>
        <v>0.27462633101385414</v>
      </c>
      <c r="F24" s="14">
        <f>IF((E4+E5+E6+F4+F5+F6)&gt;0,('Profit &amp; Loss'!F10+'Profit &amp; Loss'!F9)*2/(E4+E5+E6+F4+F5+F6),"")</f>
        <v>0.29870653864595881</v>
      </c>
      <c r="G24" s="14">
        <f>IF((F4+F5+F6+G4+G5+G6)&gt;0,('Profit &amp; Loss'!G10+'Profit &amp; Loss'!G9)*2/(F4+F5+F6+G4+G5+G6),"")</f>
        <v>0.28696056401570802</v>
      </c>
      <c r="H24" s="14">
        <f>IF((G4+G5+G6+H4+H5+H6)&gt;0,('Profit &amp; Loss'!H10+'Profit &amp; Loss'!H9)*2/(G4+G5+G6+H4+H5+H6),"")</f>
        <v>0.23795116082280032</v>
      </c>
      <c r="I24" s="14">
        <f>IF((H4+H5+H6+I4+I5+I6)&gt;0,('Profit &amp; Loss'!I10+'Profit &amp; Loss'!I9)*2/(H4+H5+H6+I4+I5+I6),"")</f>
        <v>0.14944945110316285</v>
      </c>
      <c r="J24" s="14">
        <f>IF((I4+I5+I6+J4+J5+J6)&gt;0,('Profit &amp; Loss'!J10+'Profit &amp; Loss'!J9)*2/(I4+I5+I6+J4+J5+J6),"")</f>
        <v>0.10566784815849009</v>
      </c>
      <c r="K24" s="14">
        <f>IF((J4+J5+J6+K4+K5+K6)&gt;0,('Profit &amp; Loss'!K10+'Profit &amp; Loss'!K9)*2/(J4+J5+J6+K4+K5+K6),"")</f>
        <v>8.8672386615870333E-2</v>
      </c>
    </row>
    <row r="25" spans="1:11" s="18" customFormat="1" x14ac:dyDescent="0.3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ColWidth="8.77734375" defaultRowHeight="14.4" x14ac:dyDescent="0.3"/>
  <cols>
    <col min="1" max="1" width="26.77734375" style="6" bestFit="1" customWidth="1"/>
    <col min="2" max="6" width="13.44140625" style="6" customWidth="1"/>
    <col min="7" max="11" width="13.44140625" style="6" bestFit="1" customWidth="1"/>
    <col min="12" max="16384" width="8.77734375" style="6"/>
  </cols>
  <sheetData>
    <row r="1" spans="1:11" s="8" customFormat="1" x14ac:dyDescent="0.3">
      <c r="A1" s="8" t="str">
        <f>'Balance Sheet'!A1</f>
        <v>MARUTI SUZUKI INDIA LTD</v>
      </c>
      <c r="E1" t="str">
        <f>UPDATE</f>
        <v/>
      </c>
      <c r="F1"/>
      <c r="J1" s="4" t="s">
        <v>1</v>
      </c>
      <c r="K1" s="4"/>
    </row>
    <row r="3" spans="1:11" s="2" customFormat="1" x14ac:dyDescent="0.3">
      <c r="A3" s="15" t="s">
        <v>2</v>
      </c>
      <c r="B3" s="16">
        <f>'Data Sheet'!B81</f>
        <v>41364</v>
      </c>
      <c r="C3" s="16">
        <f>'Data Sheet'!C81</f>
        <v>41729</v>
      </c>
      <c r="D3" s="16">
        <f>'Data Sheet'!D81</f>
        <v>42094</v>
      </c>
      <c r="E3" s="16">
        <f>'Data Sheet'!E81</f>
        <v>42460</v>
      </c>
      <c r="F3" s="16">
        <f>'Data Sheet'!F81</f>
        <v>42825</v>
      </c>
      <c r="G3" s="16">
        <f>'Data Sheet'!G81</f>
        <v>43190</v>
      </c>
      <c r="H3" s="16">
        <f>'Data Sheet'!H81</f>
        <v>43555</v>
      </c>
      <c r="I3" s="16">
        <f>'Data Sheet'!I81</f>
        <v>43921</v>
      </c>
      <c r="J3" s="16">
        <f>'Data Sheet'!J81</f>
        <v>44286</v>
      </c>
      <c r="K3" s="16">
        <f>'Data Sheet'!K81</f>
        <v>44651</v>
      </c>
    </row>
    <row r="4" spans="1:11" s="8" customFormat="1" x14ac:dyDescent="0.3">
      <c r="A4" s="8" t="s">
        <v>32</v>
      </c>
      <c r="B4" s="1">
        <f>'Data Sheet'!B82</f>
        <v>4058.9</v>
      </c>
      <c r="C4" s="1">
        <f>'Data Sheet'!C82</f>
        <v>4994.6000000000004</v>
      </c>
      <c r="D4" s="1">
        <f>'Data Sheet'!D82</f>
        <v>6449.2</v>
      </c>
      <c r="E4" s="1">
        <f>'Data Sheet'!E82</f>
        <v>8482.5</v>
      </c>
      <c r="F4" s="1">
        <f>'Data Sheet'!F82</f>
        <v>10282</v>
      </c>
      <c r="G4" s="1">
        <f>'Data Sheet'!G82</f>
        <v>11787.9</v>
      </c>
      <c r="H4" s="1">
        <f>'Data Sheet'!H82</f>
        <v>6600.9</v>
      </c>
      <c r="I4" s="1">
        <f>'Data Sheet'!I82</f>
        <v>3495.8</v>
      </c>
      <c r="J4" s="1">
        <f>'Data Sheet'!J82</f>
        <v>8856.2000000000007</v>
      </c>
      <c r="K4" s="1">
        <f>'Data Sheet'!K82</f>
        <v>1840.5</v>
      </c>
    </row>
    <row r="5" spans="1:11" x14ac:dyDescent="0.3">
      <c r="A5" s="6" t="s">
        <v>33</v>
      </c>
      <c r="B5" s="9">
        <f>'Data Sheet'!B83</f>
        <v>-3118.9</v>
      </c>
      <c r="C5" s="9">
        <f>'Data Sheet'!C83</f>
        <v>-4996.8999999999996</v>
      </c>
      <c r="D5" s="9">
        <f>'Data Sheet'!D83</f>
        <v>-4491.1000000000004</v>
      </c>
      <c r="E5" s="9">
        <f>'Data Sheet'!E83</f>
        <v>-7230.4</v>
      </c>
      <c r="F5" s="9">
        <f>'Data Sheet'!F83</f>
        <v>-9173.2000000000007</v>
      </c>
      <c r="G5" s="9">
        <f>'Data Sheet'!G83</f>
        <v>-8301.7000000000007</v>
      </c>
      <c r="H5" s="9">
        <f>'Data Sheet'!H83</f>
        <v>-3539.9</v>
      </c>
      <c r="I5" s="9">
        <f>'Data Sheet'!I83</f>
        <v>-556.6</v>
      </c>
      <c r="J5" s="9">
        <f>'Data Sheet'!J83</f>
        <v>-7291.3</v>
      </c>
      <c r="K5" s="9">
        <f>'Data Sheet'!K83</f>
        <v>-239.2</v>
      </c>
    </row>
    <row r="6" spans="1:11" x14ac:dyDescent="0.3">
      <c r="A6" s="6" t="s">
        <v>34</v>
      </c>
      <c r="B6" s="9">
        <f>'Data Sheet'!B84</f>
        <v>-978.6</v>
      </c>
      <c r="C6" s="9">
        <f>'Data Sheet'!C84</f>
        <v>-73.900000000000006</v>
      </c>
      <c r="D6" s="9">
        <f>'Data Sheet'!D84</f>
        <v>-2003.5</v>
      </c>
      <c r="E6" s="9">
        <f>'Data Sheet'!E84</f>
        <v>-1236.5999999999999</v>
      </c>
      <c r="F6" s="9">
        <f>'Data Sheet'!F84</f>
        <v>-1129.3</v>
      </c>
      <c r="G6" s="9">
        <f>'Data Sheet'!G84</f>
        <v>-3436.1</v>
      </c>
      <c r="H6" s="9">
        <f>'Data Sheet'!H84</f>
        <v>-2947.9</v>
      </c>
      <c r="I6" s="9">
        <f>'Data Sheet'!I84</f>
        <v>-3104.3</v>
      </c>
      <c r="J6" s="9">
        <f>'Data Sheet'!J84</f>
        <v>-1544.9</v>
      </c>
      <c r="K6" s="9">
        <f>'Data Sheet'!K84</f>
        <v>-1607</v>
      </c>
    </row>
    <row r="7" spans="1:11" s="8" customFormat="1" x14ac:dyDescent="0.3">
      <c r="A7" s="8" t="s">
        <v>35</v>
      </c>
      <c r="B7" s="1">
        <f>'Data Sheet'!B85</f>
        <v>-38.6</v>
      </c>
      <c r="C7" s="1">
        <f>'Data Sheet'!C85</f>
        <v>-76.2</v>
      </c>
      <c r="D7" s="1">
        <f>'Data Sheet'!D85</f>
        <v>-45.4</v>
      </c>
      <c r="E7" s="1">
        <f>'Data Sheet'!E85</f>
        <v>15.5</v>
      </c>
      <c r="F7" s="1">
        <f>'Data Sheet'!F85</f>
        <v>-20.5</v>
      </c>
      <c r="G7" s="1">
        <f>'Data Sheet'!G85</f>
        <v>50.1</v>
      </c>
      <c r="H7" s="1">
        <f>'Data Sheet'!H85</f>
        <v>113.1</v>
      </c>
      <c r="I7" s="1">
        <f>'Data Sheet'!I85</f>
        <v>-165.1</v>
      </c>
      <c r="J7" s="1">
        <f>'Data Sheet'!J85</f>
        <v>20</v>
      </c>
      <c r="K7" s="1">
        <f>'Data Sheet'!K85</f>
        <v>-5.7</v>
      </c>
    </row>
    <row r="8" spans="1:11" x14ac:dyDescent="0.3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topLeftCell="A5"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8"/>
    <col min="2" max="2" width="10.44140625" style="11" customWidth="1"/>
    <col min="3" max="3" width="13.33203125" style="26" customWidth="1"/>
    <col min="4" max="5" width="8.77734375" style="11"/>
    <col min="6" max="6" width="6.77734375" style="11" customWidth="1"/>
    <col min="7" max="16384" width="8.77734375" style="11"/>
  </cols>
  <sheetData>
    <row r="1" spans="1:7" ht="21" x14ac:dyDescent="0.4">
      <c r="A1" s="25" t="s">
        <v>56</v>
      </c>
    </row>
    <row r="3" spans="1:7" x14ac:dyDescent="0.3">
      <c r="A3" s="8" t="s">
        <v>48</v>
      </c>
    </row>
    <row r="4" spans="1:7" x14ac:dyDescent="0.3">
      <c r="B4" s="11" t="s">
        <v>90</v>
      </c>
    </row>
    <row r="5" spans="1:7" x14ac:dyDescent="0.3">
      <c r="B5" s="11" t="s">
        <v>49</v>
      </c>
    </row>
    <row r="7" spans="1:7" x14ac:dyDescent="0.3">
      <c r="A7" s="8" t="s">
        <v>50</v>
      </c>
    </row>
    <row r="8" spans="1:7" x14ac:dyDescent="0.3">
      <c r="B8" s="11" t="s">
        <v>51</v>
      </c>
      <c r="C8" s="27" t="s">
        <v>91</v>
      </c>
    </row>
    <row r="10" spans="1:7" x14ac:dyDescent="0.3">
      <c r="A10" s="8" t="s">
        <v>52</v>
      </c>
    </row>
    <row r="11" spans="1:7" x14ac:dyDescent="0.3">
      <c r="B11" s="11" t="s">
        <v>53</v>
      </c>
    </row>
    <row r="14" spans="1:7" x14ac:dyDescent="0.3">
      <c r="A14" s="8" t="s">
        <v>54</v>
      </c>
    </row>
    <row r="15" spans="1:7" x14ac:dyDescent="0.3">
      <c r="B15" s="11" t="s">
        <v>55</v>
      </c>
    </row>
    <row r="16" spans="1:7" x14ac:dyDescent="0.3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tabSelected="1" zoomScale="120" zoomScaleNormal="120" zoomScalePageLayoutView="120" workbookViewId="0">
      <pane xSplit="1" ySplit="1" topLeftCell="B74" activePane="bottomRight" state="frozen"/>
      <selection activeCell="C4" sqref="C4"/>
      <selection pane="topRight" activeCell="C4" sqref="C4"/>
      <selection pane="bottomLeft" activeCell="C4" sqref="C4"/>
      <selection pane="bottomRight" activeCell="B90" sqref="B90"/>
    </sheetView>
  </sheetViews>
  <sheetFormatPr defaultColWidth="8.77734375" defaultRowHeight="14.4" x14ac:dyDescent="0.3"/>
  <cols>
    <col min="1" max="1" width="27.6640625" style="5" bestFit="1" customWidth="1"/>
    <col min="2" max="11" width="13.44140625" style="5" bestFit="1" customWidth="1"/>
    <col min="12" max="16384" width="8.77734375" style="5"/>
  </cols>
  <sheetData>
    <row r="1" spans="1:11" s="1" customFormat="1" x14ac:dyDescent="0.3">
      <c r="A1" s="1" t="s">
        <v>0</v>
      </c>
      <c r="B1" s="1" t="s">
        <v>63</v>
      </c>
      <c r="E1" s="32" t="str">
        <f>IF(B2&lt;&gt;B3, "A NEW VERSION OF THE WORKSHEET IS AVAILABLE", "")</f>
        <v/>
      </c>
      <c r="F1" s="32"/>
      <c r="G1" s="32"/>
      <c r="H1" s="32"/>
      <c r="I1" s="32"/>
      <c r="J1" s="32"/>
      <c r="K1" s="32"/>
    </row>
    <row r="2" spans="1:11" x14ac:dyDescent="0.3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3">
      <c r="A3" s="1" t="s">
        <v>62</v>
      </c>
      <c r="B3" s="5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5" t="s">
        <v>42</v>
      </c>
      <c r="B6" s="5">
        <f>IF(B9&gt;0, B9/B8, 0)</f>
        <v>30.207999482538622</v>
      </c>
    </row>
    <row r="7" spans="1:11" x14ac:dyDescent="0.3">
      <c r="A7" s="5" t="s">
        <v>31</v>
      </c>
      <c r="B7">
        <v>5</v>
      </c>
    </row>
    <row r="8" spans="1:11" x14ac:dyDescent="0.3">
      <c r="A8" s="5" t="s">
        <v>43</v>
      </c>
      <c r="B8">
        <v>8503.0499999999993</v>
      </c>
    </row>
    <row r="9" spans="1:11" x14ac:dyDescent="0.3">
      <c r="A9" s="5" t="s">
        <v>79</v>
      </c>
      <c r="B9">
        <v>256860.13</v>
      </c>
    </row>
    <row r="15" spans="1:11" x14ac:dyDescent="0.3">
      <c r="A15" s="1" t="s">
        <v>37</v>
      </c>
    </row>
    <row r="16" spans="1:11" s="24" customFormat="1" x14ac:dyDescent="0.3">
      <c r="A16" s="23" t="s">
        <v>38</v>
      </c>
      <c r="B16" s="16">
        <v>41364</v>
      </c>
      <c r="C16" s="16">
        <v>41729</v>
      </c>
      <c r="D16" s="16">
        <v>42094</v>
      </c>
      <c r="E16" s="16">
        <v>42460</v>
      </c>
      <c r="F16" s="16">
        <v>42825</v>
      </c>
      <c r="G16" s="16">
        <v>43190</v>
      </c>
      <c r="H16" s="16">
        <v>43555</v>
      </c>
      <c r="I16" s="16">
        <v>43921</v>
      </c>
      <c r="J16" s="16">
        <v>44286</v>
      </c>
      <c r="K16" s="16">
        <v>44651</v>
      </c>
    </row>
    <row r="17" spans="1:11" s="9" customFormat="1" x14ac:dyDescent="0.3">
      <c r="A17" s="9" t="s">
        <v>6</v>
      </c>
      <c r="B17">
        <v>44304.4</v>
      </c>
      <c r="C17">
        <v>44541.8</v>
      </c>
      <c r="D17">
        <v>50801.4</v>
      </c>
      <c r="E17">
        <v>57589</v>
      </c>
      <c r="F17">
        <v>68085</v>
      </c>
      <c r="G17">
        <v>79809.399999999994</v>
      </c>
      <c r="H17">
        <v>86068.5</v>
      </c>
      <c r="I17">
        <v>75660</v>
      </c>
      <c r="J17">
        <v>70372</v>
      </c>
      <c r="K17">
        <v>88329.8</v>
      </c>
    </row>
    <row r="18" spans="1:11" s="9" customFormat="1" x14ac:dyDescent="0.3">
      <c r="A18" s="5" t="s">
        <v>80</v>
      </c>
      <c r="B18">
        <v>33031.800000000003</v>
      </c>
      <c r="C18">
        <v>31832.6</v>
      </c>
      <c r="D18">
        <v>36075.599999999999</v>
      </c>
      <c r="E18">
        <v>38701.199999999997</v>
      </c>
      <c r="F18">
        <v>47121.5</v>
      </c>
      <c r="G18">
        <v>54945.3</v>
      </c>
      <c r="H18">
        <v>59346.6</v>
      </c>
      <c r="I18">
        <v>53402</v>
      </c>
      <c r="J18">
        <v>50550.5</v>
      </c>
      <c r="K18">
        <v>66137.100000000006</v>
      </c>
    </row>
    <row r="19" spans="1:11" s="9" customFormat="1" x14ac:dyDescent="0.3">
      <c r="A19" s="5" t="s">
        <v>81</v>
      </c>
      <c r="B19">
        <v>-19.2</v>
      </c>
      <c r="C19">
        <v>-20.399999999999999</v>
      </c>
      <c r="D19">
        <v>460.9</v>
      </c>
      <c r="E19">
        <v>-4.8</v>
      </c>
      <c r="F19">
        <v>379.3</v>
      </c>
      <c r="G19">
        <v>-40.799999999999997</v>
      </c>
      <c r="H19">
        <v>-211.6</v>
      </c>
      <c r="I19">
        <v>238.7</v>
      </c>
      <c r="J19">
        <v>-273.60000000000002</v>
      </c>
      <c r="K19">
        <v>93.1</v>
      </c>
    </row>
    <row r="20" spans="1:11" s="9" customFormat="1" x14ac:dyDescent="0.3">
      <c r="A20" s="5" t="s">
        <v>82</v>
      </c>
      <c r="B20">
        <v>495.1</v>
      </c>
      <c r="C20">
        <v>595.70000000000005</v>
      </c>
      <c r="D20">
        <v>713.8</v>
      </c>
      <c r="E20">
        <v>694.1</v>
      </c>
      <c r="F20">
        <v>518.6</v>
      </c>
      <c r="G20">
        <v>673.4</v>
      </c>
      <c r="H20">
        <v>863.3</v>
      </c>
      <c r="I20">
        <v>699.5</v>
      </c>
      <c r="J20">
        <v>476.6</v>
      </c>
      <c r="K20">
        <v>630.9</v>
      </c>
    </row>
    <row r="21" spans="1:11" s="9" customFormat="1" x14ac:dyDescent="0.3">
      <c r="A21" s="5" t="s">
        <v>83</v>
      </c>
      <c r="B21">
        <v>336.2</v>
      </c>
      <c r="C21">
        <v>312.89999999999998</v>
      </c>
      <c r="D21">
        <v>304.39999999999998</v>
      </c>
      <c r="E21">
        <v>427.8</v>
      </c>
      <c r="F21">
        <v>382.9</v>
      </c>
      <c r="G21">
        <v>462.1</v>
      </c>
      <c r="H21">
        <v>475.7</v>
      </c>
      <c r="I21">
        <v>378.1</v>
      </c>
      <c r="J21">
        <v>683.3</v>
      </c>
      <c r="K21">
        <v>852.5</v>
      </c>
    </row>
    <row r="22" spans="1:11" s="9" customFormat="1" x14ac:dyDescent="0.3">
      <c r="A22" s="5" t="s">
        <v>84</v>
      </c>
      <c r="B22">
        <v>1120.2</v>
      </c>
      <c r="C22">
        <v>1423.7</v>
      </c>
      <c r="D22">
        <v>1671</v>
      </c>
      <c r="E22">
        <v>2000.3</v>
      </c>
      <c r="F22">
        <v>2360.3000000000002</v>
      </c>
      <c r="G22">
        <v>2863.4</v>
      </c>
      <c r="H22">
        <v>3285</v>
      </c>
      <c r="I22">
        <v>3416.2</v>
      </c>
      <c r="J22">
        <v>3431.6</v>
      </c>
      <c r="K22">
        <v>4051.4</v>
      </c>
    </row>
    <row r="23" spans="1:11" s="9" customFormat="1" x14ac:dyDescent="0.3">
      <c r="A23" s="5" t="s">
        <v>85</v>
      </c>
      <c r="B23">
        <v>3781.3</v>
      </c>
      <c r="C23">
        <v>3705.8</v>
      </c>
      <c r="D23">
        <v>4318</v>
      </c>
      <c r="E23">
        <v>5367.3</v>
      </c>
      <c r="F23">
        <v>6111.3</v>
      </c>
      <c r="G23">
        <v>6755.3</v>
      </c>
      <c r="H23">
        <v>8390.2999999999993</v>
      </c>
      <c r="I23">
        <v>8456.2999999999993</v>
      </c>
      <c r="J23">
        <v>7924</v>
      </c>
      <c r="K23">
        <v>9119.1</v>
      </c>
    </row>
    <row r="24" spans="1:11" s="9" customFormat="1" x14ac:dyDescent="0.3">
      <c r="A24" s="5" t="s">
        <v>86</v>
      </c>
      <c r="B24">
        <v>1159.9000000000001</v>
      </c>
      <c r="C24">
        <v>1340.8</v>
      </c>
      <c r="D24">
        <v>1287.0999999999999</v>
      </c>
      <c r="E24">
        <v>1369.4</v>
      </c>
      <c r="F24">
        <v>1548.4</v>
      </c>
      <c r="G24">
        <v>1951.2</v>
      </c>
      <c r="H24">
        <v>2439.6999999999998</v>
      </c>
      <c r="I24">
        <v>2191.6</v>
      </c>
      <c r="J24">
        <v>1621.8</v>
      </c>
      <c r="K24">
        <v>1879.9</v>
      </c>
    </row>
    <row r="25" spans="1:11" s="9" customFormat="1" x14ac:dyDescent="0.3">
      <c r="A25" s="9" t="s">
        <v>9</v>
      </c>
      <c r="B25">
        <v>796.9</v>
      </c>
      <c r="C25">
        <v>724.4</v>
      </c>
      <c r="D25">
        <v>816.7</v>
      </c>
      <c r="E25">
        <v>1464.1</v>
      </c>
      <c r="F25">
        <v>2399.1999999999998</v>
      </c>
      <c r="G25">
        <v>2154.6</v>
      </c>
      <c r="H25">
        <v>2664.2</v>
      </c>
      <c r="I25">
        <v>3410.4</v>
      </c>
      <c r="J25">
        <v>3046.3</v>
      </c>
      <c r="K25">
        <v>1860.8</v>
      </c>
    </row>
    <row r="26" spans="1:11" s="9" customFormat="1" x14ac:dyDescent="0.3">
      <c r="A26" s="9" t="s">
        <v>10</v>
      </c>
      <c r="B26">
        <v>1889.7</v>
      </c>
      <c r="C26">
        <v>2116</v>
      </c>
      <c r="D26">
        <v>2515.3000000000002</v>
      </c>
      <c r="E26">
        <v>2821.8</v>
      </c>
      <c r="F26">
        <v>2603.9</v>
      </c>
      <c r="G26">
        <v>2759.8</v>
      </c>
      <c r="H26">
        <v>3020.8</v>
      </c>
      <c r="I26">
        <v>3528.4</v>
      </c>
      <c r="J26">
        <v>3034.1</v>
      </c>
      <c r="K26">
        <v>2789</v>
      </c>
    </row>
    <row r="27" spans="1:11" s="9" customFormat="1" x14ac:dyDescent="0.3">
      <c r="A27" s="9" t="s">
        <v>11</v>
      </c>
      <c r="B27">
        <v>197.8</v>
      </c>
      <c r="C27">
        <v>184.5</v>
      </c>
      <c r="D27">
        <v>217.8</v>
      </c>
      <c r="E27">
        <v>81.7</v>
      </c>
      <c r="F27">
        <v>89.4</v>
      </c>
      <c r="G27">
        <v>345.8</v>
      </c>
      <c r="H27">
        <v>75.900000000000006</v>
      </c>
      <c r="I27">
        <v>134.19999999999999</v>
      </c>
      <c r="J27">
        <v>101.8</v>
      </c>
      <c r="K27">
        <v>126.6</v>
      </c>
    </row>
    <row r="28" spans="1:11" s="9" customFormat="1" x14ac:dyDescent="0.3">
      <c r="A28" s="9" t="s">
        <v>12</v>
      </c>
      <c r="B28">
        <v>3070.1</v>
      </c>
      <c r="C28">
        <v>3733.8</v>
      </c>
      <c r="D28">
        <v>4976</v>
      </c>
      <c r="E28">
        <v>7584.7</v>
      </c>
      <c r="F28">
        <v>10127.200000000001</v>
      </c>
      <c r="G28">
        <v>11166.9</v>
      </c>
      <c r="H28">
        <v>10623.8</v>
      </c>
      <c r="I28">
        <v>7102.8</v>
      </c>
      <c r="J28">
        <v>5321</v>
      </c>
      <c r="K28">
        <v>4697.2</v>
      </c>
    </row>
    <row r="29" spans="1:11" s="9" customFormat="1" x14ac:dyDescent="0.3">
      <c r="A29" s="9" t="s">
        <v>13</v>
      </c>
      <c r="B29">
        <v>621.5</v>
      </c>
      <c r="C29">
        <v>902.2</v>
      </c>
      <c r="D29">
        <v>1185.4000000000001</v>
      </c>
      <c r="E29">
        <v>2087.5</v>
      </c>
      <c r="F29">
        <v>2616.1999999999998</v>
      </c>
      <c r="G29">
        <v>3286.2</v>
      </c>
      <c r="H29">
        <v>2973.2</v>
      </c>
      <c r="I29">
        <v>1425.2</v>
      </c>
      <c r="J29">
        <v>931.9</v>
      </c>
      <c r="K29">
        <v>817.7</v>
      </c>
    </row>
    <row r="30" spans="1:11" s="9" customFormat="1" x14ac:dyDescent="0.3">
      <c r="A30" s="9" t="s">
        <v>14</v>
      </c>
      <c r="B30">
        <v>2469.1999999999998</v>
      </c>
      <c r="C30">
        <v>2852.9</v>
      </c>
      <c r="D30">
        <v>3807.4</v>
      </c>
      <c r="E30">
        <v>5497.2</v>
      </c>
      <c r="F30">
        <v>7509.9</v>
      </c>
      <c r="G30">
        <v>7880</v>
      </c>
      <c r="H30">
        <v>7649.1</v>
      </c>
      <c r="I30">
        <v>5676</v>
      </c>
      <c r="J30">
        <v>4389.1000000000004</v>
      </c>
      <c r="K30">
        <v>3879.5</v>
      </c>
    </row>
    <row r="31" spans="1:11" s="9" customFormat="1" x14ac:dyDescent="0.3">
      <c r="A31" s="9" t="s">
        <v>70</v>
      </c>
      <c r="B31">
        <v>241.6</v>
      </c>
      <c r="C31">
        <v>362.4</v>
      </c>
      <c r="D31">
        <v>755</v>
      </c>
      <c r="E31">
        <v>1057</v>
      </c>
      <c r="F31">
        <v>2265</v>
      </c>
      <c r="G31">
        <v>2416</v>
      </c>
      <c r="H31">
        <v>2416</v>
      </c>
      <c r="I31">
        <v>1812</v>
      </c>
      <c r="J31">
        <v>1359</v>
      </c>
      <c r="K31">
        <v>1812</v>
      </c>
    </row>
    <row r="32" spans="1:11" s="9" customFormat="1" x14ac:dyDescent="0.3"/>
    <row r="33" spans="1:11" x14ac:dyDescent="0.3">
      <c r="A33" s="9"/>
    </row>
    <row r="34" spans="1:11" x14ac:dyDescent="0.3">
      <c r="A34" s="9"/>
    </row>
    <row r="35" spans="1:11" x14ac:dyDescent="0.3">
      <c r="A35" s="9"/>
    </row>
    <row r="36" spans="1:11" x14ac:dyDescent="0.3">
      <c r="A36" s="9"/>
    </row>
    <row r="37" spans="1:11" x14ac:dyDescent="0.3">
      <c r="A37" s="9"/>
    </row>
    <row r="38" spans="1:11" x14ac:dyDescent="0.3">
      <c r="A38" s="9"/>
    </row>
    <row r="39" spans="1:11" x14ac:dyDescent="0.3">
      <c r="A39" s="9"/>
    </row>
    <row r="40" spans="1:11" x14ac:dyDescent="0.3">
      <c r="A40" s="1" t="s">
        <v>39</v>
      </c>
    </row>
    <row r="41" spans="1:11" s="24" customFormat="1" x14ac:dyDescent="0.3">
      <c r="A41" s="23" t="s">
        <v>38</v>
      </c>
      <c r="B41" s="16">
        <v>44104</v>
      </c>
      <c r="C41" s="16">
        <v>44196</v>
      </c>
      <c r="D41" s="16">
        <v>44286</v>
      </c>
      <c r="E41" s="16">
        <v>44377</v>
      </c>
      <c r="F41" s="16">
        <v>44469</v>
      </c>
      <c r="G41" s="16">
        <v>44561</v>
      </c>
      <c r="H41" s="16">
        <v>44651</v>
      </c>
      <c r="I41" s="16">
        <v>44742</v>
      </c>
      <c r="J41" s="16">
        <v>44834</v>
      </c>
      <c r="K41" s="16">
        <v>44926</v>
      </c>
    </row>
    <row r="42" spans="1:11" s="9" customFormat="1" x14ac:dyDescent="0.3">
      <c r="A42" s="9" t="s">
        <v>6</v>
      </c>
      <c r="B42">
        <v>18755.599999999999</v>
      </c>
      <c r="C42">
        <v>23471.3</v>
      </c>
      <c r="D42">
        <v>24034.5</v>
      </c>
      <c r="E42">
        <v>17776.400000000001</v>
      </c>
      <c r="F42">
        <v>20550.900000000001</v>
      </c>
      <c r="G42">
        <v>23253.3</v>
      </c>
      <c r="H42">
        <v>26749.200000000001</v>
      </c>
      <c r="I42">
        <v>26511.7</v>
      </c>
      <c r="J42">
        <v>29942.5</v>
      </c>
      <c r="K42">
        <v>29057.5</v>
      </c>
    </row>
    <row r="43" spans="1:11" s="9" customFormat="1" x14ac:dyDescent="0.3">
      <c r="A43" s="9" t="s">
        <v>7</v>
      </c>
      <c r="B43">
        <v>16819.2</v>
      </c>
      <c r="C43">
        <v>21243.5</v>
      </c>
      <c r="D43">
        <v>22039.8</v>
      </c>
      <c r="E43">
        <v>16957.5</v>
      </c>
      <c r="F43">
        <v>19694.2</v>
      </c>
      <c r="G43">
        <v>21691.1</v>
      </c>
      <c r="H43">
        <v>24320.2</v>
      </c>
      <c r="I43">
        <v>24596.799999999999</v>
      </c>
      <c r="J43">
        <v>27171.599999999999</v>
      </c>
      <c r="K43">
        <v>26220.5</v>
      </c>
    </row>
    <row r="44" spans="1:11" s="9" customFormat="1" x14ac:dyDescent="0.3">
      <c r="A44" s="9" t="s">
        <v>9</v>
      </c>
      <c r="B44">
        <v>649.5</v>
      </c>
      <c r="C44">
        <v>1053.5</v>
      </c>
      <c r="D44">
        <v>163.1</v>
      </c>
      <c r="E44">
        <v>543.79999999999995</v>
      </c>
      <c r="F44">
        <v>532.5</v>
      </c>
      <c r="G44">
        <v>355.4</v>
      </c>
      <c r="H44">
        <v>514.29999999999995</v>
      </c>
      <c r="I44">
        <v>111.8</v>
      </c>
      <c r="J44">
        <v>661.7</v>
      </c>
      <c r="K44">
        <v>896.9</v>
      </c>
    </row>
    <row r="45" spans="1:11" s="9" customFormat="1" x14ac:dyDescent="0.3">
      <c r="A45" s="9" t="s">
        <v>10</v>
      </c>
      <c r="B45">
        <v>766.5</v>
      </c>
      <c r="C45">
        <v>742</v>
      </c>
      <c r="D45">
        <v>741.6</v>
      </c>
      <c r="E45">
        <v>743.8</v>
      </c>
      <c r="F45">
        <v>756.8</v>
      </c>
      <c r="G45">
        <v>640.6</v>
      </c>
      <c r="H45">
        <v>647.79999999999995</v>
      </c>
      <c r="I45">
        <v>652</v>
      </c>
      <c r="J45">
        <v>723.3</v>
      </c>
      <c r="K45">
        <v>710.7</v>
      </c>
    </row>
    <row r="46" spans="1:11" s="9" customFormat="1" x14ac:dyDescent="0.3">
      <c r="A46" s="9" t="s">
        <v>11</v>
      </c>
      <c r="B46">
        <v>22.6</v>
      </c>
      <c r="C46">
        <v>29</v>
      </c>
      <c r="D46">
        <v>32.6</v>
      </c>
      <c r="E46">
        <v>22.4</v>
      </c>
      <c r="F46">
        <v>22.7</v>
      </c>
      <c r="G46">
        <v>25.3</v>
      </c>
      <c r="H46">
        <v>56.2</v>
      </c>
      <c r="I46">
        <v>27.5</v>
      </c>
      <c r="J46">
        <v>30.7</v>
      </c>
      <c r="K46">
        <v>29.6</v>
      </c>
    </row>
    <row r="47" spans="1:11" s="9" customFormat="1" x14ac:dyDescent="0.3">
      <c r="A47" s="9" t="s">
        <v>12</v>
      </c>
      <c r="B47">
        <v>1796.8</v>
      </c>
      <c r="C47">
        <v>2510.3000000000002</v>
      </c>
      <c r="D47">
        <v>1383.6</v>
      </c>
      <c r="E47">
        <v>596.5</v>
      </c>
      <c r="F47">
        <v>609.70000000000005</v>
      </c>
      <c r="G47">
        <v>1251.7</v>
      </c>
      <c r="H47">
        <v>2239.3000000000002</v>
      </c>
      <c r="I47">
        <v>1347.2</v>
      </c>
      <c r="J47">
        <v>2678.6</v>
      </c>
      <c r="K47">
        <v>2993.6</v>
      </c>
    </row>
    <row r="48" spans="1:11" s="9" customFormat="1" x14ac:dyDescent="0.3">
      <c r="A48" s="9" t="s">
        <v>13</v>
      </c>
      <c r="B48">
        <v>377.2</v>
      </c>
      <c r="C48">
        <v>513.6</v>
      </c>
      <c r="D48">
        <v>142.5</v>
      </c>
      <c r="E48">
        <v>121.5</v>
      </c>
      <c r="F48">
        <v>122.8</v>
      </c>
      <c r="G48">
        <v>209.9</v>
      </c>
      <c r="H48">
        <v>363.5</v>
      </c>
      <c r="I48">
        <v>311</v>
      </c>
      <c r="J48">
        <v>566.1</v>
      </c>
      <c r="K48">
        <v>602.1</v>
      </c>
    </row>
    <row r="49" spans="1:11" s="9" customFormat="1" x14ac:dyDescent="0.3">
      <c r="A49" s="9" t="s">
        <v>14</v>
      </c>
      <c r="B49">
        <v>1419.6</v>
      </c>
      <c r="C49">
        <v>1996.7</v>
      </c>
      <c r="D49">
        <v>1241.0999999999999</v>
      </c>
      <c r="E49">
        <v>475</v>
      </c>
      <c r="F49">
        <v>486.9</v>
      </c>
      <c r="G49">
        <v>1041.8</v>
      </c>
      <c r="H49">
        <v>1875.8</v>
      </c>
      <c r="I49">
        <v>1036.2</v>
      </c>
      <c r="J49">
        <v>2112.5</v>
      </c>
      <c r="K49">
        <v>2391.5</v>
      </c>
    </row>
    <row r="50" spans="1:11" x14ac:dyDescent="0.3">
      <c r="A50" s="9" t="s">
        <v>8</v>
      </c>
      <c r="B50">
        <v>1936.4</v>
      </c>
      <c r="C50">
        <v>2227.8000000000002</v>
      </c>
      <c r="D50">
        <v>1994.7</v>
      </c>
      <c r="E50">
        <v>818.9</v>
      </c>
      <c r="F50">
        <v>856.7</v>
      </c>
      <c r="G50">
        <v>1562.2</v>
      </c>
      <c r="H50">
        <v>2429</v>
      </c>
      <c r="I50">
        <v>1914.9</v>
      </c>
      <c r="J50">
        <v>2770.9</v>
      </c>
      <c r="K50">
        <v>2837</v>
      </c>
    </row>
    <row r="51" spans="1:11" x14ac:dyDescent="0.3">
      <c r="A51" s="9"/>
    </row>
    <row r="52" spans="1:11" x14ac:dyDescent="0.3">
      <c r="A52" s="9"/>
    </row>
    <row r="53" spans="1:11" x14ac:dyDescent="0.3">
      <c r="A53" s="9"/>
    </row>
    <row r="54" spans="1:11" x14ac:dyDescent="0.3">
      <c r="A54" s="9"/>
    </row>
    <row r="55" spans="1:11" x14ac:dyDescent="0.3">
      <c r="A55" s="1" t="s">
        <v>40</v>
      </c>
    </row>
    <row r="56" spans="1:11" s="24" customFormat="1" x14ac:dyDescent="0.3">
      <c r="A56" s="23" t="s">
        <v>38</v>
      </c>
      <c r="B56" s="16">
        <v>41364</v>
      </c>
      <c r="C56" s="16">
        <v>41729</v>
      </c>
      <c r="D56" s="16">
        <v>42094</v>
      </c>
      <c r="E56" s="16">
        <v>42460</v>
      </c>
      <c r="F56" s="16">
        <v>42825</v>
      </c>
      <c r="G56" s="16">
        <v>43190</v>
      </c>
      <c r="H56" s="16">
        <v>43555</v>
      </c>
      <c r="I56" s="16">
        <v>43921</v>
      </c>
      <c r="J56" s="16">
        <v>44286</v>
      </c>
      <c r="K56" s="16">
        <v>44651</v>
      </c>
    </row>
    <row r="57" spans="1:11" x14ac:dyDescent="0.3">
      <c r="A57" s="9" t="s">
        <v>24</v>
      </c>
      <c r="B57">
        <v>151</v>
      </c>
      <c r="C57">
        <v>151</v>
      </c>
      <c r="D57">
        <v>151</v>
      </c>
      <c r="E57">
        <v>151</v>
      </c>
      <c r="F57">
        <v>151</v>
      </c>
      <c r="G57">
        <v>151</v>
      </c>
      <c r="H57">
        <v>151</v>
      </c>
      <c r="I57">
        <v>151</v>
      </c>
      <c r="J57">
        <v>151</v>
      </c>
      <c r="K57">
        <v>151</v>
      </c>
    </row>
    <row r="58" spans="1:11" x14ac:dyDescent="0.3">
      <c r="A58" s="9" t="s">
        <v>25</v>
      </c>
      <c r="B58">
        <v>18876.8</v>
      </c>
      <c r="C58">
        <v>21345.4</v>
      </c>
      <c r="D58">
        <v>24167.4</v>
      </c>
      <c r="E58">
        <v>30465</v>
      </c>
      <c r="F58">
        <v>36924.1</v>
      </c>
      <c r="G58">
        <v>42408.4</v>
      </c>
      <c r="H58">
        <v>46941.1</v>
      </c>
      <c r="I58">
        <v>49262</v>
      </c>
      <c r="J58">
        <v>52349.599999999999</v>
      </c>
      <c r="K58">
        <v>55182.5</v>
      </c>
    </row>
    <row r="59" spans="1:11" x14ac:dyDescent="0.3">
      <c r="A59" s="9" t="s">
        <v>71</v>
      </c>
      <c r="B59">
        <v>1568.8</v>
      </c>
      <c r="C59">
        <v>2004.1</v>
      </c>
      <c r="D59">
        <v>666.2</v>
      </c>
      <c r="E59">
        <v>230.9</v>
      </c>
      <c r="F59">
        <v>483.6</v>
      </c>
      <c r="G59">
        <v>120.8</v>
      </c>
      <c r="H59">
        <v>159.6</v>
      </c>
      <c r="I59">
        <v>184.1</v>
      </c>
      <c r="J59">
        <v>540.9</v>
      </c>
      <c r="K59">
        <v>425.5</v>
      </c>
    </row>
    <row r="60" spans="1:11" x14ac:dyDescent="0.3">
      <c r="A60" s="9" t="s">
        <v>72</v>
      </c>
      <c r="B60">
        <v>6920.4</v>
      </c>
      <c r="C60">
        <v>7975</v>
      </c>
      <c r="D60">
        <v>9492.2999999999993</v>
      </c>
      <c r="E60">
        <v>11878.6</v>
      </c>
      <c r="F60">
        <v>14401.8</v>
      </c>
      <c r="G60">
        <v>17568.2</v>
      </c>
      <c r="H60">
        <v>16717</v>
      </c>
      <c r="I60">
        <v>14030.6</v>
      </c>
      <c r="J60">
        <v>18334.599999999999</v>
      </c>
      <c r="K60">
        <v>18896.5</v>
      </c>
    </row>
    <row r="61" spans="1:11" s="1" customFormat="1" x14ac:dyDescent="0.3">
      <c r="A61" s="1" t="s">
        <v>26</v>
      </c>
      <c r="B61">
        <v>27517</v>
      </c>
      <c r="C61">
        <v>31475.5</v>
      </c>
      <c r="D61">
        <v>34476.9</v>
      </c>
      <c r="E61">
        <v>42725.5</v>
      </c>
      <c r="F61">
        <v>51960.5</v>
      </c>
      <c r="G61">
        <v>60248.4</v>
      </c>
      <c r="H61">
        <v>63968.7</v>
      </c>
      <c r="I61">
        <v>63627.7</v>
      </c>
      <c r="J61">
        <v>71376.100000000006</v>
      </c>
      <c r="K61">
        <v>74655.5</v>
      </c>
    </row>
    <row r="62" spans="1:11" x14ac:dyDescent="0.3">
      <c r="A62" s="9" t="s">
        <v>27</v>
      </c>
      <c r="B62">
        <v>10021.700000000001</v>
      </c>
      <c r="C62">
        <v>11033.7</v>
      </c>
      <c r="D62">
        <v>12489.5</v>
      </c>
      <c r="E62">
        <v>12529.6</v>
      </c>
      <c r="F62">
        <v>13310.7</v>
      </c>
      <c r="G62">
        <v>13388.8</v>
      </c>
      <c r="H62">
        <v>15437.3</v>
      </c>
      <c r="I62">
        <v>15744.4</v>
      </c>
      <c r="J62">
        <v>14988.7</v>
      </c>
      <c r="K62">
        <v>13747.2</v>
      </c>
    </row>
    <row r="63" spans="1:11" x14ac:dyDescent="0.3">
      <c r="A63" s="9" t="s">
        <v>28</v>
      </c>
      <c r="B63">
        <v>1966.5</v>
      </c>
      <c r="C63">
        <v>2639.5</v>
      </c>
      <c r="D63">
        <v>1890.1</v>
      </c>
      <c r="E63">
        <v>1006.9</v>
      </c>
      <c r="F63">
        <v>1252.3</v>
      </c>
      <c r="G63">
        <v>2132.1</v>
      </c>
      <c r="H63">
        <v>1606.9</v>
      </c>
      <c r="I63">
        <v>1415.2</v>
      </c>
      <c r="J63">
        <v>1496.8</v>
      </c>
      <c r="K63">
        <v>2936.5</v>
      </c>
    </row>
    <row r="64" spans="1:11" x14ac:dyDescent="0.3">
      <c r="A64" s="9" t="s">
        <v>29</v>
      </c>
      <c r="B64">
        <v>7421.4</v>
      </c>
      <c r="C64">
        <v>10527.1</v>
      </c>
      <c r="D64">
        <v>13297.7</v>
      </c>
      <c r="E64">
        <v>20675.8</v>
      </c>
      <c r="F64">
        <v>29150.6</v>
      </c>
      <c r="G64">
        <v>36123.1</v>
      </c>
      <c r="H64">
        <v>37503.599999999999</v>
      </c>
      <c r="I64">
        <v>37488</v>
      </c>
      <c r="J64">
        <v>42944.800000000003</v>
      </c>
      <c r="K64">
        <v>42034.7</v>
      </c>
    </row>
    <row r="65" spans="1:11" x14ac:dyDescent="0.3">
      <c r="A65" s="9" t="s">
        <v>73</v>
      </c>
      <c r="B65">
        <v>8107.4</v>
      </c>
      <c r="C65">
        <v>7275.2</v>
      </c>
      <c r="D65">
        <v>6799.6</v>
      </c>
      <c r="E65">
        <v>8513.2000000000007</v>
      </c>
      <c r="F65">
        <v>8246.9</v>
      </c>
      <c r="G65">
        <v>8604.4</v>
      </c>
      <c r="H65">
        <v>9420.9</v>
      </c>
      <c r="I65">
        <v>8980.1</v>
      </c>
      <c r="J65">
        <v>11945.8</v>
      </c>
      <c r="K65">
        <v>15937.1</v>
      </c>
    </row>
    <row r="66" spans="1:11" s="1" customFormat="1" x14ac:dyDescent="0.3">
      <c r="A66" s="1" t="s">
        <v>26</v>
      </c>
      <c r="B66">
        <v>27517</v>
      </c>
      <c r="C66">
        <v>31475.5</v>
      </c>
      <c r="D66">
        <v>34476.9</v>
      </c>
      <c r="E66">
        <v>42725.5</v>
      </c>
      <c r="F66">
        <v>51960.5</v>
      </c>
      <c r="G66">
        <v>60248.4</v>
      </c>
      <c r="H66">
        <v>63968.7</v>
      </c>
      <c r="I66">
        <v>63627.7</v>
      </c>
      <c r="J66">
        <v>71376.100000000006</v>
      </c>
      <c r="K66">
        <v>74655.5</v>
      </c>
    </row>
    <row r="67" spans="1:11" s="9" customFormat="1" x14ac:dyDescent="0.3">
      <c r="A67" s="9" t="s">
        <v>78</v>
      </c>
      <c r="B67">
        <v>1535.5</v>
      </c>
      <c r="C67">
        <v>1489.1</v>
      </c>
      <c r="D67">
        <v>1144.3</v>
      </c>
      <c r="E67">
        <v>1323.4</v>
      </c>
      <c r="F67">
        <v>1202.5999999999999</v>
      </c>
      <c r="G67">
        <v>1465.4</v>
      </c>
      <c r="H67">
        <v>2312.8000000000002</v>
      </c>
      <c r="I67">
        <v>1977.7</v>
      </c>
      <c r="J67">
        <v>1279.9000000000001</v>
      </c>
      <c r="K67">
        <v>2034.5</v>
      </c>
    </row>
    <row r="68" spans="1:11" x14ac:dyDescent="0.3">
      <c r="A68" s="9" t="s">
        <v>45</v>
      </c>
      <c r="B68">
        <v>1887.2</v>
      </c>
      <c r="C68">
        <v>1763.2</v>
      </c>
      <c r="D68">
        <v>2745.3</v>
      </c>
      <c r="E68">
        <v>3132.6</v>
      </c>
      <c r="F68">
        <v>3263.7</v>
      </c>
      <c r="G68">
        <v>3160.2</v>
      </c>
      <c r="H68">
        <v>3322.6</v>
      </c>
      <c r="I68">
        <v>3213.9</v>
      </c>
      <c r="J68">
        <v>3049</v>
      </c>
      <c r="K68">
        <v>3532.3</v>
      </c>
    </row>
    <row r="69" spans="1:11" x14ac:dyDescent="0.3">
      <c r="A69" s="5" t="s">
        <v>87</v>
      </c>
      <c r="B69">
        <v>814.8</v>
      </c>
      <c r="C69">
        <v>648.6</v>
      </c>
      <c r="D69">
        <v>43.2</v>
      </c>
      <c r="E69">
        <v>50.7</v>
      </c>
      <c r="F69">
        <v>23.5</v>
      </c>
      <c r="G69">
        <v>74</v>
      </c>
      <c r="H69">
        <v>187.8</v>
      </c>
      <c r="I69">
        <v>29</v>
      </c>
      <c r="J69">
        <v>3047.1</v>
      </c>
      <c r="K69">
        <v>3042.2</v>
      </c>
    </row>
    <row r="70" spans="1:11" x14ac:dyDescent="0.3">
      <c r="A70" s="5" t="s">
        <v>74</v>
      </c>
      <c r="B70">
        <v>302080060</v>
      </c>
      <c r="C70">
        <v>302080060</v>
      </c>
      <c r="D70">
        <v>302080060</v>
      </c>
      <c r="E70">
        <v>302080060</v>
      </c>
      <c r="F70">
        <v>302080060</v>
      </c>
      <c r="G70">
        <v>302080060</v>
      </c>
      <c r="H70">
        <v>302080060</v>
      </c>
      <c r="I70">
        <v>302080060</v>
      </c>
      <c r="J70">
        <v>302080060</v>
      </c>
      <c r="K70">
        <v>302080060</v>
      </c>
    </row>
    <row r="71" spans="1:11" x14ac:dyDescent="0.3">
      <c r="A71" s="5" t="s">
        <v>75</v>
      </c>
    </row>
    <row r="72" spans="1:11" x14ac:dyDescent="0.3">
      <c r="A72" s="5" t="s">
        <v>88</v>
      </c>
      <c r="B72">
        <v>5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</row>
    <row r="74" spans="1:11" x14ac:dyDescent="0.3">
      <c r="A74" s="9"/>
    </row>
    <row r="75" spans="1:11" x14ac:dyDescent="0.3">
      <c r="A75" s="9"/>
    </row>
    <row r="76" spans="1:11" x14ac:dyDescent="0.3">
      <c r="A76" s="9"/>
    </row>
    <row r="77" spans="1:11" x14ac:dyDescent="0.3">
      <c r="A77" s="9"/>
    </row>
    <row r="78" spans="1:11" x14ac:dyDescent="0.3">
      <c r="A78" s="9"/>
    </row>
    <row r="79" spans="1:11" x14ac:dyDescent="0.3">
      <c r="A79" s="9"/>
    </row>
    <row r="80" spans="1:11" x14ac:dyDescent="0.3">
      <c r="A80" s="1" t="s">
        <v>41</v>
      </c>
    </row>
    <row r="81" spans="1:11" s="24" customFormat="1" x14ac:dyDescent="0.3">
      <c r="A81" s="23" t="s">
        <v>38</v>
      </c>
      <c r="B81" s="16">
        <v>41364</v>
      </c>
      <c r="C81" s="16">
        <v>41729</v>
      </c>
      <c r="D81" s="16">
        <v>42094</v>
      </c>
      <c r="E81" s="16">
        <v>42460</v>
      </c>
      <c r="F81" s="16">
        <v>42825</v>
      </c>
      <c r="G81" s="16">
        <v>43190</v>
      </c>
      <c r="H81" s="16">
        <v>43555</v>
      </c>
      <c r="I81" s="16">
        <v>43921</v>
      </c>
      <c r="J81" s="16">
        <v>44286</v>
      </c>
      <c r="K81" s="16">
        <v>44651</v>
      </c>
    </row>
    <row r="82" spans="1:11" s="1" customFormat="1" x14ac:dyDescent="0.3">
      <c r="A82" s="9" t="s">
        <v>32</v>
      </c>
      <c r="B82">
        <v>4058.9</v>
      </c>
      <c r="C82">
        <v>4994.6000000000004</v>
      </c>
      <c r="D82">
        <v>6449.2</v>
      </c>
      <c r="E82">
        <v>8482.5</v>
      </c>
      <c r="F82">
        <v>10282</v>
      </c>
      <c r="G82">
        <v>11787.9</v>
      </c>
      <c r="H82">
        <v>6600.9</v>
      </c>
      <c r="I82">
        <v>3495.8</v>
      </c>
      <c r="J82">
        <v>8856.2000000000007</v>
      </c>
      <c r="K82">
        <v>1840.5</v>
      </c>
    </row>
    <row r="83" spans="1:11" s="9" customFormat="1" x14ac:dyDescent="0.3">
      <c r="A83" s="9" t="s">
        <v>33</v>
      </c>
      <c r="B83">
        <v>-3118.9</v>
      </c>
      <c r="C83">
        <v>-4996.8999999999996</v>
      </c>
      <c r="D83">
        <v>-4491.1000000000004</v>
      </c>
      <c r="E83">
        <v>-7230.4</v>
      </c>
      <c r="F83">
        <v>-9173.2000000000007</v>
      </c>
      <c r="G83">
        <v>-8301.7000000000007</v>
      </c>
      <c r="H83">
        <v>-3539.9</v>
      </c>
      <c r="I83">
        <v>-556.6</v>
      </c>
      <c r="J83">
        <v>-7291.3</v>
      </c>
      <c r="K83">
        <v>-239.2</v>
      </c>
    </row>
    <row r="84" spans="1:11" s="9" customFormat="1" x14ac:dyDescent="0.3">
      <c r="A84" s="9" t="s">
        <v>34</v>
      </c>
      <c r="B84">
        <v>-978.6</v>
      </c>
      <c r="C84">
        <v>-73.900000000000006</v>
      </c>
      <c r="D84">
        <v>-2003.5</v>
      </c>
      <c r="E84">
        <v>-1236.5999999999999</v>
      </c>
      <c r="F84">
        <v>-1129.3</v>
      </c>
      <c r="G84">
        <v>-3436.1</v>
      </c>
      <c r="H84">
        <v>-2947.9</v>
      </c>
      <c r="I84">
        <v>-3104.3</v>
      </c>
      <c r="J84">
        <v>-1544.9</v>
      </c>
      <c r="K84">
        <v>-1607</v>
      </c>
    </row>
    <row r="85" spans="1:11" s="1" customFormat="1" x14ac:dyDescent="0.3">
      <c r="A85" s="9" t="s">
        <v>35</v>
      </c>
      <c r="B85">
        <v>-38.6</v>
      </c>
      <c r="C85">
        <v>-76.2</v>
      </c>
      <c r="D85">
        <v>-45.4</v>
      </c>
      <c r="E85">
        <v>15.5</v>
      </c>
      <c r="F85">
        <v>-20.5</v>
      </c>
      <c r="G85">
        <v>50.1</v>
      </c>
      <c r="H85">
        <v>113.1</v>
      </c>
      <c r="I85">
        <v>-165.1</v>
      </c>
      <c r="J85">
        <v>20</v>
      </c>
      <c r="K85">
        <v>-5.7</v>
      </c>
    </row>
    <row r="86" spans="1:11" x14ac:dyDescent="0.3">
      <c r="A86" s="9"/>
    </row>
    <row r="87" spans="1:11" x14ac:dyDescent="0.3">
      <c r="A87" s="9"/>
    </row>
    <row r="88" spans="1:11" x14ac:dyDescent="0.3">
      <c r="A88" s="9"/>
    </row>
    <row r="89" spans="1:11" x14ac:dyDescent="0.3">
      <c r="A89" s="9"/>
    </row>
    <row r="90" spans="1:11" s="1" customFormat="1" x14ac:dyDescent="0.3">
      <c r="A90" s="1" t="s">
        <v>77</v>
      </c>
      <c r="B90">
        <v>1281.2</v>
      </c>
      <c r="C90">
        <v>1971.75</v>
      </c>
      <c r="D90">
        <v>3697.35</v>
      </c>
      <c r="E90">
        <v>3716.3</v>
      </c>
      <c r="F90">
        <v>6015.7</v>
      </c>
      <c r="G90">
        <v>8861.1</v>
      </c>
      <c r="H90">
        <v>6672.55</v>
      </c>
      <c r="I90">
        <v>4288.3</v>
      </c>
      <c r="J90">
        <v>6859.2</v>
      </c>
      <c r="K90">
        <v>7561.3</v>
      </c>
    </row>
    <row r="92" spans="1:11" s="1" customFormat="1" x14ac:dyDescent="0.3">
      <c r="A92" s="1" t="s">
        <v>76</v>
      </c>
    </row>
    <row r="93" spans="1:11" x14ac:dyDescent="0.3">
      <c r="A93" s="5" t="s">
        <v>89</v>
      </c>
      <c r="B93" s="31">
        <v>30.21</v>
      </c>
      <c r="C93" s="31">
        <v>30.21</v>
      </c>
      <c r="D93" s="31">
        <v>30.21</v>
      </c>
      <c r="E93" s="31">
        <v>30.21</v>
      </c>
      <c r="F93" s="31">
        <v>30.21</v>
      </c>
      <c r="G93" s="31">
        <v>30.21</v>
      </c>
      <c r="H93" s="31">
        <v>30.21</v>
      </c>
      <c r="I93" s="31">
        <v>30.21</v>
      </c>
      <c r="J93" s="31">
        <v>30.21</v>
      </c>
      <c r="K93" s="31">
        <v>30.21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Mohamed Adhnan</cp:lastModifiedBy>
  <cp:lastPrinted>2012-12-06T18:14:13Z</cp:lastPrinted>
  <dcterms:created xsi:type="dcterms:W3CDTF">2012-08-17T09:55:37Z</dcterms:created>
  <dcterms:modified xsi:type="dcterms:W3CDTF">2023-04-04T17:35:52Z</dcterms:modified>
</cp:coreProperties>
</file>