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FCF" sheetId="3" r:id="rId6"/>
    <sheet state="visible" name="ECF" sheetId="4" r:id="rId7"/>
    <sheet state="visible" name="CCF" sheetId="5" r:id="rId8"/>
  </sheets>
  <definedNames/>
  <calcPr/>
</workbook>
</file>

<file path=xl/sharedStrings.xml><?xml version="1.0" encoding="utf-8"?>
<sst xmlns="http://schemas.openxmlformats.org/spreadsheetml/2006/main" count="294" uniqueCount="96">
  <si>
    <t>2022</t>
  </si>
  <si>
    <t>2023</t>
  </si>
  <si>
    <t>2024</t>
  </si>
  <si>
    <t>2025</t>
  </si>
  <si>
    <t>2026</t>
  </si>
  <si>
    <t>2027</t>
  </si>
  <si>
    <t>Sales</t>
  </si>
  <si>
    <t>Expenses</t>
  </si>
  <si>
    <t>Operating Profit</t>
  </si>
  <si>
    <t>Other Income</t>
  </si>
  <si>
    <t>Depreciation</t>
  </si>
  <si>
    <t>Rf</t>
  </si>
  <si>
    <t>10 year bond</t>
  </si>
  <si>
    <t>Profit before tax</t>
  </si>
  <si>
    <t>D/E</t>
  </si>
  <si>
    <t>0.01(ignored)</t>
  </si>
  <si>
    <t>Tax</t>
  </si>
  <si>
    <t>Market Rate of Return</t>
  </si>
  <si>
    <t>nifty last 10 years cagr</t>
  </si>
  <si>
    <t>Net profit</t>
  </si>
  <si>
    <t>Tax rate</t>
  </si>
  <si>
    <t>Equity beta</t>
  </si>
  <si>
    <t>stock return vs market return regression</t>
  </si>
  <si>
    <t>Capital expenditures</t>
  </si>
  <si>
    <t>Cost of equity</t>
  </si>
  <si>
    <t>Change in net working capital</t>
  </si>
  <si>
    <t>Cost of debt</t>
  </si>
  <si>
    <t>-%</t>
  </si>
  <si>
    <t>Free cash flow</t>
  </si>
  <si>
    <t>After tax WACC</t>
  </si>
  <si>
    <t>Terminal growth rate</t>
  </si>
  <si>
    <t>gdp growth rate in india</t>
  </si>
  <si>
    <t>Change in sales</t>
  </si>
  <si>
    <t>Sales(2028)</t>
  </si>
  <si>
    <t>Terminal value estimates</t>
  </si>
  <si>
    <t>Terminal value assets</t>
  </si>
  <si>
    <t>Terminal value debt</t>
  </si>
  <si>
    <t>TV equity</t>
  </si>
  <si>
    <t>FCF assets</t>
  </si>
  <si>
    <t>Terminal equity</t>
  </si>
  <si>
    <t>Financial Year</t>
  </si>
  <si>
    <t>FY 2018</t>
  </si>
  <si>
    <t>FY 2019</t>
  </si>
  <si>
    <t>FY 2020</t>
  </si>
  <si>
    <t>FY 2021</t>
  </si>
  <si>
    <t>FY 2022</t>
  </si>
  <si>
    <t>Cash from Operating Activities</t>
  </si>
  <si>
    <t>Cash from Investing Activities</t>
  </si>
  <si>
    <t>Cash from Financing Activities</t>
  </si>
  <si>
    <t>Net Change in Cash</t>
  </si>
  <si>
    <t>Changes in Working Capital</t>
  </si>
  <si>
    <t>Capital Expenditures</t>
  </si>
  <si>
    <t>Free Cash Flow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</si>
  <si>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</si>
  <si>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</si>
  <si>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</si>
  <si>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</si>
  <si>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</si>
  <si>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</si>
  <si>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</si>
  <si>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</si>
  <si>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</si>
  <si>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Net expense</t>
  </si>
  <si>
    <t>Interest</t>
  </si>
  <si>
    <t>Dividend Amount</t>
  </si>
  <si>
    <t>Narration</t>
  </si>
  <si>
    <t>Average</t>
  </si>
  <si>
    <t>Sales turnover</t>
  </si>
  <si>
    <t>Growth</t>
  </si>
  <si>
    <t>Forecasted</t>
  </si>
  <si>
    <t>expense %</t>
  </si>
  <si>
    <t>tax rate</t>
  </si>
  <si>
    <t>Addition to Working Capital</t>
  </si>
  <si>
    <t>Current Assets</t>
  </si>
  <si>
    <t>Current Liabilities</t>
  </si>
  <si>
    <t>Net working capital</t>
  </si>
  <si>
    <t>-</t>
  </si>
  <si>
    <t>Nifty last 10 years CAGR</t>
  </si>
  <si>
    <t>Asset beta</t>
  </si>
  <si>
    <t>Stock return vs Market return regression</t>
  </si>
  <si>
    <t>Discounted CF</t>
  </si>
  <si>
    <t>Sum of DCFs</t>
  </si>
  <si>
    <t>PV of TV</t>
  </si>
  <si>
    <t>Firm Value from FCF model</t>
  </si>
  <si>
    <t>shares outstanding</t>
  </si>
  <si>
    <t>Value per share</t>
  </si>
  <si>
    <t>(in crores)</t>
  </si>
  <si>
    <t>Cash Flow Available</t>
  </si>
  <si>
    <t>Principal Payments</t>
  </si>
  <si>
    <t>Equity CF</t>
  </si>
  <si>
    <t>Discounted ECF</t>
  </si>
  <si>
    <t>Sum of DCF</t>
  </si>
  <si>
    <t>Interest Tax Shield</t>
  </si>
  <si>
    <t>Capital CF</t>
  </si>
  <si>
    <t>Discounted CCF</t>
  </si>
  <si>
    <t>Pre tax WACC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</si>
</sst>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000000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Arial"/>
    </font>
    <font>
      <color rgb="FF000000"/>
      <name val="Arial"/>
    </font>
    <font>
      <sz val="11.0"/>
      <color rgb="FF535B62"/>
      <name val="Arial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rgb="FF2F363F"/>
      <name val="Graphik-medium"/>
    </font>
    <font>
      <b/>
      <color rgb="FF535B62"/>
      <name val="Graphik-regular"/>
    </font>
    <font>
      <sz val="11.0"/>
      <color rgb="FF535B62"/>
      <name val="Graphik-regular"/>
    </font>
    <font>
      <b/>
      <sz val="11.0"/>
      <color rgb="FFFFFFFF"/>
      <name val="Calibri"/>
    </font>
    <font>
      <color rgb="FF22222F"/>
      <name val="&quot;Inter var&quot;"/>
    </font>
    <font>
      <sz val="11.0"/>
      <color rgb="FF2F363F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9FAFC"/>
        <bgColor rgb="FFF9FAFC"/>
      </patternFill>
    </fill>
    <fill>
      <patternFill patternType="solid">
        <fgColor rgb="FF0275D8"/>
        <bgColor rgb="FF0275D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2" xfId="0" applyBorder="1" applyFont="1" applyNumberFormat="1"/>
    <xf borderId="1" fillId="0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0" fillId="0" fontId="1" numFmtId="2" xfId="0" applyFont="1" applyNumberFormat="1"/>
    <xf borderId="1" fillId="0" fontId="3" numFmtId="2" xfId="0" applyAlignment="1" applyBorder="1" applyFont="1" applyNumberFormat="1">
      <alignment readingOrder="0" shrinkToFit="0" vertical="bottom" wrapText="0"/>
    </xf>
    <xf borderId="1" fillId="0" fontId="4" numFmtId="2" xfId="0" applyAlignment="1" applyBorder="1" applyFont="1" applyNumberFormat="1">
      <alignment readingOrder="0" shrinkToFit="0" vertical="bottom" wrapText="0"/>
    </xf>
    <xf borderId="1" fillId="0" fontId="5" numFmtId="2" xfId="0" applyAlignment="1" applyBorder="1" applyFont="1" applyNumberFormat="1">
      <alignment vertical="bottom"/>
    </xf>
    <xf borderId="1" fillId="0" fontId="5" numFmtId="10" xfId="0" applyAlignment="1" applyBorder="1" applyFont="1" applyNumberFormat="1">
      <alignment horizontal="right" readingOrder="0" vertical="bottom"/>
    </xf>
    <xf borderId="0" fillId="0" fontId="1" numFmtId="2" xfId="0" applyAlignment="1" applyFont="1" applyNumberFormat="1">
      <alignment readingOrder="0"/>
    </xf>
    <xf borderId="1" fillId="0" fontId="1" numFmtId="2" xfId="0" applyBorder="1" applyFont="1" applyNumberFormat="1"/>
    <xf borderId="1" fillId="0" fontId="5" numFmtId="2" xfId="0" applyAlignment="1" applyBorder="1" applyFont="1" applyNumberFormat="1">
      <alignment horizontal="right" readingOrder="0" vertical="bottom"/>
    </xf>
    <xf borderId="1" fillId="0" fontId="1" numFmtId="2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0" fontId="5" numFmtId="10" xfId="0" applyAlignment="1" applyBorder="1" applyFont="1" applyNumberFormat="1">
      <alignment horizontal="right" vertical="bottom"/>
    </xf>
    <xf borderId="0" fillId="2" fontId="6" numFmtId="2" xfId="0" applyAlignment="1" applyFill="1" applyFont="1" applyNumberFormat="1">
      <alignment horizontal="left" readingOrder="0"/>
    </xf>
    <xf borderId="1" fillId="2" fontId="7" numFmtId="2" xfId="0" applyAlignment="1" applyBorder="1" applyFont="1" applyNumberFormat="1">
      <alignment horizontal="right" readingOrder="0"/>
    </xf>
    <xf borderId="1" fillId="3" fontId="5" numFmtId="2" xfId="0" applyAlignment="1" applyBorder="1" applyFill="1" applyFont="1" applyNumberFormat="1">
      <alignment vertical="bottom"/>
    </xf>
    <xf borderId="1" fillId="3" fontId="5" numFmtId="10" xfId="0" applyAlignment="1" applyBorder="1" applyFont="1" applyNumberFormat="1">
      <alignment horizontal="right" readingOrder="0" vertical="bottom"/>
    </xf>
    <xf borderId="0" fillId="0" fontId="1" numFmtId="2" xfId="0" applyFont="1" applyNumberFormat="1"/>
    <xf borderId="1" fillId="4" fontId="5" numFmtId="2" xfId="0" applyAlignment="1" applyBorder="1" applyFill="1" applyFont="1" applyNumberFormat="1">
      <alignment vertical="bottom"/>
    </xf>
    <xf borderId="1" fillId="4" fontId="5" numFmtId="2" xfId="0" applyAlignment="1" applyBorder="1" applyFont="1" applyNumberFormat="1">
      <alignment horizontal="right" readingOrder="0" vertical="bottom"/>
    </xf>
    <xf borderId="0" fillId="0" fontId="8" numFmtId="2" xfId="0" applyAlignment="1" applyFont="1" applyNumberFormat="1">
      <alignment vertical="bottom"/>
    </xf>
    <xf borderId="0" fillId="0" fontId="9" numFmtId="2" xfId="0" applyAlignment="1" applyFont="1" applyNumberFormat="1">
      <alignment readingOrder="0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readingOrder="0" vertical="bottom"/>
    </xf>
    <xf borderId="1" fillId="2" fontId="5" numFmtId="2" xfId="0" applyAlignment="1" applyBorder="1" applyFont="1" applyNumberFormat="1">
      <alignment vertical="bottom"/>
    </xf>
    <xf borderId="0" fillId="5" fontId="10" numFmtId="4" xfId="0" applyAlignment="1" applyFill="1" applyFont="1" applyNumberFormat="1">
      <alignment horizontal="left" readingOrder="0"/>
    </xf>
    <xf borderId="0" fillId="0" fontId="11" numFmtId="4" xfId="0" applyAlignment="1" applyFont="1" applyNumberFormat="1">
      <alignment horizontal="right" readingOrder="0" shrinkToFit="0" wrapText="1"/>
    </xf>
    <xf borderId="0" fillId="0" fontId="1" numFmtId="4" xfId="0" applyFont="1" applyNumberFormat="1"/>
    <xf borderId="0" fillId="2" fontId="10" numFmtId="4" xfId="0" applyAlignment="1" applyFont="1" applyNumberFormat="1">
      <alignment horizontal="left" readingOrder="0"/>
    </xf>
    <xf borderId="0" fillId="0" fontId="12" numFmtId="4" xfId="0" applyAlignment="1" applyFont="1" applyNumberFormat="1">
      <alignment horizontal="right" readingOrder="0" shrinkToFit="0" wrapText="1"/>
    </xf>
    <xf borderId="0" fillId="0" fontId="7" numFmtId="4" xfId="0" applyAlignment="1" applyFont="1" applyNumberFormat="1">
      <alignment horizontal="right" readingOrder="0" shrinkToFit="0" wrapText="1"/>
    </xf>
    <xf borderId="0" fillId="0" fontId="3" numFmtId="4" xfId="0" applyAlignment="1" applyFont="1" applyNumberFormat="1">
      <alignment readingOrder="0"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6" fontId="13" numFmtId="4" xfId="0" applyAlignment="1" applyFill="1" applyFont="1" applyNumberFormat="1">
      <alignment readingOrder="0"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10" xfId="0" applyFont="1" applyNumberFormat="1"/>
    <xf borderId="0" fillId="2" fontId="14" numFmtId="4" xfId="0" applyAlignment="1" applyFont="1" applyNumberFormat="1">
      <alignment horizontal="right" readingOrder="0"/>
    </xf>
    <xf borderId="0" fillId="0" fontId="1" numFmtId="164" xfId="0" applyFont="1" applyNumberFormat="1"/>
    <xf borderId="0" fillId="2" fontId="15" numFmtId="4" xfId="0" applyAlignment="1" applyFont="1" applyNumberFormat="1">
      <alignment horizontal="left" readingOrder="0"/>
    </xf>
    <xf borderId="1" fillId="0" fontId="1" numFmtId="4" xfId="0" applyBorder="1" applyFont="1" applyNumberFormat="1"/>
    <xf borderId="1" fillId="0" fontId="9" numFmtId="49" xfId="0" applyAlignment="1" applyBorder="1" applyFont="1" applyNumberFormat="1">
      <alignment readingOrder="0"/>
    </xf>
    <xf borderId="1" fillId="0" fontId="3" numFmtId="4" xfId="0" applyAlignment="1" applyBorder="1" applyFont="1" applyNumberFormat="1">
      <alignment readingOrder="0" shrinkToFit="0" vertical="bottom" wrapText="0"/>
    </xf>
    <xf borderId="1" fillId="0" fontId="4" numFmtId="4" xfId="0" applyAlignment="1" applyBorder="1" applyFont="1" applyNumberFormat="1">
      <alignment readingOrder="0" shrinkToFit="0" vertical="bottom" wrapText="0"/>
    </xf>
    <xf borderId="0" fillId="0" fontId="5" numFmtId="4" xfId="0" applyAlignment="1" applyFont="1" applyNumberFormat="1">
      <alignment vertical="bottom"/>
    </xf>
    <xf borderId="1" fillId="0" fontId="1" numFmtId="0" xfId="0" applyAlignment="1" applyBorder="1" applyFont="1">
      <alignment readingOrder="0"/>
    </xf>
    <xf borderId="1" fillId="0" fontId="1" numFmtId="4" xfId="0" applyBorder="1" applyFont="1" applyNumberFormat="1"/>
    <xf borderId="1" fillId="0" fontId="5" numFmtId="4" xfId="0" applyAlignment="1" applyBorder="1" applyFont="1" applyNumberFormat="1">
      <alignment vertical="bottom"/>
    </xf>
    <xf borderId="1" fillId="0" fontId="5" numFmtId="4" xfId="0" applyAlignment="1" applyBorder="1" applyFont="1" applyNumberFormat="1">
      <alignment horizontal="right" readingOrder="0" vertical="bottom"/>
    </xf>
    <xf borderId="1" fillId="0" fontId="1" numFmtId="4" xfId="0" applyAlignment="1" applyBorder="1" applyFont="1" applyNumberFormat="1">
      <alignment readingOrder="0"/>
    </xf>
    <xf borderId="1" fillId="0" fontId="5" numFmtId="4" xfId="0" applyAlignment="1" applyBorder="1" applyFont="1" applyNumberFormat="1">
      <alignment readingOrder="0" vertical="bottom"/>
    </xf>
    <xf borderId="1" fillId="2" fontId="7" numFmtId="4" xfId="0" applyAlignment="1" applyBorder="1" applyFont="1" applyNumberFormat="1">
      <alignment horizontal="right" readingOrder="0"/>
    </xf>
    <xf borderId="0" fillId="2" fontId="6" numFmtId="4" xfId="0" applyAlignment="1" applyFont="1" applyNumberFormat="1">
      <alignment horizontal="left" readingOrder="0"/>
    </xf>
    <xf borderId="0" fillId="0" fontId="1" numFmtId="4" xfId="0" applyFont="1" applyNumberFormat="1"/>
    <xf borderId="1" fillId="3" fontId="5" numFmtId="4" xfId="0" applyAlignment="1" applyBorder="1" applyFont="1" applyNumberFormat="1">
      <alignment vertical="bottom"/>
    </xf>
    <xf borderId="1" fillId="0" fontId="9" numFmtId="4" xfId="0" applyAlignment="1" applyBorder="1" applyFont="1" applyNumberFormat="1">
      <alignment readingOrder="0"/>
    </xf>
    <xf borderId="1" fillId="0" fontId="9" numFmtId="4" xfId="0" applyBorder="1" applyFont="1" applyNumberFormat="1"/>
    <xf borderId="1" fillId="4" fontId="5" numFmtId="4" xfId="0" applyAlignment="1" applyBorder="1" applyFont="1" applyNumberFormat="1">
      <alignment vertical="bottom"/>
    </xf>
    <xf borderId="1" fillId="4" fontId="5" numFmtId="4" xfId="0" applyAlignment="1" applyBorder="1" applyFont="1" applyNumberFormat="1">
      <alignment horizontal="right" readingOrder="0" vertical="bottom"/>
    </xf>
    <xf borderId="1" fillId="7" fontId="9" numFmtId="4" xfId="0" applyBorder="1" applyFill="1" applyFont="1" applyNumberFormat="1"/>
    <xf borderId="0" fillId="0" fontId="8" numFmtId="4" xfId="0" applyAlignment="1" applyFont="1" applyNumberFormat="1">
      <alignment vertical="bottom"/>
    </xf>
    <xf borderId="3" fillId="0" fontId="8" numFmtId="4" xfId="0" applyAlignment="1" applyBorder="1" applyFont="1" applyNumberFormat="1">
      <alignment horizontal="center" vertical="bottom"/>
    </xf>
    <xf borderId="2" fillId="0" fontId="16" numFmtId="0" xfId="0" applyBorder="1" applyFont="1"/>
    <xf borderId="0" fillId="0" fontId="9" numFmtId="4" xfId="0" applyAlignment="1" applyFont="1" applyNumberFormat="1">
      <alignment readingOrder="0"/>
    </xf>
    <xf borderId="1" fillId="0" fontId="5" numFmtId="4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1" fillId="8" fontId="8" numFmtId="4" xfId="0" applyAlignment="1" applyBorder="1" applyFill="1" applyFont="1" applyNumberFormat="1">
      <alignment horizontal="right" vertical="bottom"/>
    </xf>
    <xf borderId="1" fillId="9" fontId="9" numFmtId="4" xfId="0" applyBorder="1" applyFill="1" applyFont="1" applyNumberFormat="1"/>
    <xf borderId="0" fillId="0" fontId="1" numFmtId="165" xfId="0" applyFont="1" applyNumberFormat="1"/>
    <xf borderId="1" fillId="2" fontId="5" numFmtId="4" xfId="0" applyAlignment="1" applyBorder="1" applyFont="1" applyNumberFormat="1">
      <alignment vertical="bottom"/>
    </xf>
    <xf borderId="1" fillId="7" fontId="1" numFmtId="4" xfId="0" applyBorder="1" applyFont="1" applyNumberFormat="1"/>
    <xf borderId="3" fillId="0" fontId="8" numFmtId="4" xfId="0" applyAlignment="1" applyBorder="1" applyFont="1" applyNumberFormat="1">
      <alignment vertical="bottom"/>
    </xf>
    <xf borderId="1" fillId="8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vertical="bottom"/>
    </xf>
    <xf borderId="1" fillId="0" fontId="5" numFmtId="10" xfId="0" applyAlignment="1" applyBorder="1" applyFont="1" applyNumberFormat="1">
      <alignment readingOrder="0" vertical="bottom"/>
    </xf>
    <xf borderId="1" fillId="3" fontId="5" numFmtId="10" xfId="0" applyAlignment="1" applyBorder="1" applyFont="1" applyNumberFormat="1">
      <alignment vertical="bottom"/>
    </xf>
    <xf borderId="1" fillId="4" fontId="5" numFmtId="10" xfId="0" applyAlignment="1" applyBorder="1" applyFont="1" applyNumberFormat="1">
      <alignment vertical="bottom"/>
    </xf>
    <xf borderId="1" fillId="4" fontId="5" numFmtId="10" xfId="0" applyAlignment="1" applyBorder="1" applyFont="1" applyNumberFormat="1">
      <alignment horizontal="right" readingOrder="0" vertical="bottom"/>
    </xf>
    <xf borderId="4" fillId="0" fontId="8" numFmtId="4" xfId="0" applyAlignment="1" applyBorder="1" applyFont="1" applyNumberFormat="1">
      <alignment vertical="bottom"/>
    </xf>
    <xf borderId="5" fillId="0" fontId="16" numFmtId="0" xfId="0" applyBorder="1" applyFont="1"/>
    <xf borderId="6" fillId="0" fontId="5" numFmtId="4" xfId="0" applyAlignment="1" applyBorder="1" applyFont="1" applyNumberFormat="1">
      <alignment vertical="bottom"/>
    </xf>
    <xf borderId="7" fillId="0" fontId="5" numFmtId="4" xfId="0" applyAlignment="1" applyBorder="1" applyFont="1" applyNumberFormat="1">
      <alignment horizontal="right" vertical="bottom"/>
    </xf>
    <xf borderId="7" fillId="0" fontId="5" numFmtId="4" xfId="0" applyAlignment="1" applyBorder="1" applyFont="1" applyNumberFormat="1">
      <alignment horizontal="right" readingOrder="0" vertical="bottom"/>
    </xf>
    <xf borderId="8" fillId="0" fontId="5" numFmtId="4" xfId="0" applyAlignment="1" applyBorder="1" applyFont="1" applyNumberFormat="1">
      <alignment vertical="bottom"/>
    </xf>
    <xf borderId="9" fillId="8" fontId="5" numFmtId="4" xfId="0" applyAlignment="1" applyBorder="1" applyFont="1" applyNumberFormat="1">
      <alignment horizontal="right" vertical="bottom"/>
    </xf>
    <xf borderId="10" fillId="0" fontId="5" numFmtId="4" xfId="0" applyAlignment="1" applyBorder="1" applyFont="1" applyNumberFormat="1">
      <alignment horizontal="right" vertical="bottom"/>
    </xf>
    <xf borderId="9" fillId="0" fontId="5" numFmtId="4" xfId="0" applyAlignment="1" applyBorder="1" applyFont="1" applyNumberFormat="1">
      <alignment horizontal="right" vertical="bottom"/>
    </xf>
    <xf borderId="0" fillId="9" fontId="9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7" max="7" width="13.88"/>
    <col customWidth="1" min="9" max="9" width="15.25"/>
    <col customWidth="1" min="10" max="10" width="16.8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5">
        <v>88329.8</v>
      </c>
      <c r="C2" s="1">
        <f>B2*(1+Sheet2!$M38)</f>
        <v>91482.84512</v>
      </c>
      <c r="D2" s="1">
        <f>C2*(1+Sheet2!$M38)</f>
        <v>94748.44222</v>
      </c>
      <c r="E2" s="1">
        <f>D2*(1+Sheet2!$M38)</f>
        <v>98130.60898</v>
      </c>
      <c r="F2" s="1">
        <f>E2*(1+Sheet2!$M38)</f>
        <v>101633.5065</v>
      </c>
      <c r="G2" s="1">
        <f>F2*(1+Sheet2!$M38)</f>
        <v>105261.4444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7</v>
      </c>
      <c r="B3" s="6">
        <v>82577.8</v>
      </c>
      <c r="C3" s="1">
        <f>C2*Sheet2!$K$39</f>
        <v>81953.34447</v>
      </c>
      <c r="D3" s="1">
        <f>D2*Sheet2!$K$39</f>
        <v>84878.77386</v>
      </c>
      <c r="E3" s="1">
        <f>E2*Sheet2!$K$39</f>
        <v>87908.63019</v>
      </c>
      <c r="F3" s="1">
        <f>F2*Sheet2!$K$39</f>
        <v>91046.64112</v>
      </c>
      <c r="G3" s="1">
        <f>G2*Sheet2!$K$39</f>
        <v>94296.66735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8</v>
      </c>
      <c r="B4" s="5">
        <v>5752.0</v>
      </c>
      <c r="C4" s="1">
        <f t="shared" ref="C4:G4" si="1">C2-C3</f>
        <v>9529.500652</v>
      </c>
      <c r="D4" s="1">
        <f t="shared" si="1"/>
        <v>9869.668359</v>
      </c>
      <c r="E4" s="1">
        <f t="shared" si="1"/>
        <v>10221.97879</v>
      </c>
      <c r="F4" s="1">
        <f t="shared" si="1"/>
        <v>10586.86539</v>
      </c>
      <c r="G4" s="1">
        <f t="shared" si="1"/>
        <v>10964.77708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9</v>
      </c>
      <c r="B5" s="6">
        <v>1860.8</v>
      </c>
      <c r="C5" s="1">
        <f>B5*(1+Sheet2!$M$38)</f>
        <v>1927.223635</v>
      </c>
      <c r="D5" s="1">
        <f>C5*(1+Sheet2!$M$38)</f>
        <v>1996.018346</v>
      </c>
      <c r="E5" s="1">
        <f>D5*(1+Sheet2!$M$38)</f>
        <v>2067.268772</v>
      </c>
      <c r="F5" s="1">
        <f>E5*(1+Sheet2!$M$38)</f>
        <v>2141.062573</v>
      </c>
      <c r="G5" s="1">
        <f>F5*(1+Sheet2!$M$38)</f>
        <v>2217.490539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10</v>
      </c>
      <c r="B6" s="6">
        <v>2789.0</v>
      </c>
      <c r="C6" s="1">
        <f>B6*(1+Sheet2!$L$42)</f>
        <v>2818.098628</v>
      </c>
      <c r="D6" s="1">
        <f>C6*(1+Sheet2!$L$42)</f>
        <v>2847.500852</v>
      </c>
      <c r="E6" s="1">
        <f>D6*(1+Sheet2!$L$42)</f>
        <v>2877.209841</v>
      </c>
      <c r="F6" s="1">
        <f>E6*(1+Sheet2!$L$42)</f>
        <v>2907.228793</v>
      </c>
      <c r="G6" s="1">
        <f>F6*(1+Sheet2!$L$42)</f>
        <v>2937.560944</v>
      </c>
      <c r="H6" s="4"/>
      <c r="I6" s="7" t="s">
        <v>11</v>
      </c>
      <c r="J6" s="8">
        <v>0.0683</v>
      </c>
      <c r="K6" s="9" t="s">
        <v>12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13</v>
      </c>
      <c r="B7" s="6">
        <v>4697.2</v>
      </c>
      <c r="C7" s="1">
        <f t="shared" ref="C7:G7" si="2">C4+C5-C6</f>
        <v>8638.625659</v>
      </c>
      <c r="D7" s="1">
        <f t="shared" si="2"/>
        <v>9018.185853</v>
      </c>
      <c r="E7" s="1">
        <f t="shared" si="2"/>
        <v>9412.037719</v>
      </c>
      <c r="F7" s="1">
        <f t="shared" si="2"/>
        <v>9820.699167</v>
      </c>
      <c r="G7" s="10">
        <f t="shared" si="2"/>
        <v>10244.70667</v>
      </c>
      <c r="H7" s="4"/>
      <c r="I7" s="7" t="s">
        <v>14</v>
      </c>
      <c r="J7" s="11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16</v>
      </c>
      <c r="B8" s="6">
        <v>817.7</v>
      </c>
      <c r="C8" s="1">
        <f>C7*Sheet2!$H$45</f>
        <v>1969.60665</v>
      </c>
      <c r="D8" s="1">
        <f>D7*Sheet2!$H$45</f>
        <v>2056.146374</v>
      </c>
      <c r="E8" s="1">
        <f>E7*Sheet2!$H$45</f>
        <v>2145.9446</v>
      </c>
      <c r="F8" s="1">
        <f>F7*Sheet2!$H$45</f>
        <v>2239.11941</v>
      </c>
      <c r="G8" s="10">
        <f>G7*Sheet2!$H$45</f>
        <v>2335.793122</v>
      </c>
      <c r="H8" s="4"/>
      <c r="I8" s="12" t="s">
        <v>17</v>
      </c>
      <c r="J8" s="13">
        <v>0.12</v>
      </c>
      <c r="K8" s="9" t="s">
        <v>18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19</v>
      </c>
      <c r="B9" s="5">
        <v>3879.5</v>
      </c>
      <c r="C9" s="1">
        <f t="shared" ref="C9:G9" si="3">C7-C8</f>
        <v>6669.019009</v>
      </c>
      <c r="D9" s="1">
        <f t="shared" si="3"/>
        <v>6962.039478</v>
      </c>
      <c r="E9" s="1">
        <f t="shared" si="3"/>
        <v>7266.093119</v>
      </c>
      <c r="F9" s="1">
        <f t="shared" si="3"/>
        <v>7581.579757</v>
      </c>
      <c r="G9" s="10">
        <f t="shared" si="3"/>
        <v>7908.913553</v>
      </c>
      <c r="H9" s="4"/>
      <c r="I9" s="7" t="s">
        <v>20</v>
      </c>
      <c r="J9" s="14">
        <f>Sheet2!H45</f>
        <v>0.228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10</v>
      </c>
      <c r="B10" s="1">
        <f t="shared" ref="B10:G10" si="4">B6</f>
        <v>2789</v>
      </c>
      <c r="C10" s="1">
        <f t="shared" si="4"/>
        <v>2818.098628</v>
      </c>
      <c r="D10" s="1">
        <f t="shared" si="4"/>
        <v>2847.500852</v>
      </c>
      <c r="E10" s="1">
        <f t="shared" si="4"/>
        <v>2877.209841</v>
      </c>
      <c r="F10" s="1">
        <f t="shared" si="4"/>
        <v>2907.228793</v>
      </c>
      <c r="G10" s="10">
        <f t="shared" si="4"/>
        <v>2937.560944</v>
      </c>
      <c r="H10" s="4"/>
      <c r="I10" s="7" t="s">
        <v>21</v>
      </c>
      <c r="J10" s="11">
        <v>1.04</v>
      </c>
      <c r="K10" s="15" t="s"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23</v>
      </c>
      <c r="B11" s="16">
        <v>3459.3</v>
      </c>
      <c r="C11" s="1">
        <f>C2*Sheet2!$K$50</f>
        <v>4125.828208</v>
      </c>
      <c r="D11" s="1">
        <f>D2*Sheet2!$K$50</f>
        <v>4273.10492</v>
      </c>
      <c r="E11" s="1">
        <f>E2*Sheet2!$K$50</f>
        <v>4425.638862</v>
      </c>
      <c r="F11" s="1">
        <f>F2*Sheet2!$K$50</f>
        <v>4583.617698</v>
      </c>
      <c r="G11" s="10">
        <f>G2*Sheet2!$K$50</f>
        <v>4747.235791</v>
      </c>
      <c r="H11" s="4"/>
      <c r="I11" s="17" t="s">
        <v>24</v>
      </c>
      <c r="J11" s="18">
        <f>J6+J10*(J8-J6)</f>
        <v>0.122068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 t="s">
        <v>25</v>
      </c>
      <c r="B12" s="16">
        <v>3991.4</v>
      </c>
      <c r="C12" s="1">
        <f>C17*Sheet2!$K$48</f>
        <v>928.881475</v>
      </c>
      <c r="D12" s="1">
        <f>D17*Sheet2!$K$48</f>
        <v>962.0390866</v>
      </c>
      <c r="E12" s="1">
        <f>E17*Sheet2!$K$48</f>
        <v>996.3803015</v>
      </c>
      <c r="F12" s="1">
        <f>F17*Sheet2!$K$48</f>
        <v>1031.94737</v>
      </c>
      <c r="G12" s="1">
        <f>G17*Sheet2!$K$48</f>
        <v>1068.784051</v>
      </c>
      <c r="H12" s="19"/>
      <c r="I12" s="20" t="s">
        <v>26</v>
      </c>
      <c r="J12" s="21" t="s">
        <v>27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28</v>
      </c>
      <c r="B13" s="1">
        <f t="shared" ref="B13:G13" si="5">B9+B10-B11-B12</f>
        <v>-782.2</v>
      </c>
      <c r="C13" s="1">
        <f t="shared" si="5"/>
        <v>4432.407954</v>
      </c>
      <c r="D13" s="1">
        <f t="shared" si="5"/>
        <v>4574.396325</v>
      </c>
      <c r="E13" s="1">
        <f t="shared" si="5"/>
        <v>4721.283796</v>
      </c>
      <c r="F13" s="1">
        <f t="shared" si="5"/>
        <v>4873.243482</v>
      </c>
      <c r="G13" s="1">
        <f t="shared" si="5"/>
        <v>5030.454655</v>
      </c>
      <c r="H13" s="19"/>
      <c r="I13" s="7" t="s">
        <v>29</v>
      </c>
      <c r="J13" s="14">
        <f>J11</f>
        <v>0.122068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7" t="s">
        <v>30</v>
      </c>
      <c r="J14" s="8">
        <v>0.055</v>
      </c>
      <c r="K14" s="9" t="s">
        <v>31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32</v>
      </c>
      <c r="B17" s="4"/>
      <c r="C17" s="4">
        <f t="shared" ref="C17:G17" si="6">C2-B2</f>
        <v>3153.045121</v>
      </c>
      <c r="D17" s="4">
        <f t="shared" si="6"/>
        <v>3265.597097</v>
      </c>
      <c r="E17" s="4">
        <f t="shared" si="6"/>
        <v>3382.16676</v>
      </c>
      <c r="F17" s="4">
        <f t="shared" si="6"/>
        <v>3502.897525</v>
      </c>
      <c r="G17" s="4">
        <f t="shared" si="6"/>
        <v>3627.93793</v>
      </c>
      <c r="H17" s="4">
        <f>J18-G2</f>
        <v>5789.379444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5" t="s">
        <v>33</v>
      </c>
      <c r="J18" s="1">
        <f>G2*(1+J14)</f>
        <v>111050.8239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 t="s">
        <v>34</v>
      </c>
      <c r="C19" s="23"/>
      <c r="D19" s="23"/>
      <c r="E19" s="23"/>
      <c r="F19" s="23"/>
      <c r="G19" s="23"/>
      <c r="H19" s="4"/>
      <c r="I19" s="6" t="s">
        <v>7</v>
      </c>
      <c r="J19" s="1">
        <f>J18*Sheet2!$K$39</f>
        <v>99482.98406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4" t="s">
        <v>35</v>
      </c>
      <c r="B20" s="25">
        <f>J30</f>
        <v>70067.79441</v>
      </c>
      <c r="C20" s="25"/>
      <c r="D20" s="25"/>
      <c r="E20" s="25"/>
      <c r="F20" s="25"/>
      <c r="G20" s="25"/>
      <c r="H20" s="4"/>
      <c r="I20" s="5" t="s">
        <v>8</v>
      </c>
      <c r="J20" s="1">
        <f>J18-J19</f>
        <v>11567.83982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4" t="s">
        <v>36</v>
      </c>
      <c r="B21" s="26">
        <v>0.0</v>
      </c>
      <c r="C21" s="25"/>
      <c r="D21" s="25"/>
      <c r="E21" s="25"/>
      <c r="F21" s="25"/>
      <c r="G21" s="25"/>
      <c r="H21" s="4"/>
      <c r="I21" s="6" t="s">
        <v>9</v>
      </c>
      <c r="J21" s="1">
        <f>G5*(1+J14)</f>
        <v>2339.452519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 t="s">
        <v>37</v>
      </c>
      <c r="B22" s="25">
        <f>B20</f>
        <v>70067.79441</v>
      </c>
      <c r="C22" s="25"/>
      <c r="D22" s="25"/>
      <c r="E22" s="25"/>
      <c r="F22" s="25"/>
      <c r="G22" s="25"/>
      <c r="H22" s="4"/>
      <c r="I22" s="6" t="s">
        <v>10</v>
      </c>
      <c r="J22" s="1">
        <f>G6*(1+Sheet2!$L$42)</f>
        <v>2968.209561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6" t="s">
        <v>13</v>
      </c>
      <c r="J23" s="10">
        <f>J20+J21-J22</f>
        <v>10939.08278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6" t="s">
        <v>16</v>
      </c>
      <c r="J24" s="10">
        <f>J23*Sheet2!$H$45</f>
        <v>2494.110873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5" t="s">
        <v>19</v>
      </c>
      <c r="J25" s="10">
        <f>J23-J24</f>
        <v>8444.971903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12" t="s">
        <v>10</v>
      </c>
      <c r="J26" s="10">
        <f>J22</f>
        <v>2968.209561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7" t="s">
        <v>23</v>
      </c>
      <c r="J27" s="10">
        <f>J18*Sheet2!$K$50</f>
        <v>5008.33376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7" t="s">
        <v>25</v>
      </c>
      <c r="J28" s="1">
        <f>H17*Sheet2!K48</f>
        <v>1705.540869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7" t="s">
        <v>38</v>
      </c>
      <c r="J29" s="1">
        <f>J25+J26-J27-J28</f>
        <v>4699.306836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27" t="s">
        <v>35</v>
      </c>
      <c r="J30" s="1">
        <f>J29/(J13-J14)</f>
        <v>70067.79441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12" t="s">
        <v>39</v>
      </c>
      <c r="J31" s="1">
        <f>J30</f>
        <v>70067.79441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9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28" t="s">
        <v>40</v>
      </c>
      <c r="B1" s="29" t="s">
        <v>41</v>
      </c>
      <c r="C1" s="29" t="s">
        <v>42</v>
      </c>
      <c r="D1" s="29" t="s">
        <v>43</v>
      </c>
      <c r="E1" s="29" t="s">
        <v>44</v>
      </c>
      <c r="F1" s="29" t="s">
        <v>45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46</v>
      </c>
      <c r="B2" s="32">
        <v>11787.9</v>
      </c>
      <c r="C2" s="32">
        <v>6600.9</v>
      </c>
      <c r="D2" s="32">
        <v>3495.8</v>
      </c>
      <c r="E2" s="32">
        <v>8856.2</v>
      </c>
      <c r="F2" s="32">
        <v>1840.5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47</v>
      </c>
      <c r="B3" s="32">
        <v>-8301.7</v>
      </c>
      <c r="C3" s="32">
        <v>-3539.9</v>
      </c>
      <c r="D3" s="32">
        <v>-556.6</v>
      </c>
      <c r="E3" s="32">
        <v>-7291.3</v>
      </c>
      <c r="F3" s="32">
        <v>-239.2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48</v>
      </c>
      <c r="B4" s="32">
        <v>-3436.1</v>
      </c>
      <c r="C4" s="32">
        <v>-2947.9</v>
      </c>
      <c r="D4" s="32">
        <v>-3104.3</v>
      </c>
      <c r="E4" s="32">
        <v>-1544.9</v>
      </c>
      <c r="F4" s="32">
        <v>-1607.0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49</v>
      </c>
      <c r="B5" s="30">
        <f t="shared" ref="B5:F5" si="1">B2+B3+B4</f>
        <v>50.1</v>
      </c>
      <c r="C5" s="30">
        <f t="shared" si="1"/>
        <v>113.1</v>
      </c>
      <c r="D5" s="30">
        <f t="shared" si="1"/>
        <v>-165.1</v>
      </c>
      <c r="E5" s="30">
        <f t="shared" si="1"/>
        <v>20</v>
      </c>
      <c r="F5" s="30">
        <f t="shared" si="1"/>
        <v>-5.7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50</v>
      </c>
      <c r="B6" s="32">
        <v>-248.2</v>
      </c>
      <c r="C6" s="32">
        <v>-4458.6</v>
      </c>
      <c r="D6" s="32">
        <v>-4007.6</v>
      </c>
      <c r="E6" s="33">
        <v>3325.2</v>
      </c>
      <c r="F6" s="32">
        <v>-3991.4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51</v>
      </c>
      <c r="B7" s="32">
        <v>3911.6</v>
      </c>
      <c r="C7" s="32">
        <v>4872.4</v>
      </c>
      <c r="D7" s="32">
        <v>3437.0</v>
      </c>
      <c r="E7" s="32">
        <v>2370.3</v>
      </c>
      <c r="F7" s="32">
        <v>3459.3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52</v>
      </c>
      <c r="B8" s="30">
        <f t="shared" ref="B8:F8" si="2">B2-B7</f>
        <v>7876.3</v>
      </c>
      <c r="C8" s="30">
        <f t="shared" si="2"/>
        <v>1728.5</v>
      </c>
      <c r="D8" s="30">
        <f t="shared" si="2"/>
        <v>58.8</v>
      </c>
      <c r="E8" s="30">
        <f t="shared" si="2"/>
        <v>6485.9</v>
      </c>
      <c r="F8" s="30">
        <f t="shared" si="2"/>
        <v>-1618.8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4" t="s">
        <v>53</v>
      </c>
      <c r="B12" s="35"/>
      <c r="C12" s="35"/>
      <c r="D12" s="35"/>
      <c r="E12" s="35"/>
      <c r="F12" s="35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6" t="s">
        <v>54</v>
      </c>
      <c r="B13" s="29" t="s">
        <v>41</v>
      </c>
      <c r="C13" s="29" t="s">
        <v>42</v>
      </c>
      <c r="D13" s="29" t="s">
        <v>43</v>
      </c>
      <c r="E13" s="29" t="s">
        <v>44</v>
      </c>
      <c r="F13" s="29" t="s">
        <v>45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7" t="s">
        <v>6</v>
      </c>
      <c r="B14" s="38">
        <v>79809.4</v>
      </c>
      <c r="C14" s="38">
        <v>86068.5</v>
      </c>
      <c r="D14" s="38">
        <v>75660.0</v>
      </c>
      <c r="E14" s="38">
        <v>70372.0</v>
      </c>
      <c r="F14" s="38">
        <v>88329.8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7" t="s">
        <v>55</v>
      </c>
      <c r="B15" s="38">
        <v>54945.3</v>
      </c>
      <c r="C15" s="38">
        <v>59346.6</v>
      </c>
      <c r="D15" s="38">
        <v>53402.0</v>
      </c>
      <c r="E15" s="38">
        <v>50550.5</v>
      </c>
      <c r="F15" s="38">
        <v>66137.1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7" t="s">
        <v>56</v>
      </c>
      <c r="B16" s="38">
        <v>-40.8</v>
      </c>
      <c r="C16" s="38">
        <v>-211.6</v>
      </c>
      <c r="D16" s="38">
        <v>238.7</v>
      </c>
      <c r="E16" s="38">
        <v>-273.6</v>
      </c>
      <c r="F16" s="38">
        <v>93.1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7" t="s">
        <v>57</v>
      </c>
      <c r="B17" s="38">
        <v>673.4</v>
      </c>
      <c r="C17" s="38">
        <v>863.3</v>
      </c>
      <c r="D17" s="38">
        <v>699.5</v>
      </c>
      <c r="E17" s="38">
        <v>476.6</v>
      </c>
      <c r="F17" s="38">
        <v>630.9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7" t="s">
        <v>58</v>
      </c>
      <c r="B18" s="38">
        <v>462.1</v>
      </c>
      <c r="C18" s="38">
        <v>475.7</v>
      </c>
      <c r="D18" s="38">
        <v>378.1</v>
      </c>
      <c r="E18" s="38">
        <v>683.3</v>
      </c>
      <c r="F18" s="38">
        <v>852.5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7" t="s">
        <v>59</v>
      </c>
      <c r="B19" s="38">
        <v>2863.4</v>
      </c>
      <c r="C19" s="38">
        <v>3285.0</v>
      </c>
      <c r="D19" s="38">
        <v>3416.2</v>
      </c>
      <c r="E19" s="38">
        <v>3431.6</v>
      </c>
      <c r="F19" s="38">
        <v>4051.4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7" t="s">
        <v>60</v>
      </c>
      <c r="B20" s="38">
        <v>6755.3</v>
      </c>
      <c r="C20" s="38">
        <v>8390.3</v>
      </c>
      <c r="D20" s="38">
        <v>8456.3</v>
      </c>
      <c r="E20" s="38">
        <v>7924.0</v>
      </c>
      <c r="F20" s="38">
        <v>9119.1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7" t="s">
        <v>61</v>
      </c>
      <c r="B21" s="38">
        <v>1951.2</v>
      </c>
      <c r="C21" s="38">
        <v>2439.7</v>
      </c>
      <c r="D21" s="38">
        <v>2191.6</v>
      </c>
      <c r="E21" s="38">
        <v>1621.8</v>
      </c>
      <c r="F21" s="38">
        <v>1879.9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4" t="s">
        <v>62</v>
      </c>
      <c r="B22" s="38">
        <f t="shared" ref="B22:F22" si="3">sum(B15:B21)</f>
        <v>67609.9</v>
      </c>
      <c r="C22" s="38">
        <f t="shared" si="3"/>
        <v>74589</v>
      </c>
      <c r="D22" s="38">
        <f t="shared" si="3"/>
        <v>68782.4</v>
      </c>
      <c r="E22" s="38">
        <f t="shared" si="3"/>
        <v>64414.2</v>
      </c>
      <c r="F22" s="38">
        <f t="shared" si="3"/>
        <v>82764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7" t="s">
        <v>9</v>
      </c>
      <c r="B23" s="38">
        <v>2154.6</v>
      </c>
      <c r="C23" s="38">
        <v>2664.2</v>
      </c>
      <c r="D23" s="38">
        <v>3410.4</v>
      </c>
      <c r="E23" s="38">
        <v>3046.3</v>
      </c>
      <c r="F23" s="38">
        <v>1860.8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7" t="s">
        <v>10</v>
      </c>
      <c r="B24" s="38">
        <v>2759.8</v>
      </c>
      <c r="C24" s="38">
        <v>3020.8</v>
      </c>
      <c r="D24" s="38">
        <v>3528.4</v>
      </c>
      <c r="E24" s="38">
        <v>3034.1</v>
      </c>
      <c r="F24" s="38">
        <v>2789.0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7" t="s">
        <v>63</v>
      </c>
      <c r="B25" s="38">
        <v>345.8</v>
      </c>
      <c r="C25" s="38">
        <v>75.9</v>
      </c>
      <c r="D25" s="38">
        <v>134.2</v>
      </c>
      <c r="E25" s="38">
        <v>101.8</v>
      </c>
      <c r="F25" s="38">
        <v>126.6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7" t="s">
        <v>13</v>
      </c>
      <c r="B26" s="38">
        <v>11166.9</v>
      </c>
      <c r="C26" s="38">
        <v>10623.8</v>
      </c>
      <c r="D26" s="38">
        <v>7102.8</v>
      </c>
      <c r="E26" s="38">
        <v>5321.0</v>
      </c>
      <c r="F26" s="38">
        <v>4697.2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7" t="s">
        <v>16</v>
      </c>
      <c r="B27" s="38">
        <v>3286.2</v>
      </c>
      <c r="C27" s="38">
        <v>2973.2</v>
      </c>
      <c r="D27" s="38">
        <v>1425.2</v>
      </c>
      <c r="E27" s="38">
        <v>931.9</v>
      </c>
      <c r="F27" s="38">
        <v>817.7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7" t="s">
        <v>19</v>
      </c>
      <c r="B28" s="38">
        <v>7880.0</v>
      </c>
      <c r="C28" s="38">
        <v>7649.1</v>
      </c>
      <c r="D28" s="38">
        <v>5676.0</v>
      </c>
      <c r="E28" s="38">
        <v>4389.1</v>
      </c>
      <c r="F28" s="38">
        <v>3879.5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7" t="s">
        <v>64</v>
      </c>
      <c r="B29" s="38">
        <v>2416.0</v>
      </c>
      <c r="C29" s="38">
        <v>2416.0</v>
      </c>
      <c r="D29" s="38">
        <v>1812.0</v>
      </c>
      <c r="E29" s="38">
        <v>1359.0</v>
      </c>
      <c r="F29" s="38">
        <v>1812.0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>
        <f>sum(C31:F31)</f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6" t="s">
        <v>65</v>
      </c>
      <c r="B37" s="29" t="s">
        <v>41</v>
      </c>
      <c r="C37" s="29" t="s">
        <v>42</v>
      </c>
      <c r="D37" s="29" t="s">
        <v>43</v>
      </c>
      <c r="E37" s="29" t="s">
        <v>44</v>
      </c>
      <c r="F37" s="29" t="s">
        <v>45</v>
      </c>
      <c r="G37" s="30"/>
      <c r="H37" s="39" t="s">
        <v>66</v>
      </c>
      <c r="I37" s="30"/>
      <c r="J37" s="30"/>
      <c r="K37" s="39" t="s">
        <v>67</v>
      </c>
      <c r="L37" s="39" t="s">
        <v>68</v>
      </c>
      <c r="M37" s="39" t="s">
        <v>69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4" t="s">
        <v>6</v>
      </c>
      <c r="B38" s="34">
        <v>79809.4</v>
      </c>
      <c r="C38" s="34">
        <v>86068.5</v>
      </c>
      <c r="D38" s="34">
        <v>75660.0</v>
      </c>
      <c r="E38" s="34">
        <v>70372.0</v>
      </c>
      <c r="F38" s="34">
        <v>88329.8</v>
      </c>
      <c r="G38" s="30"/>
      <c r="H38" s="30">
        <f t="shared" ref="H38:H48" si="4">AVERAGE(B38:F38)</f>
        <v>80047.94</v>
      </c>
      <c r="I38" s="30"/>
      <c r="J38" s="30"/>
      <c r="K38" s="40">
        <f t="shared" ref="K38:K44" si="5">H38/$H$38</f>
        <v>1</v>
      </c>
      <c r="L38" s="40">
        <f t="shared" ref="L38:L44" si="6">(((C38-B38)/B38)+((D38-C38)/C38)+((E38-D38)/D38)+((F38-E38)/E38))/4</f>
        <v>0.03569627828</v>
      </c>
      <c r="M38" s="40">
        <f t="shared" ref="M38:M39" si="7">L38</f>
        <v>0.03569627828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7" t="s">
        <v>7</v>
      </c>
      <c r="B39" s="37">
        <v>67691.5</v>
      </c>
      <c r="C39" s="37">
        <v>75012.2</v>
      </c>
      <c r="D39" s="37">
        <v>68305.0</v>
      </c>
      <c r="E39" s="37">
        <v>64961.4</v>
      </c>
      <c r="F39" s="37">
        <v>82577.8</v>
      </c>
      <c r="G39" s="30"/>
      <c r="H39" s="30">
        <f t="shared" si="4"/>
        <v>71709.58</v>
      </c>
      <c r="I39" s="30"/>
      <c r="J39" s="39" t="s">
        <v>70</v>
      </c>
      <c r="K39" s="40">
        <f t="shared" si="5"/>
        <v>0.8958329221</v>
      </c>
      <c r="L39" s="40">
        <f t="shared" si="6"/>
        <v>0.06024118928</v>
      </c>
      <c r="M39" s="40">
        <f t="shared" si="7"/>
        <v>0.06024118928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4" t="s">
        <v>8</v>
      </c>
      <c r="B40" s="34">
        <v>12117.9</v>
      </c>
      <c r="C40" s="34">
        <v>11056.3</v>
      </c>
      <c r="D40" s="34">
        <v>7355.0</v>
      </c>
      <c r="E40" s="34">
        <v>5410.6</v>
      </c>
      <c r="F40" s="34">
        <v>5752.0</v>
      </c>
      <c r="G40" s="30"/>
      <c r="H40" s="30">
        <f t="shared" si="4"/>
        <v>8338.36</v>
      </c>
      <c r="I40" s="30"/>
      <c r="J40" s="30"/>
      <c r="K40" s="40">
        <f t="shared" si="5"/>
        <v>0.1041670779</v>
      </c>
      <c r="L40" s="40">
        <f t="shared" si="6"/>
        <v>-0.1559100916</v>
      </c>
      <c r="M40" s="4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7" t="s">
        <v>9</v>
      </c>
      <c r="B41" s="37">
        <v>2154.6</v>
      </c>
      <c r="C41" s="37">
        <v>2664.2</v>
      </c>
      <c r="D41" s="37">
        <v>3410.4</v>
      </c>
      <c r="E41" s="37">
        <v>3046.3</v>
      </c>
      <c r="F41" s="37">
        <v>1860.8</v>
      </c>
      <c r="G41" s="30"/>
      <c r="H41" s="30">
        <f t="shared" si="4"/>
        <v>2627.26</v>
      </c>
      <c r="I41" s="30"/>
      <c r="J41" s="30"/>
      <c r="K41" s="40">
        <f t="shared" si="5"/>
        <v>0.03282108197</v>
      </c>
      <c r="L41" s="40">
        <f t="shared" si="6"/>
        <v>0.00516975137</v>
      </c>
      <c r="M41" s="4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7" t="s">
        <v>10</v>
      </c>
      <c r="B42" s="37">
        <v>2759.8</v>
      </c>
      <c r="C42" s="37">
        <v>3020.8</v>
      </c>
      <c r="D42" s="37">
        <v>3528.4</v>
      </c>
      <c r="E42" s="37">
        <v>3034.1</v>
      </c>
      <c r="F42" s="37">
        <v>2789.0</v>
      </c>
      <c r="G42" s="30"/>
      <c r="H42" s="30">
        <f t="shared" si="4"/>
        <v>3026.42</v>
      </c>
      <c r="I42" s="30"/>
      <c r="J42" s="30"/>
      <c r="K42" s="40">
        <f t="shared" si="5"/>
        <v>0.0378075938</v>
      </c>
      <c r="L42" s="40">
        <f t="shared" si="6"/>
        <v>0.01043335533</v>
      </c>
      <c r="M42" s="40">
        <f>L42</f>
        <v>0.01043335533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7" t="s">
        <v>63</v>
      </c>
      <c r="B43" s="37">
        <v>345.8</v>
      </c>
      <c r="C43" s="37">
        <v>75.9</v>
      </c>
      <c r="D43" s="37">
        <v>134.2</v>
      </c>
      <c r="E43" s="37">
        <v>101.8</v>
      </c>
      <c r="F43" s="37">
        <v>126.6</v>
      </c>
      <c r="G43" s="30"/>
      <c r="H43" s="30">
        <f t="shared" si="4"/>
        <v>156.86</v>
      </c>
      <c r="I43" s="30"/>
      <c r="J43" s="30"/>
      <c r="K43" s="40">
        <f t="shared" si="5"/>
        <v>0.001959575724</v>
      </c>
      <c r="L43" s="40">
        <f t="shared" si="6"/>
        <v>-0.002552197975</v>
      </c>
      <c r="M43" s="4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7" t="s">
        <v>13</v>
      </c>
      <c r="B44" s="37">
        <v>11166.9</v>
      </c>
      <c r="C44" s="37">
        <v>10623.8</v>
      </c>
      <c r="D44" s="37">
        <v>7102.8</v>
      </c>
      <c r="E44" s="37">
        <v>5321.0</v>
      </c>
      <c r="F44" s="37">
        <v>4697.2</v>
      </c>
      <c r="G44" s="30"/>
      <c r="H44" s="30">
        <f t="shared" si="4"/>
        <v>7782.34</v>
      </c>
      <c r="I44" s="30"/>
      <c r="J44" s="30"/>
      <c r="K44" s="40">
        <f t="shared" si="5"/>
        <v>0.09722099032</v>
      </c>
      <c r="L44" s="40">
        <f t="shared" si="6"/>
        <v>-0.1870382226</v>
      </c>
      <c r="M44" s="4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9" t="s">
        <v>71</v>
      </c>
      <c r="B45" s="41">
        <v>0.3</v>
      </c>
      <c r="C45" s="41">
        <v>0.28</v>
      </c>
      <c r="D45" s="41">
        <v>0.2</v>
      </c>
      <c r="E45" s="41">
        <v>0.18</v>
      </c>
      <c r="F45" s="41">
        <v>0.18</v>
      </c>
      <c r="G45" s="30"/>
      <c r="H45" s="42">
        <f t="shared" si="4"/>
        <v>0.228</v>
      </c>
      <c r="I45" s="30"/>
      <c r="J45" s="30"/>
      <c r="K45" s="40"/>
      <c r="L45" s="40"/>
      <c r="M45" s="4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7" t="s">
        <v>16</v>
      </c>
      <c r="B46" s="37">
        <v>3286.2</v>
      </c>
      <c r="C46" s="37">
        <v>2973.2</v>
      </c>
      <c r="D46" s="37">
        <v>1425.2</v>
      </c>
      <c r="E46" s="37">
        <v>931.9</v>
      </c>
      <c r="F46" s="37">
        <v>817.7</v>
      </c>
      <c r="G46" s="30"/>
      <c r="H46" s="30">
        <f t="shared" si="4"/>
        <v>1886.84</v>
      </c>
      <c r="I46" s="30"/>
      <c r="J46" s="30"/>
      <c r="K46" s="40">
        <f t="shared" ref="K46:K47" si="8">H46/$H$38</f>
        <v>0.02357137485</v>
      </c>
      <c r="L46" s="40">
        <f t="shared" ref="L46:L47" si="9">(((C46-B46)/B46)+((D46-C46)/C46)+((E46-D46)/D46)+((F46-E46)/E46))/4</f>
        <v>-0.2711425342</v>
      </c>
      <c r="M46" s="4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4" t="s">
        <v>19</v>
      </c>
      <c r="B47" s="34">
        <v>7880.0</v>
      </c>
      <c r="C47" s="34">
        <v>7649.1</v>
      </c>
      <c r="D47" s="34">
        <v>5676.0</v>
      </c>
      <c r="E47" s="34">
        <v>4389.1</v>
      </c>
      <c r="F47" s="34">
        <v>3879.5</v>
      </c>
      <c r="G47" s="30"/>
      <c r="H47" s="30">
        <f t="shared" si="4"/>
        <v>5894.74</v>
      </c>
      <c r="I47" s="30"/>
      <c r="J47" s="30"/>
      <c r="K47" s="40">
        <f t="shared" si="8"/>
        <v>0.07364012116</v>
      </c>
      <c r="L47" s="40">
        <f t="shared" si="9"/>
        <v>-0.1575215805</v>
      </c>
      <c r="M47" s="4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43" t="s">
        <v>72</v>
      </c>
      <c r="B48" s="33"/>
      <c r="C48" s="33">
        <v>4458.6</v>
      </c>
      <c r="D48" s="33">
        <v>4007.6</v>
      </c>
      <c r="E48" s="33">
        <v>-3325.2</v>
      </c>
      <c r="F48" s="33">
        <v>3991.4</v>
      </c>
      <c r="G48" s="30"/>
      <c r="H48" s="30">
        <f t="shared" si="4"/>
        <v>2283.1</v>
      </c>
      <c r="I48" s="30"/>
      <c r="J48" s="30"/>
      <c r="K48" s="40">
        <f>(C48/C49+D48/D49+E48/E49+F48/F49)/4</f>
        <v>0.2945982183</v>
      </c>
      <c r="L48" s="40"/>
      <c r="M48" s="4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43" t="s">
        <v>32</v>
      </c>
      <c r="B49" s="33"/>
      <c r="C49" s="32">
        <f t="shared" ref="C49:F49" si="10">C38-B38</f>
        <v>6259.1</v>
      </c>
      <c r="D49" s="32">
        <f t="shared" si="10"/>
        <v>-10408.5</v>
      </c>
      <c r="E49" s="32">
        <f t="shared" si="10"/>
        <v>-5288</v>
      </c>
      <c r="F49" s="32">
        <f t="shared" si="10"/>
        <v>17957.8</v>
      </c>
      <c r="G49" s="30"/>
      <c r="H49" s="30"/>
      <c r="I49" s="30"/>
      <c r="J49" s="30"/>
      <c r="K49" s="40"/>
      <c r="L49" s="40"/>
      <c r="M49" s="4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 t="s">
        <v>51</v>
      </c>
      <c r="B50" s="33">
        <v>3911.6</v>
      </c>
      <c r="C50" s="32">
        <v>4872.4</v>
      </c>
      <c r="D50" s="32">
        <v>3437.0</v>
      </c>
      <c r="E50" s="32">
        <v>2370.3</v>
      </c>
      <c r="F50" s="33">
        <v>3459.3</v>
      </c>
      <c r="G50" s="30"/>
      <c r="H50" s="30">
        <f>AVERAGE(B50:F50)</f>
        <v>3610.12</v>
      </c>
      <c r="I50" s="30"/>
      <c r="J50" s="30"/>
      <c r="K50" s="40">
        <f>H50/$H$38</f>
        <v>0.04509947414</v>
      </c>
      <c r="L50" s="40">
        <f>(((C50-B50)/B50)+((D50-C50)/C50)+((E50-D50)/D50)+((F50-E50)/E50))/4</f>
        <v>0.02502697174</v>
      </c>
      <c r="M50" s="4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9" t="s">
        <v>73</v>
      </c>
      <c r="B51" s="39">
        <v>7921.0</v>
      </c>
      <c r="C51" s="39">
        <v>12361.0</v>
      </c>
      <c r="D51" s="39">
        <v>8427.0</v>
      </c>
      <c r="E51" s="39">
        <v>18080.0</v>
      </c>
      <c r="F51" s="39">
        <v>16781.0</v>
      </c>
      <c r="G51" s="30"/>
      <c r="H51" s="30"/>
      <c r="I51" s="30"/>
      <c r="J51" s="30"/>
      <c r="K51" s="40"/>
      <c r="L51" s="40"/>
      <c r="M51" s="4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9" t="s">
        <v>74</v>
      </c>
      <c r="B52" s="39">
        <v>15442.0</v>
      </c>
      <c r="C52" s="39">
        <v>14150.0</v>
      </c>
      <c r="D52" s="39">
        <v>11294.0</v>
      </c>
      <c r="E52" s="39">
        <v>16200.0</v>
      </c>
      <c r="F52" s="39">
        <v>17013.0</v>
      </c>
      <c r="G52" s="30"/>
      <c r="H52" s="30"/>
      <c r="I52" s="30"/>
      <c r="J52" s="30"/>
      <c r="K52" s="40"/>
      <c r="L52" s="40"/>
      <c r="M52" s="4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9" t="s">
        <v>75</v>
      </c>
      <c r="B53" s="30">
        <f t="shared" ref="B53:F53" si="11">B51-B52</f>
        <v>-7521</v>
      </c>
      <c r="C53" s="30">
        <f t="shared" si="11"/>
        <v>-1789</v>
      </c>
      <c r="D53" s="30">
        <f t="shared" si="11"/>
        <v>-2867</v>
      </c>
      <c r="E53" s="30">
        <f t="shared" si="11"/>
        <v>1880</v>
      </c>
      <c r="F53" s="30">
        <f t="shared" si="11"/>
        <v>-232</v>
      </c>
      <c r="G53" s="30"/>
      <c r="H53" s="30"/>
      <c r="I53" s="30"/>
      <c r="J53" s="30"/>
      <c r="K53" s="40"/>
      <c r="L53" s="40"/>
      <c r="M53" s="4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43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25"/>
    <col customWidth="1" min="8" max="8" width="13.88"/>
    <col customWidth="1" min="10" max="10" width="17.88"/>
    <col customWidth="1" min="11" max="11" width="16.88"/>
    <col customWidth="1" min="12" max="12" width="31.13"/>
  </cols>
  <sheetData>
    <row r="1">
      <c r="A1" s="30"/>
      <c r="B1" s="30"/>
      <c r="C1" s="39"/>
      <c r="D1" s="39"/>
      <c r="E1" s="39"/>
      <c r="F1" s="39"/>
      <c r="G1" s="39"/>
      <c r="H1" s="3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0"/>
      <c r="B2" s="44"/>
      <c r="C2" s="45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4"/>
      <c r="B3" s="46" t="s">
        <v>6</v>
      </c>
      <c r="C3" s="46">
        <v>88329.8</v>
      </c>
      <c r="D3" s="44">
        <f>C3*(1+Sheet2!$M38)</f>
        <v>91482.84512</v>
      </c>
      <c r="E3" s="44">
        <f>D3*(1+Sheet2!$M38)</f>
        <v>94748.44222</v>
      </c>
      <c r="F3" s="44">
        <f>E3*(1+Sheet2!$M38)</f>
        <v>98130.60898</v>
      </c>
      <c r="G3" s="44">
        <f>F3*(1+Sheet2!$M38)</f>
        <v>101633.5065</v>
      </c>
      <c r="H3" s="44">
        <f>G3*(1+Sheet2!$M38)</f>
        <v>105261.4444</v>
      </c>
      <c r="I3" s="39" t="s">
        <v>76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7"/>
      <c r="B4" s="47" t="s">
        <v>7</v>
      </c>
      <c r="C4" s="47">
        <v>82577.8</v>
      </c>
      <c r="D4" s="44">
        <f>D3*Sheet2!$K$39</f>
        <v>81953.34447</v>
      </c>
      <c r="E4" s="44">
        <f>E3*Sheet2!$K$39</f>
        <v>84878.77386</v>
      </c>
      <c r="F4" s="44">
        <f>F3*Sheet2!$K$39</f>
        <v>87908.63019</v>
      </c>
      <c r="G4" s="44">
        <f>G3*Sheet2!$K$39</f>
        <v>91046.64112</v>
      </c>
      <c r="H4" s="44">
        <f>H3*Sheet2!$K$39</f>
        <v>94296.66735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4"/>
      <c r="B5" s="46" t="s">
        <v>8</v>
      </c>
      <c r="C5" s="46">
        <v>5752.0</v>
      </c>
      <c r="D5" s="44">
        <f t="shared" ref="D5:H5" si="1">D3-D4</f>
        <v>9529.500652</v>
      </c>
      <c r="E5" s="44">
        <f t="shared" si="1"/>
        <v>9869.668359</v>
      </c>
      <c r="F5" s="44">
        <f t="shared" si="1"/>
        <v>10221.97879</v>
      </c>
      <c r="G5" s="44">
        <f t="shared" si="1"/>
        <v>10586.86539</v>
      </c>
      <c r="H5" s="44">
        <f t="shared" si="1"/>
        <v>10964.77708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7"/>
      <c r="B6" s="47" t="s">
        <v>9</v>
      </c>
      <c r="C6" s="47">
        <v>1860.8</v>
      </c>
      <c r="D6" s="44">
        <f>C6*(1+Sheet2!$M$38)</f>
        <v>1927.223635</v>
      </c>
      <c r="E6" s="44">
        <f>D6*(1+Sheet2!$M$38)</f>
        <v>1996.018346</v>
      </c>
      <c r="F6" s="44">
        <f>E6*(1+Sheet2!$M$38)</f>
        <v>2067.268772</v>
      </c>
      <c r="G6" s="44">
        <f>F6*(1+Sheet2!$M$38)</f>
        <v>2141.062573</v>
      </c>
      <c r="H6" s="44">
        <f>G6*(1+Sheet2!$M$38)</f>
        <v>2217.490539</v>
      </c>
      <c r="I6" s="30"/>
      <c r="J6" s="4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7"/>
      <c r="B7" s="47" t="s">
        <v>10</v>
      </c>
      <c r="C7" s="47">
        <v>2789.0</v>
      </c>
      <c r="D7" s="44">
        <f>C7*(1+Sheet2!$L$42)</f>
        <v>2818.098628</v>
      </c>
      <c r="E7" s="44">
        <f>D7*(1+Sheet2!$L$42)</f>
        <v>2847.500852</v>
      </c>
      <c r="F7" s="44">
        <f>E7*(1+Sheet2!$L$42)</f>
        <v>2877.209841</v>
      </c>
      <c r="G7" s="44">
        <f>F7*(1+Sheet2!$L$42)</f>
        <v>2907.228793</v>
      </c>
      <c r="H7" s="44">
        <f>G7*(1+Sheet2!$L$42)</f>
        <v>2937.560944</v>
      </c>
      <c r="J7" s="49" t="s">
        <v>11</v>
      </c>
      <c r="K7" s="8">
        <v>0.0683</v>
      </c>
      <c r="L7" s="39" t="s">
        <v>12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7"/>
      <c r="B8" s="47" t="s">
        <v>13</v>
      </c>
      <c r="C8" s="47">
        <v>4697.2</v>
      </c>
      <c r="D8" s="44">
        <f t="shared" ref="D8:H8" si="2">D5+D6-D7</f>
        <v>8638.625659</v>
      </c>
      <c r="E8" s="44">
        <f t="shared" si="2"/>
        <v>9018.185853</v>
      </c>
      <c r="F8" s="44">
        <f t="shared" si="2"/>
        <v>9412.037719</v>
      </c>
      <c r="G8" s="44">
        <f t="shared" si="2"/>
        <v>9820.699167</v>
      </c>
      <c r="H8" s="50">
        <f t="shared" si="2"/>
        <v>10244.70667</v>
      </c>
      <c r="I8" s="30"/>
      <c r="J8" s="51" t="s">
        <v>14</v>
      </c>
      <c r="K8" s="52">
        <v>0.0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7"/>
      <c r="B9" s="47" t="s">
        <v>16</v>
      </c>
      <c r="C9" s="47">
        <v>817.7</v>
      </c>
      <c r="D9" s="44">
        <f>D8*Sheet2!$H$45</f>
        <v>1969.60665</v>
      </c>
      <c r="E9" s="44">
        <f>E8*Sheet2!$H$45</f>
        <v>2056.146374</v>
      </c>
      <c r="F9" s="44">
        <f>F8*Sheet2!$H$45</f>
        <v>2145.9446</v>
      </c>
      <c r="G9" s="44">
        <f>G8*Sheet2!$H$45</f>
        <v>2239.11941</v>
      </c>
      <c r="H9" s="50">
        <f>H8*Sheet2!$H$45</f>
        <v>2335.793122</v>
      </c>
      <c r="I9" s="30"/>
      <c r="J9" s="53" t="s">
        <v>17</v>
      </c>
      <c r="K9" s="13">
        <v>0.12</v>
      </c>
      <c r="L9" s="39" t="s">
        <v>77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4"/>
      <c r="B10" s="46" t="s">
        <v>19</v>
      </c>
      <c r="C10" s="46">
        <v>3879.5</v>
      </c>
      <c r="D10" s="44">
        <f t="shared" ref="D10:H10" si="3">D8-D9</f>
        <v>6669.019009</v>
      </c>
      <c r="E10" s="44">
        <f t="shared" si="3"/>
        <v>6962.039478</v>
      </c>
      <c r="F10" s="44">
        <f t="shared" si="3"/>
        <v>7266.093119</v>
      </c>
      <c r="G10" s="44">
        <f t="shared" si="3"/>
        <v>7581.579757</v>
      </c>
      <c r="H10" s="50">
        <f t="shared" si="3"/>
        <v>7908.913553</v>
      </c>
      <c r="I10" s="30"/>
      <c r="J10" s="54" t="s">
        <v>78</v>
      </c>
      <c r="K10" s="52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9"/>
      <c r="B11" s="53" t="s">
        <v>10</v>
      </c>
      <c r="C11" s="44">
        <f t="shared" ref="C11:H11" si="4">C7</f>
        <v>2789</v>
      </c>
      <c r="D11" s="44">
        <f t="shared" si="4"/>
        <v>2818.098628</v>
      </c>
      <c r="E11" s="44">
        <f t="shared" si="4"/>
        <v>2847.500852</v>
      </c>
      <c r="F11" s="44">
        <f t="shared" si="4"/>
        <v>2877.209841</v>
      </c>
      <c r="G11" s="44">
        <f t="shared" si="4"/>
        <v>2907.228793</v>
      </c>
      <c r="H11" s="50">
        <f t="shared" si="4"/>
        <v>2937.560944</v>
      </c>
      <c r="I11" s="30"/>
      <c r="J11" s="51" t="s">
        <v>20</v>
      </c>
      <c r="K11" s="14">
        <f>Sheet2!H45</f>
        <v>0.228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8"/>
      <c r="B12" s="51" t="s">
        <v>23</v>
      </c>
      <c r="C12" s="55">
        <v>3459.3</v>
      </c>
      <c r="D12" s="44">
        <f>D3*Sheet2!$K$50</f>
        <v>4125.828208</v>
      </c>
      <c r="E12" s="44">
        <f>E3*Sheet2!$K$50</f>
        <v>4273.10492</v>
      </c>
      <c r="F12" s="44">
        <f>F3*Sheet2!$K$50</f>
        <v>4425.638862</v>
      </c>
      <c r="G12" s="44">
        <f>G3*Sheet2!$K$50</f>
        <v>4583.617698</v>
      </c>
      <c r="H12" s="50">
        <f>H3*Sheet2!$K$50</f>
        <v>4747.235791</v>
      </c>
      <c r="I12" s="30"/>
      <c r="J12" s="51" t="s">
        <v>21</v>
      </c>
      <c r="K12" s="52">
        <v>1.04</v>
      </c>
      <c r="L12" s="56" t="s">
        <v>79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48"/>
      <c r="B13" s="51" t="s">
        <v>25</v>
      </c>
      <c r="C13" s="55">
        <v>3991.4</v>
      </c>
      <c r="D13" s="44">
        <f>D18*Sheet2!$K$48</f>
        <v>928.881475</v>
      </c>
      <c r="E13" s="44">
        <f>E18*Sheet2!$K$48</f>
        <v>962.0390866</v>
      </c>
      <c r="F13" s="44">
        <f>F18*Sheet2!$K$48</f>
        <v>996.3803015</v>
      </c>
      <c r="G13" s="44">
        <f>G18*Sheet2!$K$48</f>
        <v>1031.94737</v>
      </c>
      <c r="H13" s="44">
        <f>H18*Sheet2!$K$48</f>
        <v>1068.784051</v>
      </c>
      <c r="I13" s="57"/>
      <c r="J13" s="58" t="s">
        <v>24</v>
      </c>
      <c r="K13" s="18">
        <f>K7+K12*(K9-K7)</f>
        <v>0.122068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9"/>
      <c r="B14" s="59" t="s">
        <v>28</v>
      </c>
      <c r="C14" s="60">
        <f t="shared" ref="C14:H14" si="5">C10+C11-C12-C13</f>
        <v>-782.2</v>
      </c>
      <c r="D14" s="60">
        <f t="shared" si="5"/>
        <v>4432.407954</v>
      </c>
      <c r="E14" s="60">
        <f t="shared" si="5"/>
        <v>4574.396325</v>
      </c>
      <c r="F14" s="60">
        <f t="shared" si="5"/>
        <v>4721.283796</v>
      </c>
      <c r="G14" s="60">
        <f t="shared" si="5"/>
        <v>4873.243482</v>
      </c>
      <c r="H14" s="60">
        <f t="shared" si="5"/>
        <v>5030.454655</v>
      </c>
      <c r="I14" s="57"/>
      <c r="J14" s="61" t="s">
        <v>26</v>
      </c>
      <c r="K14" s="62" t="s">
        <v>27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9"/>
      <c r="B15" s="53" t="s">
        <v>80</v>
      </c>
      <c r="C15" s="44">
        <f>C14</f>
        <v>-782.2</v>
      </c>
      <c r="D15" s="44">
        <f>D14/1.1221</f>
        <v>3950.100663</v>
      </c>
      <c r="E15" s="44">
        <f>E14/1.1221^2</f>
        <v>3633.044056</v>
      </c>
      <c r="F15" s="44">
        <f>F14/1.1221^3</f>
        <v>3341.68431</v>
      </c>
      <c r="G15" s="44">
        <f>G14/1.1221^4</f>
        <v>3073.915049</v>
      </c>
      <c r="H15" s="44">
        <f>H14/1.1221^5</f>
        <v>2827.804796</v>
      </c>
      <c r="I15" s="30"/>
      <c r="J15" s="51" t="s">
        <v>29</v>
      </c>
      <c r="K15" s="14">
        <f>K13</f>
        <v>0.122068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9"/>
      <c r="B16" s="59" t="s">
        <v>81</v>
      </c>
      <c r="C16" s="63">
        <f>sum(C15:H15)</f>
        <v>16044.34887</v>
      </c>
      <c r="D16" s="44"/>
      <c r="E16" s="44"/>
      <c r="F16" s="44"/>
      <c r="G16" s="44"/>
      <c r="H16" s="44"/>
      <c r="I16" s="30"/>
      <c r="J16" s="51" t="s">
        <v>30</v>
      </c>
      <c r="K16" s="8">
        <v>0.055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9"/>
      <c r="B18" s="39" t="s">
        <v>32</v>
      </c>
      <c r="C18" s="30"/>
      <c r="D18" s="30">
        <f t="shared" ref="D18:H18" si="6">D3-C3</f>
        <v>3153.045121</v>
      </c>
      <c r="E18" s="30">
        <f t="shared" si="6"/>
        <v>3265.597097</v>
      </c>
      <c r="F18" s="30">
        <f t="shared" si="6"/>
        <v>3382.16676</v>
      </c>
      <c r="G18" s="30">
        <f t="shared" si="6"/>
        <v>3502.897525</v>
      </c>
      <c r="H18" s="30">
        <f t="shared" si="6"/>
        <v>3627.93793</v>
      </c>
      <c r="I18" s="30">
        <f>K20-H3</f>
        <v>5789.379444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64"/>
      <c r="B20" s="65" t="s">
        <v>34</v>
      </c>
      <c r="C20" s="66"/>
      <c r="D20" s="67"/>
      <c r="E20" s="67"/>
      <c r="F20" s="67"/>
      <c r="G20" s="67"/>
      <c r="H20" s="67"/>
      <c r="I20" s="30"/>
      <c r="J20" s="46" t="s">
        <v>33</v>
      </c>
      <c r="K20" s="44">
        <f>H3*(1+K16)</f>
        <v>111050.8239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48"/>
      <c r="B21" s="51" t="s">
        <v>35</v>
      </c>
      <c r="C21" s="68">
        <f>K32</f>
        <v>70067.79441</v>
      </c>
      <c r="D21" s="67"/>
      <c r="E21" s="69"/>
      <c r="F21" s="69"/>
      <c r="G21" s="69"/>
      <c r="H21" s="69"/>
      <c r="I21" s="30"/>
      <c r="J21" s="47" t="s">
        <v>7</v>
      </c>
      <c r="K21" s="44">
        <f>K20*Sheet2!$K$39</f>
        <v>99482.98406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48"/>
      <c r="B22" s="51" t="s">
        <v>36</v>
      </c>
      <c r="C22" s="52">
        <v>0.0</v>
      </c>
      <c r="D22" s="67"/>
      <c r="E22" s="69"/>
      <c r="F22" s="69"/>
      <c r="G22" s="69"/>
      <c r="H22" s="69"/>
      <c r="I22" s="30"/>
      <c r="J22" s="46" t="s">
        <v>8</v>
      </c>
      <c r="K22" s="44">
        <f>K20-K21</f>
        <v>11567.83982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48"/>
      <c r="B23" s="51" t="s">
        <v>37</v>
      </c>
      <c r="C23" s="70">
        <f>C21</f>
        <v>70067.79441</v>
      </c>
      <c r="D23" s="67"/>
      <c r="E23" s="69"/>
      <c r="F23" s="69"/>
      <c r="G23" s="69"/>
      <c r="H23" s="69"/>
      <c r="I23" s="30"/>
      <c r="J23" s="47" t="s">
        <v>9</v>
      </c>
      <c r="K23" s="44">
        <f>H6*(1+K16)</f>
        <v>2339.452519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9"/>
      <c r="B24" s="53" t="s">
        <v>82</v>
      </c>
      <c r="C24" s="44">
        <f>C23/1.1221^6</f>
        <v>35101.77457</v>
      </c>
      <c r="D24" s="67"/>
      <c r="E24" s="30"/>
      <c r="F24" s="30"/>
      <c r="G24" s="30"/>
      <c r="H24" s="30"/>
      <c r="I24" s="30"/>
      <c r="J24" s="47" t="s">
        <v>10</v>
      </c>
      <c r="K24" s="44">
        <f>H7*(1+Sheet2!$L$42)</f>
        <v>2968.209561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9"/>
      <c r="B25" s="53" t="s">
        <v>83</v>
      </c>
      <c r="C25" s="71">
        <f>C24+C16</f>
        <v>51146.12345</v>
      </c>
      <c r="D25" s="30"/>
      <c r="E25" s="30"/>
      <c r="F25" s="30"/>
      <c r="G25" s="30"/>
      <c r="H25" s="30"/>
      <c r="I25" s="30"/>
      <c r="J25" s="47" t="s">
        <v>13</v>
      </c>
      <c r="K25" s="50">
        <f>K22+K23-K24</f>
        <v>10939.08278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D26" s="30"/>
      <c r="E26" s="30"/>
      <c r="F26" s="30"/>
      <c r="G26" s="30"/>
      <c r="H26" s="30"/>
      <c r="I26" s="30"/>
      <c r="J26" s="47" t="s">
        <v>16</v>
      </c>
      <c r="K26" s="50">
        <f>K25*Sheet2!$H$45</f>
        <v>2494.110873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46" t="s">
        <v>19</v>
      </c>
      <c r="K27" s="50">
        <f>K25-K26</f>
        <v>8444.971903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0"/>
      <c r="B28" s="39" t="s">
        <v>84</v>
      </c>
      <c r="C28" s="39">
        <v>3.02071492E8</v>
      </c>
      <c r="D28" s="30"/>
      <c r="E28" s="30"/>
      <c r="F28" s="30"/>
      <c r="G28" s="30"/>
      <c r="H28" s="30"/>
      <c r="I28" s="30"/>
      <c r="J28" s="53" t="s">
        <v>10</v>
      </c>
      <c r="K28" s="50">
        <f>K24</f>
        <v>2968.209561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0"/>
      <c r="B29" s="39" t="s">
        <v>85</v>
      </c>
      <c r="C29" s="72">
        <f>C25/C28</f>
        <v>0.0001693179423</v>
      </c>
      <c r="D29" s="39" t="s">
        <v>86</v>
      </c>
      <c r="E29" s="30"/>
      <c r="F29" s="30"/>
      <c r="G29" s="30"/>
      <c r="H29" s="30"/>
      <c r="I29" s="30"/>
      <c r="J29" s="51" t="s">
        <v>23</v>
      </c>
      <c r="K29" s="50">
        <f>K20*Sheet2!$K$50</f>
        <v>5008.33376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51" t="s">
        <v>25</v>
      </c>
      <c r="K30" s="44">
        <f>I18*Sheet2!K48</f>
        <v>1705.540869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0"/>
      <c r="C31" s="30">
        <f>C29*10000000</f>
        <v>1693.179423</v>
      </c>
      <c r="D31" s="30"/>
      <c r="E31" s="30"/>
      <c r="F31" s="30"/>
      <c r="G31" s="30"/>
      <c r="H31" s="30"/>
      <c r="I31" s="30"/>
      <c r="J31" s="51" t="s">
        <v>38</v>
      </c>
      <c r="K31" s="44">
        <f>K27+K28-K29-K30</f>
        <v>4699.306836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73" t="s">
        <v>35</v>
      </c>
      <c r="K32" s="44">
        <f>K31/(K15-K16)</f>
        <v>70067.79441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53" t="s">
        <v>39</v>
      </c>
      <c r="K33" s="44">
        <f>K32</f>
        <v>70067.79441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</sheetData>
  <mergeCells count="1">
    <mergeCell ref="B20:C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25"/>
    <col customWidth="1" min="8" max="8" width="13.88"/>
    <col customWidth="1" min="10" max="10" width="15.25"/>
    <col customWidth="1" min="11" max="11" width="16.88"/>
  </cols>
  <sheetData>
    <row r="1">
      <c r="A1" s="30"/>
      <c r="B1" s="30"/>
      <c r="C1" s="39"/>
      <c r="D1" s="39"/>
      <c r="E1" s="39"/>
      <c r="F1" s="39"/>
      <c r="G1" s="39"/>
      <c r="H1" s="3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0"/>
      <c r="B2" s="44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4"/>
      <c r="B3" s="46" t="s">
        <v>6</v>
      </c>
      <c r="C3" s="46">
        <v>88329.8</v>
      </c>
      <c r="D3" s="44">
        <f>C3*(1+Sheet2!$M38)</f>
        <v>91482.84512</v>
      </c>
      <c r="E3" s="44">
        <f>D3*(1+Sheet2!$M38)</f>
        <v>94748.44222</v>
      </c>
      <c r="F3" s="44">
        <f>E3*(1+Sheet2!$M38)</f>
        <v>98130.60898</v>
      </c>
      <c r="G3" s="44">
        <f>F3*(1+Sheet2!$M38)</f>
        <v>101633.5065</v>
      </c>
      <c r="H3" s="44">
        <f>G3*(1+Sheet2!$M38)</f>
        <v>105261.4444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7"/>
      <c r="B4" s="47" t="s">
        <v>7</v>
      </c>
      <c r="C4" s="47">
        <v>82577.8</v>
      </c>
      <c r="D4" s="44">
        <f>D3*Sheet2!$K$39</f>
        <v>81953.34447</v>
      </c>
      <c r="E4" s="44">
        <f>E3*Sheet2!$K$39</f>
        <v>84878.77386</v>
      </c>
      <c r="F4" s="44">
        <f>F3*Sheet2!$K$39</f>
        <v>87908.63019</v>
      </c>
      <c r="G4" s="44">
        <f>G3*Sheet2!$K$39</f>
        <v>91046.64112</v>
      </c>
      <c r="H4" s="44">
        <f>H3*Sheet2!$K$39</f>
        <v>94296.66735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4"/>
      <c r="B5" s="46" t="s">
        <v>8</v>
      </c>
      <c r="C5" s="46">
        <v>5752.0</v>
      </c>
      <c r="D5" s="44">
        <f t="shared" ref="D5:H5" si="1">D3-D4</f>
        <v>9529.500652</v>
      </c>
      <c r="E5" s="44">
        <f t="shared" si="1"/>
        <v>9869.668359</v>
      </c>
      <c r="F5" s="44">
        <f t="shared" si="1"/>
        <v>10221.97879</v>
      </c>
      <c r="G5" s="44">
        <f t="shared" si="1"/>
        <v>10586.86539</v>
      </c>
      <c r="H5" s="44">
        <f t="shared" si="1"/>
        <v>10964.77708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7"/>
      <c r="B6" s="47" t="s">
        <v>9</v>
      </c>
      <c r="C6" s="47">
        <v>1860.8</v>
      </c>
      <c r="D6" s="44">
        <f>C6*(1+Sheet2!$M$38)</f>
        <v>1927.223635</v>
      </c>
      <c r="E6" s="44">
        <f>D6*(1+Sheet2!$M$38)</f>
        <v>1996.018346</v>
      </c>
      <c r="F6" s="44">
        <f>E6*(1+Sheet2!$M$38)</f>
        <v>2067.268772</v>
      </c>
      <c r="G6" s="44">
        <f>F6*(1+Sheet2!$M$38)</f>
        <v>2141.062573</v>
      </c>
      <c r="H6" s="44">
        <f>G6*(1+Sheet2!$M$38)</f>
        <v>2217.490539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7"/>
      <c r="B7" s="47" t="s">
        <v>10</v>
      </c>
      <c r="C7" s="47">
        <v>2789.0</v>
      </c>
      <c r="D7" s="44">
        <f>C7*(1+Sheet2!$L$42)</f>
        <v>2818.098628</v>
      </c>
      <c r="E7" s="44">
        <f>D7*(1+Sheet2!$L$42)</f>
        <v>2847.500852</v>
      </c>
      <c r="F7" s="44">
        <f>E7*(1+Sheet2!$L$42)</f>
        <v>2877.209841</v>
      </c>
      <c r="G7" s="44">
        <f>F7*(1+Sheet2!$L$42)</f>
        <v>2907.228793</v>
      </c>
      <c r="H7" s="44">
        <f>G7*(1+Sheet2!$L$42)</f>
        <v>2937.560944</v>
      </c>
      <c r="I7" s="30"/>
      <c r="J7" s="51" t="s">
        <v>11</v>
      </c>
      <c r="K7" s="8">
        <v>0.0683</v>
      </c>
      <c r="L7" s="39" t="s">
        <v>12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7"/>
      <c r="B8" s="47" t="s">
        <v>13</v>
      </c>
      <c r="C8" s="47">
        <v>4697.2</v>
      </c>
      <c r="D8" s="44">
        <f t="shared" ref="D8:H8" si="2">D5+D6-D7</f>
        <v>8638.625659</v>
      </c>
      <c r="E8" s="44">
        <f t="shared" si="2"/>
        <v>9018.185853</v>
      </c>
      <c r="F8" s="44">
        <f t="shared" si="2"/>
        <v>9412.037719</v>
      </c>
      <c r="G8" s="44">
        <f t="shared" si="2"/>
        <v>9820.699167</v>
      </c>
      <c r="H8" s="50">
        <f t="shared" si="2"/>
        <v>10244.70667</v>
      </c>
      <c r="I8" s="30"/>
      <c r="J8" s="51" t="s">
        <v>14</v>
      </c>
      <c r="K8" s="52">
        <v>0.0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7"/>
      <c r="B9" s="47" t="s">
        <v>16</v>
      </c>
      <c r="C9" s="47">
        <v>817.7</v>
      </c>
      <c r="D9" s="44">
        <f>D8*Sheet2!$H$45</f>
        <v>1969.60665</v>
      </c>
      <c r="E9" s="44">
        <f>E8*Sheet2!$H$45</f>
        <v>2056.146374</v>
      </c>
      <c r="F9" s="44">
        <f>F8*Sheet2!$H$45</f>
        <v>2145.9446</v>
      </c>
      <c r="G9" s="44">
        <f>G8*Sheet2!$H$45</f>
        <v>2239.11941</v>
      </c>
      <c r="H9" s="50">
        <f>H8*Sheet2!$H$45</f>
        <v>2335.793122</v>
      </c>
      <c r="I9" s="30"/>
      <c r="J9" s="53" t="s">
        <v>17</v>
      </c>
      <c r="K9" s="13">
        <v>0.12</v>
      </c>
      <c r="L9" s="39" t="s">
        <v>77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4"/>
      <c r="B10" s="46" t="s">
        <v>19</v>
      </c>
      <c r="C10" s="46">
        <v>3879.5</v>
      </c>
      <c r="D10" s="44">
        <f t="shared" ref="D10:H10" si="3">D8-D9</f>
        <v>6669.019009</v>
      </c>
      <c r="E10" s="44">
        <f t="shared" si="3"/>
        <v>6962.039478</v>
      </c>
      <c r="F10" s="44">
        <f t="shared" si="3"/>
        <v>7266.093119</v>
      </c>
      <c r="G10" s="44">
        <f t="shared" si="3"/>
        <v>7581.579757</v>
      </c>
      <c r="H10" s="50">
        <f t="shared" si="3"/>
        <v>7908.913553</v>
      </c>
      <c r="I10" s="30"/>
      <c r="J10" s="54" t="s">
        <v>78</v>
      </c>
      <c r="K10" s="52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9"/>
      <c r="B11" s="53" t="s">
        <v>10</v>
      </c>
      <c r="C11" s="44">
        <f t="shared" ref="C11:H11" si="4">C7</f>
        <v>2789</v>
      </c>
      <c r="D11" s="44">
        <f t="shared" si="4"/>
        <v>2818.098628</v>
      </c>
      <c r="E11" s="44">
        <f t="shared" si="4"/>
        <v>2847.500852</v>
      </c>
      <c r="F11" s="44">
        <f t="shared" si="4"/>
        <v>2877.209841</v>
      </c>
      <c r="G11" s="44">
        <f t="shared" si="4"/>
        <v>2907.228793</v>
      </c>
      <c r="H11" s="50">
        <f t="shared" si="4"/>
        <v>2937.560944</v>
      </c>
      <c r="I11" s="30"/>
      <c r="J11" s="51" t="s">
        <v>20</v>
      </c>
      <c r="K11" s="14">
        <f>Sheet2!H45</f>
        <v>0.228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8"/>
      <c r="B12" s="51" t="s">
        <v>23</v>
      </c>
      <c r="C12" s="55">
        <v>3459.3</v>
      </c>
      <c r="D12" s="44">
        <f>D3*Sheet2!$K$50</f>
        <v>4125.828208</v>
      </c>
      <c r="E12" s="44">
        <f>E3*Sheet2!$K$50</f>
        <v>4273.10492</v>
      </c>
      <c r="F12" s="44">
        <f>F3*Sheet2!$K$50</f>
        <v>4425.638862</v>
      </c>
      <c r="G12" s="44">
        <f>G3*Sheet2!$K$50</f>
        <v>4583.617698</v>
      </c>
      <c r="H12" s="50">
        <f>H3*Sheet2!$K$50</f>
        <v>4747.235791</v>
      </c>
      <c r="I12" s="30"/>
      <c r="J12" s="51" t="s">
        <v>21</v>
      </c>
      <c r="K12" s="52">
        <v>1.04</v>
      </c>
      <c r="L12" s="56" t="s">
        <v>79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48"/>
      <c r="B13" s="51" t="s">
        <v>25</v>
      </c>
      <c r="C13" s="55">
        <v>3991.4</v>
      </c>
      <c r="D13" s="44">
        <f>D19*Sheet2!$K$48</f>
        <v>928.881475</v>
      </c>
      <c r="E13" s="44">
        <f>E19*Sheet2!$K$48</f>
        <v>962.0390866</v>
      </c>
      <c r="F13" s="44">
        <f>F19*Sheet2!$K$48</f>
        <v>996.3803015</v>
      </c>
      <c r="G13" s="44">
        <f>G19*Sheet2!$K$48</f>
        <v>1031.94737</v>
      </c>
      <c r="H13" s="44">
        <f>H19*Sheet2!$K$48</f>
        <v>1068.784051</v>
      </c>
      <c r="I13" s="57"/>
      <c r="J13" s="58" t="s">
        <v>24</v>
      </c>
      <c r="K13" s="18">
        <f>K7+K12*(K9-K7)</f>
        <v>0.122068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9"/>
      <c r="B14" s="53" t="s">
        <v>87</v>
      </c>
      <c r="C14" s="44">
        <f t="shared" ref="C14:H14" si="5">C10+C11-C12-C13</f>
        <v>-782.2</v>
      </c>
      <c r="D14" s="44">
        <f t="shared" si="5"/>
        <v>4432.407954</v>
      </c>
      <c r="E14" s="44">
        <f t="shared" si="5"/>
        <v>4574.396325</v>
      </c>
      <c r="F14" s="44">
        <f t="shared" si="5"/>
        <v>4721.283796</v>
      </c>
      <c r="G14" s="44">
        <f t="shared" si="5"/>
        <v>4873.243482</v>
      </c>
      <c r="H14" s="44">
        <f t="shared" si="5"/>
        <v>5030.454655</v>
      </c>
      <c r="I14" s="57"/>
      <c r="J14" s="61" t="s">
        <v>26</v>
      </c>
      <c r="K14" s="62" t="s">
        <v>27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9"/>
      <c r="B15" s="53" t="s">
        <v>88</v>
      </c>
      <c r="C15" s="53">
        <v>0.0</v>
      </c>
      <c r="D15" s="53">
        <v>0.0</v>
      </c>
      <c r="E15" s="53">
        <v>0.0</v>
      </c>
      <c r="F15" s="53">
        <v>0.0</v>
      </c>
      <c r="G15" s="53">
        <v>0.0</v>
      </c>
      <c r="H15" s="53">
        <v>0.0</v>
      </c>
      <c r="I15" s="30"/>
      <c r="J15" s="51" t="s">
        <v>29</v>
      </c>
      <c r="K15" s="14">
        <f>K13</f>
        <v>0.122068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9"/>
      <c r="B16" s="53" t="s">
        <v>89</v>
      </c>
      <c r="C16" s="60">
        <f t="shared" ref="C16:H16" si="6">C14-C15</f>
        <v>-782.2</v>
      </c>
      <c r="D16" s="60">
        <f t="shared" si="6"/>
        <v>4432.407954</v>
      </c>
      <c r="E16" s="60">
        <f t="shared" si="6"/>
        <v>4574.396325</v>
      </c>
      <c r="F16" s="60">
        <f t="shared" si="6"/>
        <v>4721.283796</v>
      </c>
      <c r="G16" s="60">
        <f t="shared" si="6"/>
        <v>4873.243482</v>
      </c>
      <c r="H16" s="60">
        <f t="shared" si="6"/>
        <v>5030.454655</v>
      </c>
      <c r="I16" s="30"/>
      <c r="J16" s="51" t="s">
        <v>30</v>
      </c>
      <c r="K16" s="8">
        <v>0.055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9"/>
      <c r="B17" s="53" t="s">
        <v>90</v>
      </c>
      <c r="C17" s="44">
        <f>C16</f>
        <v>-782.2</v>
      </c>
      <c r="D17" s="44">
        <f>D16/1.1221</f>
        <v>3950.100663</v>
      </c>
      <c r="E17" s="44">
        <f>E16/1.1221^2</f>
        <v>3633.044056</v>
      </c>
      <c r="F17" s="44">
        <f>F16/1.1221^3</f>
        <v>3341.68431</v>
      </c>
      <c r="G17" s="44">
        <f>G16/1.1221^4</f>
        <v>3073.915049</v>
      </c>
      <c r="H17" s="44">
        <f>H16/1.1221^5</f>
        <v>2827.804796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9"/>
      <c r="B18" s="53" t="s">
        <v>91</v>
      </c>
      <c r="C18" s="74">
        <f>SUM(C17:H17)</f>
        <v>16044.34887</v>
      </c>
      <c r="D18" s="44"/>
      <c r="E18" s="44"/>
      <c r="F18" s="44"/>
      <c r="G18" s="44"/>
      <c r="H18" s="4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9"/>
      <c r="B19" s="53" t="s">
        <v>32</v>
      </c>
      <c r="C19" s="44"/>
      <c r="D19" s="44">
        <f t="shared" ref="D19:H19" si="7">D3-C3</f>
        <v>3153.045121</v>
      </c>
      <c r="E19" s="44">
        <f t="shared" si="7"/>
        <v>3265.597097</v>
      </c>
      <c r="F19" s="44">
        <f t="shared" si="7"/>
        <v>3382.16676</v>
      </c>
      <c r="G19" s="44">
        <f t="shared" si="7"/>
        <v>3502.897525</v>
      </c>
      <c r="H19" s="44">
        <f t="shared" si="7"/>
        <v>3627.93793</v>
      </c>
      <c r="I19" s="30">
        <f>K21-H3</f>
        <v>5789.379444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0"/>
      <c r="B20" s="44"/>
      <c r="C20" s="44"/>
      <c r="D20" s="44"/>
      <c r="E20" s="44"/>
      <c r="F20" s="44"/>
      <c r="G20" s="44"/>
      <c r="H20" s="4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64"/>
      <c r="B21" s="75" t="s">
        <v>34</v>
      </c>
      <c r="C21" s="66"/>
      <c r="D21" s="59"/>
      <c r="E21" s="59"/>
      <c r="F21" s="59"/>
      <c r="G21" s="59"/>
      <c r="H21" s="59"/>
      <c r="I21" s="30"/>
      <c r="J21" s="46" t="s">
        <v>33</v>
      </c>
      <c r="K21" s="44">
        <f>H3*(1+K16)</f>
        <v>111050.8239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48"/>
      <c r="B22" s="51" t="s">
        <v>35</v>
      </c>
      <c r="C22" s="68">
        <f>K33</f>
        <v>70067.79441</v>
      </c>
      <c r="D22" s="68"/>
      <c r="E22" s="68"/>
      <c r="F22" s="68"/>
      <c r="G22" s="68"/>
      <c r="H22" s="68"/>
      <c r="I22" s="30"/>
      <c r="J22" s="47" t="s">
        <v>7</v>
      </c>
      <c r="K22" s="44">
        <f>K21*Sheet2!$K$39</f>
        <v>99482.98406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48"/>
      <c r="B23" s="51" t="s">
        <v>36</v>
      </c>
      <c r="C23" s="52">
        <v>0.0</v>
      </c>
      <c r="D23" s="68"/>
      <c r="E23" s="68"/>
      <c r="F23" s="68"/>
      <c r="G23" s="68"/>
      <c r="H23" s="68"/>
      <c r="I23" s="30"/>
      <c r="J23" s="46" t="s">
        <v>8</v>
      </c>
      <c r="K23" s="44">
        <f>K21-K22</f>
        <v>11567.83982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48"/>
      <c r="B24" s="51" t="s">
        <v>37</v>
      </c>
      <c r="C24" s="76">
        <f>C22</f>
        <v>70067.79441</v>
      </c>
      <c r="D24" s="68"/>
      <c r="E24" s="68"/>
      <c r="F24" s="68"/>
      <c r="G24" s="68"/>
      <c r="H24" s="68"/>
      <c r="I24" s="30"/>
      <c r="J24" s="47" t="s">
        <v>9</v>
      </c>
      <c r="K24" s="44">
        <f>H6*(1+K16)</f>
        <v>2339.452519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9"/>
      <c r="B25" s="53" t="s">
        <v>82</v>
      </c>
      <c r="C25" s="44">
        <f>C24/1.1221^6</f>
        <v>35101.77457</v>
      </c>
      <c r="D25" s="44"/>
      <c r="E25" s="44"/>
      <c r="F25" s="44"/>
      <c r="G25" s="44"/>
      <c r="H25" s="44"/>
      <c r="I25" s="30"/>
      <c r="J25" s="47" t="s">
        <v>10</v>
      </c>
      <c r="K25" s="44">
        <f>H7*(1+Sheet2!$L$42)</f>
        <v>2968.209561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0"/>
      <c r="B26" s="44"/>
      <c r="C26" s="44"/>
      <c r="D26" s="44"/>
      <c r="E26" s="44"/>
      <c r="F26" s="44"/>
      <c r="G26" s="44"/>
      <c r="H26" s="44"/>
      <c r="I26" s="30"/>
      <c r="J26" s="47" t="s">
        <v>13</v>
      </c>
      <c r="K26" s="50">
        <f>K23+K24-K25</f>
        <v>10939.08278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9"/>
      <c r="B27" s="53" t="s">
        <v>83</v>
      </c>
      <c r="C27" s="71">
        <f>C25+C18</f>
        <v>51146.12345</v>
      </c>
      <c r="D27" s="44"/>
      <c r="E27" s="44"/>
      <c r="F27" s="44"/>
      <c r="G27" s="44"/>
      <c r="H27" s="44"/>
      <c r="I27" s="30"/>
      <c r="J27" s="47" t="s">
        <v>16</v>
      </c>
      <c r="K27" s="50">
        <f>K26*Sheet2!$H$45</f>
        <v>2494.110873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46" t="s">
        <v>19</v>
      </c>
      <c r="K28" s="50">
        <f>K26-K27</f>
        <v>8444.971903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0"/>
      <c r="B29" s="39" t="s">
        <v>84</v>
      </c>
      <c r="C29" s="39">
        <v>3.02071492E8</v>
      </c>
      <c r="D29" s="30"/>
      <c r="E29" s="30"/>
      <c r="F29" s="30"/>
      <c r="G29" s="30"/>
      <c r="H29" s="30"/>
      <c r="I29" s="30"/>
      <c r="J29" s="53" t="s">
        <v>10</v>
      </c>
      <c r="K29" s="50">
        <f>K25</f>
        <v>2968.209561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9" t="s">
        <v>85</v>
      </c>
      <c r="C30" s="72">
        <f>C27/C29</f>
        <v>0.0001693179423</v>
      </c>
      <c r="D30" s="39" t="s">
        <v>86</v>
      </c>
      <c r="E30" s="30"/>
      <c r="F30" s="30"/>
      <c r="G30" s="30"/>
      <c r="H30" s="30"/>
      <c r="I30" s="30"/>
      <c r="J30" s="51" t="s">
        <v>23</v>
      </c>
      <c r="K30" s="50">
        <f>K21*Sheet2!$K$50</f>
        <v>5008.33376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51" t="s">
        <v>25</v>
      </c>
      <c r="K31" s="44">
        <f>I19*Sheet2!K48</f>
        <v>1705.540869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0"/>
      <c r="C32" s="30">
        <f>C30*10000000</f>
        <v>1693.179423</v>
      </c>
      <c r="D32" s="30"/>
      <c r="E32" s="30"/>
      <c r="F32" s="30"/>
      <c r="G32" s="30"/>
      <c r="H32" s="30"/>
      <c r="I32" s="30"/>
      <c r="J32" s="51" t="s">
        <v>38</v>
      </c>
      <c r="K32" s="44">
        <f>K28+K29-K30-K31</f>
        <v>4699.306836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73" t="s">
        <v>35</v>
      </c>
      <c r="K33" s="44">
        <f>K32/(K15-K16)</f>
        <v>70067.79441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53" t="s">
        <v>39</v>
      </c>
      <c r="K34" s="44">
        <f>K33</f>
        <v>70067.79441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</sheetData>
  <mergeCells count="1">
    <mergeCell ref="B21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8.25"/>
    <col customWidth="1" min="8" max="8" width="13.88"/>
    <col customWidth="1" min="10" max="10" width="15.25"/>
    <col customWidth="1" min="11" max="11" width="16.88"/>
  </cols>
  <sheetData>
    <row r="1">
      <c r="A1" s="30"/>
      <c r="B1" s="30"/>
      <c r="C1" s="39"/>
      <c r="D1" s="39"/>
      <c r="E1" s="39"/>
      <c r="F1" s="39"/>
      <c r="G1" s="39"/>
      <c r="H1" s="3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0"/>
      <c r="B2" s="44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4"/>
      <c r="B3" s="46" t="s">
        <v>6</v>
      </c>
      <c r="C3" s="46">
        <v>88329.8</v>
      </c>
      <c r="D3" s="44">
        <f>C3*(1+Sheet2!$M38)</f>
        <v>91482.84512</v>
      </c>
      <c r="E3" s="44">
        <f>D3*(1+Sheet2!$M38)</f>
        <v>94748.44222</v>
      </c>
      <c r="F3" s="44">
        <f>E3*(1+Sheet2!$M38)</f>
        <v>98130.60898</v>
      </c>
      <c r="G3" s="44">
        <f>F3*(1+Sheet2!$M38)</f>
        <v>101633.5065</v>
      </c>
      <c r="H3" s="44">
        <f>G3*(1+Sheet2!$M38)</f>
        <v>105261.4444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7"/>
      <c r="B4" s="47" t="s">
        <v>7</v>
      </c>
      <c r="C4" s="47">
        <v>82577.8</v>
      </c>
      <c r="D4" s="44">
        <f>D3*Sheet2!$K$39</f>
        <v>81953.34447</v>
      </c>
      <c r="E4" s="44">
        <f>E3*Sheet2!$K$39</f>
        <v>84878.77386</v>
      </c>
      <c r="F4" s="44">
        <f>F3*Sheet2!$K$39</f>
        <v>87908.63019</v>
      </c>
      <c r="G4" s="44">
        <f>G3*Sheet2!$K$39</f>
        <v>91046.64112</v>
      </c>
      <c r="H4" s="44">
        <f>H3*Sheet2!$K$39</f>
        <v>94296.66735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4"/>
      <c r="B5" s="46" t="s">
        <v>8</v>
      </c>
      <c r="C5" s="46">
        <v>5752.0</v>
      </c>
      <c r="D5" s="44">
        <f t="shared" ref="D5:H5" si="1">D3-D4</f>
        <v>9529.500652</v>
      </c>
      <c r="E5" s="44">
        <f t="shared" si="1"/>
        <v>9869.668359</v>
      </c>
      <c r="F5" s="44">
        <f t="shared" si="1"/>
        <v>10221.97879</v>
      </c>
      <c r="G5" s="44">
        <f t="shared" si="1"/>
        <v>10586.86539</v>
      </c>
      <c r="H5" s="44">
        <f t="shared" si="1"/>
        <v>10964.77708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7"/>
      <c r="B6" s="47" t="s">
        <v>9</v>
      </c>
      <c r="C6" s="47">
        <v>1860.8</v>
      </c>
      <c r="D6" s="44">
        <f>C6*(1+Sheet2!$M$38)</f>
        <v>1927.223635</v>
      </c>
      <c r="E6" s="44">
        <f>D6*(1+Sheet2!$M$38)</f>
        <v>1996.018346</v>
      </c>
      <c r="F6" s="44">
        <f>E6*(1+Sheet2!$M$38)</f>
        <v>2067.268772</v>
      </c>
      <c r="G6" s="44">
        <f>F6*(1+Sheet2!$M$38)</f>
        <v>2141.062573</v>
      </c>
      <c r="H6" s="44">
        <f>G6*(1+Sheet2!$M$38)</f>
        <v>2217.490539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7"/>
      <c r="B7" s="47" t="s">
        <v>10</v>
      </c>
      <c r="C7" s="47">
        <v>2789.0</v>
      </c>
      <c r="D7" s="44">
        <f>C7*(1+Sheet2!$L$42)</f>
        <v>2818.098628</v>
      </c>
      <c r="E7" s="44">
        <f>D7*(1+Sheet2!$L$42)</f>
        <v>2847.500852</v>
      </c>
      <c r="F7" s="44">
        <f>E7*(1+Sheet2!$L$42)</f>
        <v>2877.209841</v>
      </c>
      <c r="G7" s="44">
        <f>F7*(1+Sheet2!$L$42)</f>
        <v>2907.228793</v>
      </c>
      <c r="H7" s="44">
        <f>G7*(1+Sheet2!$L$42)</f>
        <v>2937.560944</v>
      </c>
      <c r="I7" s="30"/>
      <c r="J7" s="77" t="s">
        <v>11</v>
      </c>
      <c r="K7" s="8">
        <v>0.0683</v>
      </c>
      <c r="L7" s="39" t="s">
        <v>12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7"/>
      <c r="B8" s="47" t="s">
        <v>13</v>
      </c>
      <c r="C8" s="47">
        <v>4697.2</v>
      </c>
      <c r="D8" s="44">
        <f t="shared" ref="D8:H8" si="2">D5+D6-D7</f>
        <v>8638.625659</v>
      </c>
      <c r="E8" s="44">
        <f t="shared" si="2"/>
        <v>9018.185853</v>
      </c>
      <c r="F8" s="44">
        <f t="shared" si="2"/>
        <v>9412.037719</v>
      </c>
      <c r="G8" s="44">
        <f t="shared" si="2"/>
        <v>9820.699167</v>
      </c>
      <c r="H8" s="50">
        <f t="shared" si="2"/>
        <v>10244.70667</v>
      </c>
      <c r="I8" s="30"/>
      <c r="J8" s="77" t="s">
        <v>14</v>
      </c>
      <c r="K8" s="52">
        <v>0.0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7"/>
      <c r="B9" s="47" t="s">
        <v>16</v>
      </c>
      <c r="C9" s="47">
        <v>817.7</v>
      </c>
      <c r="D9" s="44">
        <f>D8*Sheet2!$H$45</f>
        <v>1969.60665</v>
      </c>
      <c r="E9" s="44">
        <f>E8*Sheet2!$H$45</f>
        <v>2056.146374</v>
      </c>
      <c r="F9" s="44">
        <f>F8*Sheet2!$H$45</f>
        <v>2145.9446</v>
      </c>
      <c r="G9" s="44">
        <f>G8*Sheet2!$H$45</f>
        <v>2239.11941</v>
      </c>
      <c r="H9" s="50">
        <f>H8*Sheet2!$H$45</f>
        <v>2335.793122</v>
      </c>
      <c r="I9" s="30"/>
      <c r="J9" s="13" t="s">
        <v>17</v>
      </c>
      <c r="K9" s="13">
        <v>0.12</v>
      </c>
      <c r="L9" s="39" t="s">
        <v>18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4"/>
      <c r="B10" s="46" t="s">
        <v>19</v>
      </c>
      <c r="C10" s="46">
        <v>3879.5</v>
      </c>
      <c r="D10" s="44">
        <f t="shared" ref="D10:H10" si="3">D8-D9</f>
        <v>6669.019009</v>
      </c>
      <c r="E10" s="44">
        <f t="shared" si="3"/>
        <v>6962.039478</v>
      </c>
      <c r="F10" s="44">
        <f t="shared" si="3"/>
        <v>7266.093119</v>
      </c>
      <c r="G10" s="44">
        <f t="shared" si="3"/>
        <v>7581.579757</v>
      </c>
      <c r="H10" s="50">
        <f t="shared" si="3"/>
        <v>7908.913553</v>
      </c>
      <c r="I10" s="30"/>
      <c r="J10" s="78" t="s">
        <v>78</v>
      </c>
      <c r="K10" s="8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9"/>
      <c r="B11" s="53" t="s">
        <v>10</v>
      </c>
      <c r="C11" s="44">
        <f t="shared" ref="C11:H11" si="4">C7</f>
        <v>2789</v>
      </c>
      <c r="D11" s="44">
        <f t="shared" si="4"/>
        <v>2818.098628</v>
      </c>
      <c r="E11" s="44">
        <f t="shared" si="4"/>
        <v>2847.500852</v>
      </c>
      <c r="F11" s="44">
        <f t="shared" si="4"/>
        <v>2877.209841</v>
      </c>
      <c r="G11" s="44">
        <f t="shared" si="4"/>
        <v>2907.228793</v>
      </c>
      <c r="H11" s="50">
        <f t="shared" si="4"/>
        <v>2937.560944</v>
      </c>
      <c r="I11" s="30"/>
      <c r="J11" s="77" t="s">
        <v>20</v>
      </c>
      <c r="K11" s="14">
        <f>Sheet2!H45</f>
        <v>0.228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8"/>
      <c r="B12" s="51" t="s">
        <v>23</v>
      </c>
      <c r="C12" s="55">
        <v>3459.3</v>
      </c>
      <c r="D12" s="44">
        <f>D3*Sheet2!$K$50</f>
        <v>4125.828208</v>
      </c>
      <c r="E12" s="44">
        <f>E3*Sheet2!$K$50</f>
        <v>4273.10492</v>
      </c>
      <c r="F12" s="44">
        <f>F3*Sheet2!$K$50</f>
        <v>4425.638862</v>
      </c>
      <c r="G12" s="44">
        <f>G3*Sheet2!$K$50</f>
        <v>4583.617698</v>
      </c>
      <c r="H12" s="50">
        <f>H3*Sheet2!$K$50</f>
        <v>4747.235791</v>
      </c>
      <c r="I12" s="30"/>
      <c r="J12" s="77" t="s">
        <v>21</v>
      </c>
      <c r="K12" s="52">
        <v>1.04</v>
      </c>
      <c r="L12" s="56" t="s">
        <v>22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48"/>
      <c r="B13" s="51" t="s">
        <v>25</v>
      </c>
      <c r="C13" s="55">
        <v>3991.4</v>
      </c>
      <c r="D13" s="44">
        <f>D20*Sheet2!$K$48</f>
        <v>928.881475</v>
      </c>
      <c r="E13" s="44">
        <f>E20*Sheet2!$K$48</f>
        <v>962.0390866</v>
      </c>
      <c r="F13" s="44">
        <f>F20*Sheet2!$K$48</f>
        <v>996.3803015</v>
      </c>
      <c r="G13" s="44">
        <f>G20*Sheet2!$K$48</f>
        <v>1031.94737</v>
      </c>
      <c r="H13" s="44">
        <f>H20*Sheet2!$K$48</f>
        <v>1068.784051</v>
      </c>
      <c r="I13" s="57"/>
      <c r="J13" s="79" t="s">
        <v>24</v>
      </c>
      <c r="K13" s="18">
        <f>K7+K12*(K9-K7)</f>
        <v>0.122068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9"/>
      <c r="B14" s="53" t="s">
        <v>28</v>
      </c>
      <c r="C14" s="44">
        <f t="shared" ref="C14:H14" si="5">C10+C11-C12-C13</f>
        <v>-782.2</v>
      </c>
      <c r="D14" s="44">
        <f t="shared" si="5"/>
        <v>4432.407954</v>
      </c>
      <c r="E14" s="44">
        <f t="shared" si="5"/>
        <v>4574.396325</v>
      </c>
      <c r="F14" s="44">
        <f t="shared" si="5"/>
        <v>4721.283796</v>
      </c>
      <c r="G14" s="44">
        <f t="shared" si="5"/>
        <v>4873.243482</v>
      </c>
      <c r="H14" s="44">
        <f t="shared" si="5"/>
        <v>5030.454655</v>
      </c>
      <c r="I14" s="57"/>
      <c r="J14" s="80" t="s">
        <v>26</v>
      </c>
      <c r="K14" s="81" t="s">
        <v>27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9"/>
      <c r="B15" s="53" t="s">
        <v>92</v>
      </c>
      <c r="C15" s="53">
        <v>0.0</v>
      </c>
      <c r="D15" s="53">
        <v>0.0</v>
      </c>
      <c r="E15" s="53">
        <v>0.0</v>
      </c>
      <c r="F15" s="53">
        <v>0.0</v>
      </c>
      <c r="G15" s="53">
        <v>0.0</v>
      </c>
      <c r="H15" s="53">
        <v>0.0</v>
      </c>
      <c r="I15" s="30"/>
      <c r="J15" s="78"/>
      <c r="K15" s="14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9"/>
      <c r="B16" s="53" t="s">
        <v>93</v>
      </c>
      <c r="C16" s="44">
        <f t="shared" ref="C16:H16" si="6">C14+C15</f>
        <v>-782.2</v>
      </c>
      <c r="D16" s="44">
        <f t="shared" si="6"/>
        <v>4432.407954</v>
      </c>
      <c r="E16" s="44">
        <f t="shared" si="6"/>
        <v>4574.396325</v>
      </c>
      <c r="F16" s="44">
        <f t="shared" si="6"/>
        <v>4721.283796</v>
      </c>
      <c r="G16" s="44">
        <f t="shared" si="6"/>
        <v>4873.243482</v>
      </c>
      <c r="H16" s="44">
        <f t="shared" si="6"/>
        <v>5030.454655</v>
      </c>
      <c r="I16" s="30"/>
      <c r="J16" s="78"/>
      <c r="K16" s="14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9"/>
      <c r="B17" s="53" t="s">
        <v>94</v>
      </c>
      <c r="C17" s="44">
        <f>C14</f>
        <v>-782.2</v>
      </c>
      <c r="D17" s="44">
        <f>D14/1.1221</f>
        <v>3950.100663</v>
      </c>
      <c r="E17" s="44">
        <f>E14/1.1221^2</f>
        <v>3633.044056</v>
      </c>
      <c r="F17" s="44">
        <f>F14/1.1221^3</f>
        <v>3341.68431</v>
      </c>
      <c r="G17" s="44">
        <f>G14/1.1221^4</f>
        <v>3073.915049</v>
      </c>
      <c r="H17" s="44">
        <f>H14/1.1221^5</f>
        <v>2827.804796</v>
      </c>
      <c r="I17" s="30"/>
      <c r="J17" s="78" t="s">
        <v>95</v>
      </c>
      <c r="K17" s="14">
        <f>K13</f>
        <v>0.122068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9"/>
      <c r="B18" s="53" t="s">
        <v>81</v>
      </c>
      <c r="C18" s="63">
        <f>sum(C17:H17)</f>
        <v>16044.34887</v>
      </c>
      <c r="D18" s="44"/>
      <c r="E18" s="44"/>
      <c r="F18" s="44"/>
      <c r="G18" s="44"/>
      <c r="H18" s="44"/>
      <c r="I18" s="30"/>
      <c r="J18" s="77" t="s">
        <v>30</v>
      </c>
      <c r="K18" s="8">
        <v>0.055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9"/>
      <c r="B20" s="39" t="s">
        <v>32</v>
      </c>
      <c r="C20" s="30"/>
      <c r="D20" s="30">
        <f t="shared" ref="D20:H20" si="7">D3-C3</f>
        <v>3153.045121</v>
      </c>
      <c r="E20" s="30">
        <f t="shared" si="7"/>
        <v>3265.597097</v>
      </c>
      <c r="F20" s="30">
        <f t="shared" si="7"/>
        <v>3382.16676</v>
      </c>
      <c r="G20" s="30">
        <f t="shared" si="7"/>
        <v>3502.897525</v>
      </c>
      <c r="H20" s="30">
        <f t="shared" si="7"/>
        <v>3627.93793</v>
      </c>
      <c r="I20" s="30">
        <f>K22-H3</f>
        <v>5789.379444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64"/>
      <c r="B22" s="82" t="s">
        <v>34</v>
      </c>
      <c r="C22" s="83"/>
      <c r="D22" s="59"/>
      <c r="E22" s="59"/>
      <c r="F22" s="59"/>
      <c r="G22" s="59"/>
      <c r="H22" s="59"/>
      <c r="I22" s="30"/>
      <c r="J22" s="46" t="s">
        <v>33</v>
      </c>
      <c r="K22" s="44">
        <f>H3*(1+K18)</f>
        <v>111050.8239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48"/>
      <c r="B23" s="84" t="s">
        <v>35</v>
      </c>
      <c r="C23" s="85">
        <f>K34</f>
        <v>70067.79441</v>
      </c>
      <c r="D23" s="69"/>
      <c r="E23" s="69"/>
      <c r="F23" s="69"/>
      <c r="G23" s="69"/>
      <c r="H23" s="69"/>
      <c r="I23" s="30"/>
      <c r="J23" s="47" t="s">
        <v>7</v>
      </c>
      <c r="K23" s="44">
        <f>K22*Sheet2!$K$39</f>
        <v>99482.98406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48"/>
      <c r="B24" s="84" t="s">
        <v>36</v>
      </c>
      <c r="C24" s="86">
        <v>0.0</v>
      </c>
      <c r="D24" s="69"/>
      <c r="E24" s="69"/>
      <c r="F24" s="69"/>
      <c r="G24" s="69"/>
      <c r="H24" s="69"/>
      <c r="I24" s="30"/>
      <c r="J24" s="46" t="s">
        <v>8</v>
      </c>
      <c r="K24" s="44">
        <f>K22-K23</f>
        <v>11567.83982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48"/>
      <c r="B25" s="87" t="s">
        <v>37</v>
      </c>
      <c r="C25" s="88">
        <f>C23</f>
        <v>70067.79441</v>
      </c>
      <c r="D25" s="89"/>
      <c r="E25" s="89"/>
      <c r="F25" s="89"/>
      <c r="G25" s="89"/>
      <c r="H25" s="90"/>
      <c r="I25" s="30"/>
      <c r="J25" s="47" t="s">
        <v>9</v>
      </c>
      <c r="K25" s="44">
        <f>H6*(1+K18)</f>
        <v>2339.452519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9"/>
      <c r="B26" s="39" t="s">
        <v>82</v>
      </c>
      <c r="C26" s="30">
        <f>C25/1.1221^6</f>
        <v>35101.77457</v>
      </c>
      <c r="D26" s="30"/>
      <c r="E26" s="30"/>
      <c r="F26" s="30"/>
      <c r="G26" s="30"/>
      <c r="H26" s="30"/>
      <c r="I26" s="30"/>
      <c r="J26" s="47" t="s">
        <v>10</v>
      </c>
      <c r="K26" s="44">
        <f>H7*(1+Sheet2!$L$42)</f>
        <v>2968.209561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47" t="s">
        <v>13</v>
      </c>
      <c r="K27" s="50">
        <f>K24+K25-K26</f>
        <v>10939.08278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9"/>
      <c r="B28" s="39" t="s">
        <v>83</v>
      </c>
      <c r="C28" s="91">
        <f>C26+C18</f>
        <v>51146.12345</v>
      </c>
      <c r="D28" s="30"/>
      <c r="E28" s="30"/>
      <c r="F28" s="30"/>
      <c r="G28" s="30"/>
      <c r="H28" s="30"/>
      <c r="I28" s="30"/>
      <c r="J28" s="47" t="s">
        <v>16</v>
      </c>
      <c r="K28" s="50">
        <f>K27*Sheet2!$H$45</f>
        <v>2494.110873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46" t="s">
        <v>19</v>
      </c>
      <c r="K29" s="50">
        <f>K27-K28</f>
        <v>8444.971903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53" t="s">
        <v>10</v>
      </c>
      <c r="K30" s="50">
        <f>K26</f>
        <v>2968.209561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9" t="s">
        <v>84</v>
      </c>
      <c r="C31" s="39">
        <v>3.02071492E8</v>
      </c>
      <c r="D31" s="30"/>
      <c r="E31" s="30"/>
      <c r="F31" s="30"/>
      <c r="G31" s="30"/>
      <c r="H31" s="30"/>
      <c r="I31" s="30"/>
      <c r="J31" s="51" t="s">
        <v>23</v>
      </c>
      <c r="K31" s="50">
        <f>K22*Sheet2!$K$50</f>
        <v>5008.33376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9" t="s">
        <v>85</v>
      </c>
      <c r="C32" s="72">
        <f>C28/C31</f>
        <v>0.0001693179423</v>
      </c>
      <c r="D32" s="39" t="s">
        <v>86</v>
      </c>
      <c r="E32" s="30"/>
      <c r="F32" s="30"/>
      <c r="G32" s="30"/>
      <c r="H32" s="30"/>
      <c r="I32" s="30"/>
      <c r="J32" s="51" t="s">
        <v>25</v>
      </c>
      <c r="K32" s="44">
        <f>I20*Sheet2!K48</f>
        <v>1705.540869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51" t="s">
        <v>38</v>
      </c>
      <c r="K33" s="44">
        <f>K29+K30-K31-K32</f>
        <v>4699.306836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>
        <f>C32*10000000</f>
        <v>1693.179423</v>
      </c>
      <c r="D34" s="30"/>
      <c r="E34" s="30"/>
      <c r="F34" s="30"/>
      <c r="G34" s="30"/>
      <c r="H34" s="30"/>
      <c r="I34" s="30"/>
      <c r="J34" s="73" t="s">
        <v>35</v>
      </c>
      <c r="K34" s="44">
        <f>K33/(K17-K18)</f>
        <v>70067.79441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53" t="s">
        <v>39</v>
      </c>
      <c r="K35" s="44">
        <f>K34</f>
        <v>70067.79441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</sheetData>
  <mergeCells count="1">
    <mergeCell ref="B22:C22"/>
  </mergeCells>
  <drawing r:id="rId1"/>
</worksheet>
</file>