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zWork\Workshops\EscapementGoalWS\SEAK_CaseStudies\"/>
    </mc:Choice>
  </mc:AlternateContent>
  <xr:revisionPtr revIDLastSave="0" documentId="13_ncr:1_{B109A63D-2C48-4995-AF7A-745F123FD203}" xr6:coauthVersionLast="45" xr6:coauthVersionMax="45" xr10:uidLastSave="{00000000-0000-0000-0000-000000000000}"/>
  <bookViews>
    <workbookView xWindow="3510" yWindow="1710" windowWidth="26580" windowHeight="18255" firstSheet="2" activeTab="6" xr2:uid="{00000000-000D-0000-FFFF-FFFF00000000}"/>
  </bookViews>
  <sheets>
    <sheet name="Nushagak River Sockeye" sheetId="16" r:id="rId1"/>
    <sheet name="Yukon River Summer Chum" sheetId="6" r:id="rId2"/>
    <sheet name="Kasilof River Sockeye" sheetId="18" r:id="rId3"/>
    <sheet name="Auke Creek Coho" sheetId="21" r:id="rId4"/>
    <sheet name="McNeil River Chum" sheetId="15" r:id="rId5"/>
    <sheet name="PWS Pink" sheetId="14" r:id="rId6"/>
    <sheet name="Situk River Chinook" sheetId="26" r:id="rId7"/>
    <sheet name="Unalakleet River Chinook" sheetId="20" r:id="rId8"/>
    <sheet name="Why Use EG Mgmt" sheetId="19" r:id="rId9"/>
  </sheets>
  <externalReferences>
    <externalReference r:id="rId10"/>
    <externalReference r:id="rId11"/>
    <externalReference r:id="rId12"/>
    <externalReference r:id="rId13"/>
  </externalReferences>
  <definedNames>
    <definedName name="__123Graph_A" hidden="1">#REF!</definedName>
    <definedName name="__123Graph_A87VS91" hidden="1">[1]Summary!$P$5:$P$50</definedName>
    <definedName name="__123Graph_A88VS91" hidden="1">[1]Summary!$P$5:$P$50</definedName>
    <definedName name="__123Graph_A89VS91" hidden="1">[1]Summary!$P$5:$P$50</definedName>
    <definedName name="__123Graph_A90VS91" hidden="1">[1]Summary!$P$5:$P$50</definedName>
    <definedName name="__123Graph_ACUMS" hidden="1">[1]Summary!$E$5:$E$50</definedName>
    <definedName name="__123Graph_AD11CU95" hidden="1">[2]CATCH01T!$V$44:$V$59</definedName>
    <definedName name="__123Graph_AD11WK95" hidden="1">[2]CATCH01T!$U$44:$U$59</definedName>
    <definedName name="__123Graph_AFIG2" hidden="1">[3]Harvest!$K$8:$K$43</definedName>
    <definedName name="__123Graph_AFIG2A" hidden="1">#REF!</definedName>
    <definedName name="__123Graph_AHISPUACT.CGM" hidden="1">[4]Notes!$P$7:$P$30</definedName>
    <definedName name="__123Graph_AHISPUHAR.CGM" hidden="1">[4]Notes!$I$7:$I$30</definedName>
    <definedName name="__123Graph_AHISPUPMT.CGM" hidden="1">[4]Notes!$P$7:$P$30</definedName>
    <definedName name="__123Graph_AMEAN" hidden="1">[1]Summary!$D$5:$D$50</definedName>
    <definedName name="__123Graph_APSC93" hidden="1">[2]CATCH01T!$Q$10:$Q$25</definedName>
    <definedName name="__123Graph_APSCTRSK" hidden="1">[2]CATCH01T!$S$10:$S$29</definedName>
    <definedName name="__123Graph_ASOCO93" hidden="1">[2]CATCH01T!$S$10:$S$25</definedName>
    <definedName name="__123Graph_ATRCOWK94" hidden="1">[2]CATCH01T!$AJ$10:$AJ$29</definedName>
    <definedName name="__123Graph_ATRSKCU95" hidden="1">[2]CATCH01T!$T$10:$T$25</definedName>
    <definedName name="__123Graph_ATRSKWK95" hidden="1">[2]CATCH01T!$S$10:$S$29</definedName>
    <definedName name="__123Graph_B" hidden="1">[4]Notes!$F$7:$F$32</definedName>
    <definedName name="__123Graph_B87VS91" hidden="1">[1]Summary!$D$5:$D$50</definedName>
    <definedName name="__123Graph_B88VS91" hidden="1">[1]Summary!$G$5:$G$50</definedName>
    <definedName name="__123Graph_B89VS91" hidden="1">[1]Summary!$J$5:$J$50</definedName>
    <definedName name="__123Graph_B90VS91" hidden="1">[1]Summary!$M$5:$M$50</definedName>
    <definedName name="__123Graph_BCUMS" hidden="1">[1]Summary!$H$5:$H$50</definedName>
    <definedName name="__123Graph_BD11CU95" hidden="1">[2]CATCH01T!$X$44:$X$59</definedName>
    <definedName name="__123Graph_BD11WK95" hidden="1">[2]CATCH01T!$W$44:$W$59</definedName>
    <definedName name="__123Graph_BHISPUPMT.CGM" hidden="1">[4]Notes!$F$7:$F$30</definedName>
    <definedName name="__123Graph_BMEAN" hidden="1">[1]Summary!$G$5:$G$50</definedName>
    <definedName name="__123Graph_BPSC93" hidden="1">[2]CATCH01T!$S$10:$S$25</definedName>
    <definedName name="__123Graph_BPSCTRSK" hidden="1">[2]CATCH01T!$U$10:$U$29</definedName>
    <definedName name="__123Graph_BSOCO93" hidden="1">[2]CATCH01T!$U$10:$U$25</definedName>
    <definedName name="__123Graph_BTRCOWK94" hidden="1">[2]CATCH01T!$AK$10:$AK$29</definedName>
    <definedName name="__123Graph_BTRSKCU95" hidden="1">[2]CATCH01T!$Y$10:$Y$25</definedName>
    <definedName name="__123Graph_BTRSKWK95" hidden="1">[2]CATCH01T!$U$10:$U$29</definedName>
    <definedName name="__123Graph_C" hidden="1">[4]Notes!$Q$7:$Q$32</definedName>
    <definedName name="__123Graph_CCUMS" hidden="1">[1]Summary!$K$5:$K$50</definedName>
    <definedName name="__123Graph_CHISPUPMT.CGM" hidden="1">[4]Notes!$Q$7:$Q$30</definedName>
    <definedName name="__123Graph_CMEAN" hidden="1">[1]Summary!$J$5:$J$50</definedName>
    <definedName name="__123Graph_CPSC93" hidden="1">[2]CATCH01T!$U$10:$U$25</definedName>
    <definedName name="__123Graph_CPSCTRSK" hidden="1">[2]CATCH01T!$G$10:$G$29</definedName>
    <definedName name="__123Graph_CSOCO93" hidden="1">[2]CATCH01T!$AH$10:$AH$25</definedName>
    <definedName name="__123Graph_CTRCOWK94" hidden="1">[2]CATCH01T!$AI$10:$AI$29</definedName>
    <definedName name="__123Graph_D" hidden="1">[2]CATCH01T!$O$10:$O$29</definedName>
    <definedName name="__123Graph_DCUMS" hidden="1">[1]Summary!$N$5:$N$50</definedName>
    <definedName name="__123Graph_DMEAN" hidden="1">[1]Summary!$M$5:$M$50</definedName>
    <definedName name="__123Graph_DPSCTRSK" hidden="1">[2]CATCH01T!$C$10:$C$29</definedName>
    <definedName name="__123Graph_DSOCO93" hidden="1">[2]CATCH01T!$AI$10:$AI$25</definedName>
    <definedName name="__123Graph_DTRCOWK94" hidden="1">[2]CATCH01T!$O$10:$O$29</definedName>
    <definedName name="__123Graph_ECUMS" hidden="1">[1]Summary!$Q$5:$Q$50</definedName>
    <definedName name="__123Graph_EMEAN" hidden="1">[1]Summary!$P$5:$P$50</definedName>
    <definedName name="__123Graph_ESOCO93" hidden="1">[2]CATCH01T!$AG$10:$AG$25</definedName>
    <definedName name="__123Graph_X" hidden="1">[3]Harvest!$A$8:$A$41</definedName>
    <definedName name="__123Graph_XD11CU95" hidden="1">[2]CATCH01T!$M$44:$M$59</definedName>
    <definedName name="__123Graph_XD11WK95" hidden="1">[2]CATCH01T!$M$44:$M$59</definedName>
    <definedName name="__123Graph_XFIG2" hidden="1">[3]Harvest!$A$8:$A$41</definedName>
    <definedName name="__123Graph_XFIG2A" hidden="1">[3]Harvest!$A$8:$A$41</definedName>
    <definedName name="__123Graph_XHISPUACT.CGM" hidden="1">[4]Notes!$A$7:$A$30</definedName>
    <definedName name="__123Graph_XHISPUHAR.CGM" hidden="1">[4]Notes!$A$7:$A$30</definedName>
    <definedName name="__123Graph_XHISPUPMT.CGM" hidden="1">[4]Notes!$A$7:$A$30</definedName>
    <definedName name="__123Graph_XPSC93" hidden="1">[2]CATCH01T!$M$10:$M$25</definedName>
    <definedName name="__123Graph_XPSCTRSK" hidden="1">[2]CATCH01T!$M$10:$M$29</definedName>
    <definedName name="__123Graph_XSOCO93" hidden="1">[2]CATCH01T!$M$10:$M$25</definedName>
    <definedName name="__123Graph_XTRCOWK94" hidden="1">[2]CATCH01T!$M$10:$M$29</definedName>
    <definedName name="__123Graph_XTRSKCU95" hidden="1">[2]CATCH01T!$M$10:$M$25</definedName>
    <definedName name="__123Graph_XTRSKWK95" hidden="1">[2]CATCH01T!$M$10:$M$29</definedName>
    <definedName name="_Fill" hidden="1">[4]EffTb1!$A$8:$A$34</definedName>
    <definedName name="_Key1" hidden="1">#REF!</definedName>
    <definedName name="_Order1" hidden="1">255</definedName>
    <definedName name="_Regression_Out" hidden="1">[2]CATCH01T!#REF!</definedName>
    <definedName name="_Regression_X" hidden="1">[2]CATCH01T!$AO$11:$AO$21</definedName>
    <definedName name="_Regression_Y" hidden="1">[2]CATCH01T!$AK$11:$AK$21</definedName>
    <definedName name="_Sort" hidden="1">#REF!</definedName>
    <definedName name="anscount" hidden="1">1</definedName>
    <definedName name="HTML_CodePage" hidden="1">1252</definedName>
    <definedName name="HTML_Control" hidden="1">{"'Kenai Sonar'!$A$1:$D$49"}</definedName>
    <definedName name="HTML_Description" hidden="1">""</definedName>
    <definedName name="HTML_Email" hidden="1">""</definedName>
    <definedName name="HTML_Header" hidden="1">""</definedName>
    <definedName name="HTML_LastUpdate" hidden="1">"6/4/97"</definedName>
    <definedName name="HTML_LineAfter" hidden="1">TRUE</definedName>
    <definedName name="HTML_LineBefore" hidden="1">TRUE</definedName>
    <definedName name="HTML_Name" hidden="1">"Bob Clark"</definedName>
    <definedName name="HTML_OBDlg2" hidden="1">TRUE</definedName>
    <definedName name="HTML_OBDlg4" hidden="1">TRUE</definedName>
    <definedName name="HTML_OS" hidden="1">0</definedName>
    <definedName name="HTML_PathFile" hidden="1">"C:\REGION2\docs\html\kenai.htm"</definedName>
    <definedName name="HTML_Title" hidden="1">"Kenai sonar"</definedName>
    <definedName name="limcount" hidden="1">1</definedName>
    <definedName name="sencount" hidden="1">1</definedName>
    <definedName name="solver_adj" localSheetId="8" hidden="1">'Why Use EG Mgmt'!#REF!</definedName>
    <definedName name="solver_cvg" localSheetId="8" hidden="1">0.0001</definedName>
    <definedName name="solver_drv" localSheetId="8" hidden="1">1</definedName>
    <definedName name="solver_est" localSheetId="8" hidden="1">1</definedName>
    <definedName name="solver_itr" localSheetId="8" hidden="1">100</definedName>
    <definedName name="solver_lin" localSheetId="8" hidden="1">2</definedName>
    <definedName name="solver_neg" localSheetId="8" hidden="1">2</definedName>
    <definedName name="solver_num" localSheetId="8" hidden="1">0</definedName>
    <definedName name="solver_nwt" localSheetId="8" hidden="1">1</definedName>
    <definedName name="solver_opt" localSheetId="8" hidden="1">'Why Use EG Mgmt'!#REF!</definedName>
    <definedName name="solver_pre" localSheetId="8" hidden="1">0.000001</definedName>
    <definedName name="solver_scl" localSheetId="8" hidden="1">2</definedName>
    <definedName name="solver_sho" localSheetId="8" hidden="1">2</definedName>
    <definedName name="solver_tim" localSheetId="8" hidden="1">100</definedName>
    <definedName name="solver_tol" localSheetId="8" hidden="1">0.05</definedName>
    <definedName name="solver_typ" localSheetId="8" hidden="1">3</definedName>
    <definedName name="solver_val" localSheetId="8" hidden="1">0</definedName>
    <definedName name="x" hidden="1">#REF!</definedName>
    <definedName name="z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5" i="26" l="1"/>
  <c r="AH4" i="26"/>
  <c r="AG4" i="26"/>
  <c r="O13" i="26"/>
  <c r="K13" i="26"/>
  <c r="O4" i="21" l="1"/>
  <c r="P4" i="21"/>
  <c r="L6" i="15" l="1"/>
  <c r="U4" i="21"/>
  <c r="M6" i="15"/>
  <c r="Q6" i="15"/>
  <c r="V5" i="26"/>
  <c r="V4" i="26"/>
  <c r="G4" i="26"/>
  <c r="W4" i="26" l="1"/>
  <c r="I44" i="21"/>
  <c r="E4" i="21"/>
  <c r="T67" i="26"/>
  <c r="S67" i="26"/>
  <c r="R67" i="26"/>
  <c r="Q67" i="26"/>
  <c r="P67" i="26"/>
  <c r="O67" i="26"/>
  <c r="N67" i="26"/>
  <c r="M67" i="26"/>
  <c r="L67" i="26"/>
  <c r="K67" i="26"/>
  <c r="T32" i="26"/>
  <c r="S32" i="26"/>
  <c r="R32" i="26"/>
  <c r="Q32" i="26"/>
  <c r="P32" i="26"/>
  <c r="O32" i="26"/>
  <c r="N32" i="26"/>
  <c r="M32" i="26"/>
  <c r="L32" i="26"/>
  <c r="K32" i="26"/>
  <c r="L13" i="26"/>
  <c r="M13" i="26"/>
  <c r="N13" i="26"/>
  <c r="P13" i="26"/>
  <c r="Q13" i="26"/>
  <c r="R13" i="26"/>
  <c r="S13" i="26"/>
  <c r="T13" i="26"/>
  <c r="AE5" i="26" l="1"/>
  <c r="AD5" i="26"/>
  <c r="AC5" i="26"/>
  <c r="AB5" i="26"/>
  <c r="AA5" i="26"/>
  <c r="Z5" i="26"/>
  <c r="Y5" i="26"/>
  <c r="X5" i="26"/>
  <c r="W5" i="26"/>
  <c r="AE4" i="26"/>
  <c r="AD4" i="26"/>
  <c r="AC4" i="26"/>
  <c r="AB4" i="26"/>
  <c r="AA4" i="26"/>
  <c r="Z4" i="26"/>
  <c r="Y4" i="26"/>
  <c r="X4" i="26"/>
  <c r="R11" i="18" l="1"/>
  <c r="L3" i="15"/>
  <c r="H5" i="6" l="1"/>
  <c r="R4" i="21" l="1"/>
  <c r="T4" i="21" l="1"/>
  <c r="N4" i="21"/>
  <c r="S4" i="21" s="1"/>
  <c r="K44" i="21" l="1"/>
  <c r="L44" i="21"/>
  <c r="J44" i="21"/>
  <c r="N6" i="15"/>
  <c r="V32" i="20" l="1"/>
  <c r="V41" i="20"/>
  <c r="V33" i="20"/>
  <c r="V34" i="20"/>
  <c r="V37" i="20"/>
  <c r="V39" i="20"/>
  <c r="V20" i="20"/>
  <c r="V31" i="20"/>
  <c r="V19" i="20"/>
  <c r="T39" i="20"/>
  <c r="K39" i="20"/>
  <c r="K38" i="20"/>
  <c r="T37" i="20"/>
  <c r="K37" i="20"/>
  <c r="T36" i="20"/>
  <c r="K36" i="20"/>
  <c r="K35" i="20"/>
  <c r="T34" i="20"/>
  <c r="K34" i="20"/>
  <c r="T33" i="20"/>
  <c r="K33" i="20"/>
  <c r="T32" i="20"/>
  <c r="K32" i="20"/>
  <c r="U31" i="20"/>
  <c r="K31" i="20"/>
  <c r="K30" i="20"/>
  <c r="K29" i="20"/>
  <c r="K28" i="20"/>
  <c r="K27" i="20"/>
  <c r="K26" i="20"/>
  <c r="K25" i="20"/>
  <c r="K24" i="20"/>
  <c r="K23" i="20"/>
  <c r="K22" i="20"/>
  <c r="K21" i="20"/>
  <c r="U20" i="20"/>
  <c r="K20" i="20"/>
  <c r="U19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V1" i="20" l="1"/>
  <c r="W25" i="20" s="1"/>
  <c r="V4" i="18"/>
  <c r="P27" i="14"/>
  <c r="P31" i="14" s="1"/>
  <c r="K24" i="14"/>
  <c r="W24" i="20" l="1"/>
  <c r="W6" i="20"/>
  <c r="W22" i="20"/>
  <c r="W28" i="20"/>
  <c r="W27" i="20"/>
  <c r="W26" i="20"/>
  <c r="W8" i="20"/>
  <c r="W30" i="20"/>
  <c r="W29" i="20"/>
  <c r="W7" i="20"/>
  <c r="W18" i="20"/>
  <c r="D6" i="15"/>
  <c r="J11" i="6"/>
  <c r="H118" i="19" l="1"/>
  <c r="J118" i="19" s="1"/>
  <c r="I118" i="19" s="1"/>
  <c r="H117" i="19"/>
  <c r="J117" i="19" s="1"/>
  <c r="I117" i="19" s="1"/>
  <c r="H116" i="19"/>
  <c r="J116" i="19" s="1"/>
  <c r="I116" i="19" s="1"/>
  <c r="H115" i="19"/>
  <c r="J115" i="19" s="1"/>
  <c r="I115" i="19" s="1"/>
  <c r="H114" i="19"/>
  <c r="J114" i="19" s="1"/>
  <c r="I114" i="19" s="1"/>
  <c r="H113" i="19"/>
  <c r="J113" i="19" s="1"/>
  <c r="I113" i="19" s="1"/>
  <c r="H112" i="19"/>
  <c r="J112" i="19" s="1"/>
  <c r="I112" i="19" s="1"/>
  <c r="H111" i="19"/>
  <c r="J111" i="19" s="1"/>
  <c r="I111" i="19" s="1"/>
  <c r="H110" i="19"/>
  <c r="J110" i="19" s="1"/>
  <c r="I110" i="19" s="1"/>
  <c r="H109" i="19"/>
  <c r="J109" i="19" s="1"/>
  <c r="I109" i="19" s="1"/>
  <c r="H108" i="19"/>
  <c r="J108" i="19" s="1"/>
  <c r="I108" i="19" s="1"/>
  <c r="H107" i="19"/>
  <c r="J107" i="19" s="1"/>
  <c r="I107" i="19" s="1"/>
  <c r="H106" i="19"/>
  <c r="J106" i="19" s="1"/>
  <c r="I106" i="19" s="1"/>
  <c r="H105" i="19"/>
  <c r="J105" i="19" s="1"/>
  <c r="I105" i="19" s="1"/>
  <c r="H104" i="19"/>
  <c r="J104" i="19" s="1"/>
  <c r="I104" i="19" s="1"/>
  <c r="H103" i="19"/>
  <c r="J103" i="19" s="1"/>
  <c r="I103" i="19" s="1"/>
  <c r="H102" i="19"/>
  <c r="J102" i="19" s="1"/>
  <c r="I102" i="19" s="1"/>
  <c r="H101" i="19"/>
  <c r="J101" i="19" s="1"/>
  <c r="I101" i="19" s="1"/>
  <c r="H100" i="19"/>
  <c r="J100" i="19" s="1"/>
  <c r="I100" i="19" s="1"/>
  <c r="H99" i="19"/>
  <c r="J99" i="19" s="1"/>
  <c r="I99" i="19" s="1"/>
  <c r="H98" i="19"/>
  <c r="J98" i="19" s="1"/>
  <c r="I98" i="19" s="1"/>
  <c r="H97" i="19"/>
  <c r="J97" i="19" s="1"/>
  <c r="I97" i="19" s="1"/>
  <c r="H96" i="19"/>
  <c r="J96" i="19" s="1"/>
  <c r="I96" i="19" s="1"/>
  <c r="H95" i="19"/>
  <c r="J95" i="19" s="1"/>
  <c r="I95" i="19" s="1"/>
  <c r="H94" i="19"/>
  <c r="J94" i="19" s="1"/>
  <c r="I94" i="19" s="1"/>
  <c r="H93" i="19"/>
  <c r="J93" i="19" s="1"/>
  <c r="I93" i="19" s="1"/>
  <c r="H92" i="19"/>
  <c r="J92" i="19" s="1"/>
  <c r="I92" i="19" s="1"/>
  <c r="H91" i="19"/>
  <c r="J91" i="19" s="1"/>
  <c r="I91" i="19" s="1"/>
  <c r="H90" i="19"/>
  <c r="J90" i="19" s="1"/>
  <c r="I90" i="19" s="1"/>
  <c r="H89" i="19"/>
  <c r="J89" i="19" s="1"/>
  <c r="I89" i="19" s="1"/>
  <c r="H88" i="19"/>
  <c r="J88" i="19" s="1"/>
  <c r="I88" i="19" s="1"/>
  <c r="H87" i="19"/>
  <c r="J87" i="19" s="1"/>
  <c r="I87" i="19" s="1"/>
  <c r="H86" i="19"/>
  <c r="J86" i="19" s="1"/>
  <c r="I86" i="19" s="1"/>
  <c r="H85" i="19"/>
  <c r="J85" i="19" s="1"/>
  <c r="I85" i="19" s="1"/>
  <c r="H84" i="19"/>
  <c r="J84" i="19" s="1"/>
  <c r="I84" i="19" s="1"/>
  <c r="H83" i="19"/>
  <c r="J83" i="19" s="1"/>
  <c r="I83" i="19" s="1"/>
  <c r="H82" i="19"/>
  <c r="J82" i="19" s="1"/>
  <c r="I82" i="19" s="1"/>
  <c r="H81" i="19"/>
  <c r="J81" i="19" s="1"/>
  <c r="I81" i="19" s="1"/>
  <c r="H80" i="19"/>
  <c r="J80" i="19" s="1"/>
  <c r="I80" i="19" s="1"/>
  <c r="H79" i="19"/>
  <c r="J79" i="19" s="1"/>
  <c r="I79" i="19" s="1"/>
  <c r="H78" i="19"/>
  <c r="J78" i="19" s="1"/>
  <c r="I78" i="19" s="1"/>
  <c r="H77" i="19"/>
  <c r="J77" i="19" s="1"/>
  <c r="I77" i="19" s="1"/>
  <c r="H76" i="19"/>
  <c r="J76" i="19" s="1"/>
  <c r="I76" i="19" s="1"/>
  <c r="H75" i="19"/>
  <c r="J75" i="19" s="1"/>
  <c r="I75" i="19" s="1"/>
  <c r="H74" i="19"/>
  <c r="J74" i="19" s="1"/>
  <c r="I74" i="19" s="1"/>
  <c r="H73" i="19"/>
  <c r="J73" i="19" s="1"/>
  <c r="I73" i="19" s="1"/>
  <c r="H72" i="19"/>
  <c r="J72" i="19" s="1"/>
  <c r="I72" i="19" s="1"/>
  <c r="H71" i="19"/>
  <c r="J71" i="19" s="1"/>
  <c r="I71" i="19" s="1"/>
  <c r="H70" i="19"/>
  <c r="J70" i="19" s="1"/>
  <c r="I70" i="19" s="1"/>
  <c r="H69" i="19"/>
  <c r="J69" i="19" s="1"/>
  <c r="I69" i="19" s="1"/>
  <c r="H68" i="19"/>
  <c r="J68" i="19" s="1"/>
  <c r="I68" i="19" s="1"/>
  <c r="H67" i="19"/>
  <c r="J67" i="19" s="1"/>
  <c r="I67" i="19" s="1"/>
  <c r="H66" i="19"/>
  <c r="J66" i="19" s="1"/>
  <c r="I66" i="19" s="1"/>
  <c r="H65" i="19"/>
  <c r="J65" i="19" s="1"/>
  <c r="I65" i="19" s="1"/>
  <c r="H64" i="19"/>
  <c r="J64" i="19" s="1"/>
  <c r="I64" i="19" s="1"/>
  <c r="H63" i="19"/>
  <c r="J63" i="19" s="1"/>
  <c r="I63" i="19" s="1"/>
  <c r="H62" i="19"/>
  <c r="J62" i="19" s="1"/>
  <c r="I62" i="19" s="1"/>
  <c r="H61" i="19"/>
  <c r="J61" i="19" s="1"/>
  <c r="I61" i="19" s="1"/>
  <c r="H60" i="19"/>
  <c r="J60" i="19" s="1"/>
  <c r="I60" i="19" s="1"/>
  <c r="H59" i="19"/>
  <c r="J59" i="19" s="1"/>
  <c r="I59" i="19" s="1"/>
  <c r="H58" i="19"/>
  <c r="J58" i="19" s="1"/>
  <c r="I58" i="19" s="1"/>
  <c r="H57" i="19"/>
  <c r="J57" i="19" s="1"/>
  <c r="I57" i="19" s="1"/>
  <c r="H56" i="19"/>
  <c r="J56" i="19" s="1"/>
  <c r="I56" i="19" s="1"/>
  <c r="H55" i="19"/>
  <c r="J55" i="19" s="1"/>
  <c r="I55" i="19" s="1"/>
  <c r="H54" i="19"/>
  <c r="J54" i="19" s="1"/>
  <c r="I54" i="19" s="1"/>
  <c r="H53" i="19"/>
  <c r="J53" i="19" s="1"/>
  <c r="I53" i="19" s="1"/>
  <c r="H52" i="19"/>
  <c r="J52" i="19" s="1"/>
  <c r="I52" i="19" s="1"/>
  <c r="H51" i="19"/>
  <c r="J51" i="19" s="1"/>
  <c r="I51" i="19" s="1"/>
  <c r="H50" i="19"/>
  <c r="J50" i="19" s="1"/>
  <c r="I50" i="19" s="1"/>
  <c r="H49" i="19"/>
  <c r="J49" i="19" s="1"/>
  <c r="I49" i="19" s="1"/>
  <c r="H48" i="19"/>
  <c r="J48" i="19" s="1"/>
  <c r="I48" i="19" s="1"/>
  <c r="H47" i="19"/>
  <c r="J47" i="19" s="1"/>
  <c r="I47" i="19" s="1"/>
  <c r="H46" i="19"/>
  <c r="J46" i="19" s="1"/>
  <c r="I46" i="19" s="1"/>
  <c r="H45" i="19"/>
  <c r="J45" i="19" s="1"/>
  <c r="I45" i="19" s="1"/>
  <c r="H44" i="19"/>
  <c r="J44" i="19" s="1"/>
  <c r="I44" i="19" s="1"/>
  <c r="U43" i="19"/>
  <c r="H43" i="19"/>
  <c r="J43" i="19" s="1"/>
  <c r="I43" i="19" s="1"/>
  <c r="H42" i="19"/>
  <c r="J42" i="19" s="1"/>
  <c r="I42" i="19" s="1"/>
  <c r="H41" i="19"/>
  <c r="J41" i="19" s="1"/>
  <c r="I41" i="19" s="1"/>
  <c r="H40" i="19"/>
  <c r="J40" i="19" s="1"/>
  <c r="I40" i="19" s="1"/>
  <c r="H39" i="19"/>
  <c r="J39" i="19" s="1"/>
  <c r="I39" i="19" s="1"/>
  <c r="H38" i="19"/>
  <c r="J38" i="19" s="1"/>
  <c r="I38" i="19" s="1"/>
  <c r="H37" i="19"/>
  <c r="J37" i="19" s="1"/>
  <c r="I37" i="19" s="1"/>
  <c r="H36" i="19"/>
  <c r="J36" i="19" s="1"/>
  <c r="I36" i="19" s="1"/>
  <c r="H35" i="19"/>
  <c r="J35" i="19" s="1"/>
  <c r="I35" i="19" s="1"/>
  <c r="H34" i="19"/>
  <c r="J34" i="19" s="1"/>
  <c r="I34" i="19" s="1"/>
  <c r="H33" i="19"/>
  <c r="J33" i="19" s="1"/>
  <c r="I33" i="19" s="1"/>
  <c r="H32" i="19"/>
  <c r="J32" i="19" s="1"/>
  <c r="I32" i="19" s="1"/>
  <c r="H31" i="19"/>
  <c r="J31" i="19" s="1"/>
  <c r="I31" i="19" s="1"/>
  <c r="H30" i="19"/>
  <c r="J30" i="19" s="1"/>
  <c r="I30" i="19" s="1"/>
  <c r="H29" i="19"/>
  <c r="J29" i="19" s="1"/>
  <c r="I29" i="19" s="1"/>
  <c r="H28" i="19"/>
  <c r="J28" i="19" s="1"/>
  <c r="I28" i="19" s="1"/>
  <c r="H27" i="19"/>
  <c r="J27" i="19" s="1"/>
  <c r="I27" i="19" s="1"/>
  <c r="H26" i="19"/>
  <c r="J26" i="19" s="1"/>
  <c r="I26" i="19" s="1"/>
  <c r="H25" i="19"/>
  <c r="J25" i="19" s="1"/>
  <c r="I25" i="19" s="1"/>
  <c r="H24" i="19"/>
  <c r="J24" i="19" s="1"/>
  <c r="I24" i="19" s="1"/>
  <c r="H23" i="19"/>
  <c r="J23" i="19" s="1"/>
  <c r="I23" i="19" s="1"/>
  <c r="H22" i="19"/>
  <c r="J22" i="19" s="1"/>
  <c r="I22" i="19" s="1"/>
  <c r="H21" i="19"/>
  <c r="J21" i="19" s="1"/>
  <c r="I21" i="19" s="1"/>
  <c r="H20" i="19"/>
  <c r="J20" i="19" s="1"/>
  <c r="I20" i="19" s="1"/>
  <c r="H19" i="19"/>
  <c r="J19" i="19" s="1"/>
  <c r="I19" i="19" s="1"/>
  <c r="D19" i="19"/>
  <c r="E19" i="19" s="1"/>
  <c r="C19" i="19"/>
  <c r="B18" i="19"/>
  <c r="AI16" i="19"/>
  <c r="AI15" i="19"/>
  <c r="H8" i="19"/>
  <c r="C8" i="19"/>
  <c r="D6" i="19"/>
  <c r="D4" i="19" s="1"/>
  <c r="H5" i="19"/>
  <c r="E4" i="19"/>
  <c r="C10" i="19" l="1"/>
  <c r="C9" i="19"/>
  <c r="C11" i="19"/>
  <c r="A19" i="19"/>
  <c r="P19" i="19"/>
  <c r="G19" i="19"/>
  <c r="F19" i="19"/>
  <c r="T41" i="19" l="1"/>
  <c r="AL12" i="19" s="1"/>
  <c r="AL13" i="19" s="1"/>
  <c r="U41" i="19"/>
  <c r="AM12" i="19" s="1"/>
  <c r="AM13" i="19" s="1"/>
  <c r="C12" i="19"/>
  <c r="C13" i="19" s="1"/>
  <c r="C20" i="19"/>
  <c r="D20" i="19" s="1"/>
  <c r="E20" i="19" s="1"/>
  <c r="B19" i="19"/>
  <c r="K19" i="19"/>
  <c r="A20" i="19" l="1"/>
  <c r="G20" i="19"/>
  <c r="P20" i="19"/>
  <c r="F20" i="19"/>
  <c r="L19" i="19"/>
  <c r="M19" i="19" s="1"/>
  <c r="B20" i="19" l="1"/>
  <c r="C21" i="19"/>
  <c r="D21" i="19" s="1"/>
  <c r="E21" i="19" s="1"/>
  <c r="K20" i="19"/>
  <c r="A21" i="19" l="1"/>
  <c r="K21" i="19" s="1"/>
  <c r="P21" i="19"/>
  <c r="F21" i="19"/>
  <c r="G21" i="19"/>
  <c r="L20" i="19"/>
  <c r="M20" i="19" s="1"/>
  <c r="C22" i="19" l="1"/>
  <c r="D22" i="19" s="1"/>
  <c r="E22" i="19" s="1"/>
  <c r="B21" i="19"/>
  <c r="L21" i="19" l="1"/>
  <c r="M21" i="19" s="1"/>
  <c r="A22" i="19"/>
  <c r="G22" i="19"/>
  <c r="P22" i="19"/>
  <c r="F22" i="19"/>
  <c r="C23" i="19" l="1"/>
  <c r="D23" i="19" s="1"/>
  <c r="E23" i="19" s="1"/>
  <c r="B22" i="19"/>
  <c r="K22" i="19"/>
  <c r="L22" i="19" l="1"/>
  <c r="M22" i="19" s="1"/>
  <c r="A23" i="19"/>
  <c r="F23" i="19"/>
  <c r="P23" i="19"/>
  <c r="G23" i="19"/>
  <c r="C24" i="19" l="1"/>
  <c r="D24" i="19" s="1"/>
  <c r="E24" i="19" s="1"/>
  <c r="B23" i="19"/>
  <c r="K23" i="19"/>
  <c r="P24" i="19" l="1"/>
  <c r="A24" i="19"/>
  <c r="K24" i="19" s="1"/>
  <c r="F24" i="19"/>
  <c r="G24" i="19"/>
  <c r="L23" i="19"/>
  <c r="M23" i="19" s="1"/>
  <c r="C25" i="19" l="1"/>
  <c r="D25" i="19" s="1"/>
  <c r="E25" i="19" s="1"/>
  <c r="B24" i="19"/>
  <c r="L24" i="19" s="1"/>
  <c r="M24" i="19" s="1"/>
  <c r="A25" i="19" l="1"/>
  <c r="P25" i="19"/>
  <c r="F25" i="19"/>
  <c r="G25" i="19"/>
  <c r="C26" i="19" l="1"/>
  <c r="D26" i="19" s="1"/>
  <c r="E26" i="19" s="1"/>
  <c r="B25" i="19"/>
  <c r="K25" i="19"/>
  <c r="L25" i="19" l="1"/>
  <c r="M25" i="19" s="1"/>
  <c r="F26" i="19"/>
  <c r="A26" i="19"/>
  <c r="G26" i="19"/>
  <c r="P26" i="19"/>
  <c r="C27" i="19" l="1"/>
  <c r="D27" i="19" s="1"/>
  <c r="E27" i="19" s="1"/>
  <c r="B26" i="19"/>
  <c r="K26" i="19"/>
  <c r="L26" i="19" l="1"/>
  <c r="M26" i="19" s="1"/>
  <c r="P27" i="19"/>
  <c r="G27" i="19"/>
  <c r="F27" i="19"/>
  <c r="A27" i="19"/>
  <c r="K27" i="19" s="1"/>
  <c r="B27" i="19" l="1"/>
  <c r="L27" i="19" s="1"/>
  <c r="M27" i="19" s="1"/>
  <c r="C28" i="19"/>
  <c r="D28" i="19" s="1"/>
  <c r="E28" i="19" s="1"/>
  <c r="P28" i="19" l="1"/>
  <c r="G28" i="19"/>
  <c r="F28" i="19"/>
  <c r="A28" i="19"/>
  <c r="K28" i="19" s="1"/>
  <c r="C29" i="19" l="1"/>
  <c r="D29" i="19" s="1"/>
  <c r="E29" i="19" s="1"/>
  <c r="B28" i="19"/>
  <c r="L28" i="19" s="1"/>
  <c r="M28" i="19" s="1"/>
  <c r="A29" i="19" l="1"/>
  <c r="K29" i="19" s="1"/>
  <c r="P29" i="19"/>
  <c r="G29" i="19"/>
  <c r="F29" i="19"/>
  <c r="C30" i="19" l="1"/>
  <c r="D30" i="19" s="1"/>
  <c r="E30" i="19" s="1"/>
  <c r="B29" i="19"/>
  <c r="L29" i="19" s="1"/>
  <c r="M29" i="19" s="1"/>
  <c r="A30" i="19" l="1"/>
  <c r="K30" i="19" s="1"/>
  <c r="F30" i="19"/>
  <c r="P30" i="19"/>
  <c r="G30" i="19"/>
  <c r="C31" i="19" l="1"/>
  <c r="D31" i="19" s="1"/>
  <c r="E31" i="19" s="1"/>
  <c r="B30" i="19"/>
  <c r="L30" i="19" s="1"/>
  <c r="M30" i="19" s="1"/>
  <c r="A31" i="19" l="1"/>
  <c r="P31" i="19"/>
  <c r="G31" i="19"/>
  <c r="F31" i="19"/>
  <c r="C32" i="19" l="1"/>
  <c r="D32" i="19" s="1"/>
  <c r="E32" i="19" s="1"/>
  <c r="B31" i="19"/>
  <c r="K31" i="19"/>
  <c r="L31" i="19" l="1"/>
  <c r="M31" i="19" s="1"/>
  <c r="P32" i="19"/>
  <c r="F32" i="19"/>
  <c r="A32" i="19"/>
  <c r="K32" i="19" s="1"/>
  <c r="G32" i="19"/>
  <c r="C33" i="19" l="1"/>
  <c r="D33" i="19" s="1"/>
  <c r="E33" i="19" s="1"/>
  <c r="B32" i="19"/>
  <c r="L32" i="19" s="1"/>
  <c r="M32" i="19" s="1"/>
  <c r="A33" i="19" l="1"/>
  <c r="P33" i="19"/>
  <c r="F33" i="19"/>
  <c r="G33" i="19"/>
  <c r="C34" i="19" l="1"/>
  <c r="D34" i="19" s="1"/>
  <c r="E34" i="19" s="1"/>
  <c r="B33" i="19"/>
  <c r="K33" i="19"/>
  <c r="L33" i="19" l="1"/>
  <c r="M33" i="19" s="1"/>
  <c r="F34" i="19"/>
  <c r="A34" i="19"/>
  <c r="K34" i="19" s="1"/>
  <c r="G34" i="19"/>
  <c r="P34" i="19"/>
  <c r="C35" i="19" l="1"/>
  <c r="D35" i="19" s="1"/>
  <c r="E35" i="19" s="1"/>
  <c r="B34" i="19"/>
  <c r="L34" i="19" s="1"/>
  <c r="M34" i="19" s="1"/>
  <c r="P35" i="19" l="1"/>
  <c r="G35" i="19"/>
  <c r="F35" i="19"/>
  <c r="A35" i="19"/>
  <c r="B35" i="19" l="1"/>
  <c r="C36" i="19"/>
  <c r="D36" i="19" s="1"/>
  <c r="E36" i="19" s="1"/>
  <c r="K35" i="19"/>
  <c r="P36" i="19" l="1"/>
  <c r="G36" i="19"/>
  <c r="F36" i="19"/>
  <c r="A36" i="19"/>
  <c r="K36" i="19" s="1"/>
  <c r="L35" i="19"/>
  <c r="M35" i="19" s="1"/>
  <c r="C37" i="19" l="1"/>
  <c r="D37" i="19" s="1"/>
  <c r="E37" i="19" s="1"/>
  <c r="B36" i="19"/>
  <c r="L36" i="19" s="1"/>
  <c r="M36" i="19" s="1"/>
  <c r="A37" i="19" l="1"/>
  <c r="P37" i="19"/>
  <c r="G37" i="19"/>
  <c r="F37" i="19"/>
  <c r="B37" i="19" l="1"/>
  <c r="C38" i="19"/>
  <c r="D38" i="19" s="1"/>
  <c r="E38" i="19" s="1"/>
  <c r="K37" i="19"/>
  <c r="L37" i="19" l="1"/>
  <c r="M37" i="19" s="1"/>
  <c r="A38" i="19"/>
  <c r="K38" i="19" s="1"/>
  <c r="F38" i="19"/>
  <c r="G38" i="19"/>
  <c r="P38" i="19"/>
  <c r="C39" i="19" l="1"/>
  <c r="D39" i="19" s="1"/>
  <c r="E39" i="19" s="1"/>
  <c r="B38" i="19"/>
  <c r="L38" i="19" s="1"/>
  <c r="M38" i="19" s="1"/>
  <c r="A39" i="19" l="1"/>
  <c r="P39" i="19"/>
  <c r="G39" i="19"/>
  <c r="F39" i="19"/>
  <c r="C40" i="19" l="1"/>
  <c r="D40" i="19" s="1"/>
  <c r="E40" i="19" s="1"/>
  <c r="B39" i="19"/>
  <c r="K39" i="19"/>
  <c r="L39" i="19" l="1"/>
  <c r="M39" i="19" s="1"/>
  <c r="G40" i="19"/>
  <c r="P40" i="19"/>
  <c r="F40" i="19"/>
  <c r="A40" i="19"/>
  <c r="B40" i="19" l="1"/>
  <c r="C41" i="19"/>
  <c r="D41" i="19" s="1"/>
  <c r="E41" i="19" s="1"/>
  <c r="K40" i="19"/>
  <c r="A41" i="19" l="1"/>
  <c r="K41" i="19" s="1"/>
  <c r="G41" i="19"/>
  <c r="P41" i="19"/>
  <c r="F41" i="19"/>
  <c r="L40" i="19"/>
  <c r="M40" i="19" s="1"/>
  <c r="C42" i="19" l="1"/>
  <c r="D42" i="19" s="1"/>
  <c r="E42" i="19" s="1"/>
  <c r="B41" i="19"/>
  <c r="L41" i="19" s="1"/>
  <c r="M41" i="19" s="1"/>
  <c r="P42" i="19" l="1"/>
  <c r="G42" i="19"/>
  <c r="A42" i="19"/>
  <c r="K42" i="19" s="1"/>
  <c r="F42" i="19"/>
  <c r="B42" i="19" l="1"/>
  <c r="L42" i="19" s="1"/>
  <c r="M42" i="19" s="1"/>
  <c r="C43" i="19"/>
  <c r="D43" i="19" s="1"/>
  <c r="E43" i="19" s="1"/>
  <c r="G43" i="19" l="1"/>
  <c r="P43" i="19"/>
  <c r="F43" i="19"/>
  <c r="A43" i="19"/>
  <c r="B43" i="19" l="1"/>
  <c r="C44" i="19"/>
  <c r="D44" i="19" s="1"/>
  <c r="E44" i="19" s="1"/>
  <c r="K43" i="19"/>
  <c r="P44" i="19" l="1"/>
  <c r="G44" i="19"/>
  <c r="F44" i="19"/>
  <c r="A44" i="19"/>
  <c r="K44" i="19" s="1"/>
  <c r="L43" i="19"/>
  <c r="M43" i="19" s="1"/>
  <c r="B44" i="19" l="1"/>
  <c r="L44" i="19" s="1"/>
  <c r="M44" i="19" s="1"/>
  <c r="C45" i="19"/>
  <c r="D45" i="19" s="1"/>
  <c r="E45" i="19" s="1"/>
  <c r="A45" i="19" l="1"/>
  <c r="K45" i="19" s="1"/>
  <c r="F45" i="19"/>
  <c r="P45" i="19"/>
  <c r="G45" i="19"/>
  <c r="C46" i="19" l="1"/>
  <c r="D46" i="19" s="1"/>
  <c r="E46" i="19" s="1"/>
  <c r="B45" i="19"/>
  <c r="L45" i="19" s="1"/>
  <c r="M45" i="19" s="1"/>
  <c r="A46" i="19" l="1"/>
  <c r="K46" i="19" s="1"/>
  <c r="P46" i="19"/>
  <c r="G46" i="19"/>
  <c r="F46" i="19"/>
  <c r="C47" i="19" l="1"/>
  <c r="D47" i="19" s="1"/>
  <c r="E47" i="19" s="1"/>
  <c r="B46" i="19"/>
  <c r="L46" i="19" s="1"/>
  <c r="M46" i="19" s="1"/>
  <c r="P47" i="19" l="1"/>
  <c r="F47" i="19"/>
  <c r="A47" i="19"/>
  <c r="G47" i="19"/>
  <c r="C48" i="19" l="1"/>
  <c r="D48" i="19" s="1"/>
  <c r="E48" i="19" s="1"/>
  <c r="B47" i="19"/>
  <c r="K47" i="19"/>
  <c r="L47" i="19" l="1"/>
  <c r="M47" i="19" s="1"/>
  <c r="A48" i="19"/>
  <c r="G48" i="19"/>
  <c r="F48" i="19"/>
  <c r="P48" i="19"/>
  <c r="C49" i="19" l="1"/>
  <c r="D49" i="19" s="1"/>
  <c r="E49" i="19" s="1"/>
  <c r="B48" i="19"/>
  <c r="K48" i="19"/>
  <c r="L48" i="19" l="1"/>
  <c r="M48" i="19" s="1"/>
  <c r="F49" i="19"/>
  <c r="P49" i="19"/>
  <c r="A49" i="19"/>
  <c r="K49" i="19" s="1"/>
  <c r="G49" i="19"/>
  <c r="C50" i="19" l="1"/>
  <c r="D50" i="19" s="1"/>
  <c r="E50" i="19" s="1"/>
  <c r="B49" i="19"/>
  <c r="L49" i="19" s="1"/>
  <c r="M49" i="19" s="1"/>
  <c r="F50" i="19" l="1"/>
  <c r="G50" i="19"/>
  <c r="P50" i="19"/>
  <c r="A50" i="19"/>
  <c r="C51" i="19" l="1"/>
  <c r="D51" i="19" s="1"/>
  <c r="E51" i="19" s="1"/>
  <c r="B50" i="19"/>
  <c r="K50" i="19"/>
  <c r="L50" i="19" l="1"/>
  <c r="M50" i="19" s="1"/>
  <c r="P51" i="19"/>
  <c r="G51" i="19"/>
  <c r="F51" i="19"/>
  <c r="A51" i="19"/>
  <c r="K51" i="19" s="1"/>
  <c r="C52" i="19" l="1"/>
  <c r="D52" i="19" s="1"/>
  <c r="E52" i="19" s="1"/>
  <c r="B51" i="19"/>
  <c r="L51" i="19" s="1"/>
  <c r="M51" i="19" s="1"/>
  <c r="P52" i="19" l="1"/>
  <c r="G52" i="19"/>
  <c r="A52" i="19"/>
  <c r="F52" i="19"/>
  <c r="B52" i="19" l="1"/>
  <c r="C53" i="19"/>
  <c r="D53" i="19" s="1"/>
  <c r="E53" i="19" s="1"/>
  <c r="K52" i="19"/>
  <c r="L52" i="19" l="1"/>
  <c r="M52" i="19" s="1"/>
  <c r="A53" i="19"/>
  <c r="F53" i="19"/>
  <c r="G53" i="19"/>
  <c r="P53" i="19"/>
  <c r="C54" i="19" l="1"/>
  <c r="D54" i="19" s="1"/>
  <c r="E54" i="19" s="1"/>
  <c r="B53" i="19"/>
  <c r="O39" i="19"/>
  <c r="K53" i="19"/>
  <c r="L53" i="19" l="1"/>
  <c r="M53" i="19" s="1"/>
  <c r="A54" i="19"/>
  <c r="G54" i="19"/>
  <c r="F54" i="19"/>
  <c r="P54" i="19"/>
  <c r="B54" i="19" l="1"/>
  <c r="C55" i="19"/>
  <c r="D55" i="19" s="1"/>
  <c r="E55" i="19" s="1"/>
  <c r="K54" i="19"/>
  <c r="A55" i="19" l="1"/>
  <c r="P55" i="19"/>
  <c r="G55" i="19"/>
  <c r="F55" i="19"/>
  <c r="L54" i="19"/>
  <c r="M54" i="19" s="1"/>
  <c r="C56" i="19" l="1"/>
  <c r="D56" i="19" s="1"/>
  <c r="E56" i="19" s="1"/>
  <c r="B55" i="19"/>
  <c r="K55" i="19"/>
  <c r="L55" i="19" l="1"/>
  <c r="M55" i="19" s="1"/>
  <c r="A56" i="19"/>
  <c r="G56" i="19"/>
  <c r="F56" i="19"/>
  <c r="P56" i="19"/>
  <c r="C57" i="19" l="1"/>
  <c r="D57" i="19" s="1"/>
  <c r="E57" i="19" s="1"/>
  <c r="B56" i="19"/>
  <c r="K56" i="19"/>
  <c r="L56" i="19" l="1"/>
  <c r="M56" i="19" s="1"/>
  <c r="A57" i="19"/>
  <c r="F57" i="19"/>
  <c r="P57" i="19"/>
  <c r="G57" i="19"/>
  <c r="C58" i="19" l="1"/>
  <c r="D58" i="19" s="1"/>
  <c r="E58" i="19" s="1"/>
  <c r="B57" i="19"/>
  <c r="K57" i="19"/>
  <c r="L57" i="19" l="1"/>
  <c r="M57" i="19" s="1"/>
  <c r="G58" i="19"/>
  <c r="P58" i="19"/>
  <c r="A58" i="19"/>
  <c r="K58" i="19" s="1"/>
  <c r="F58" i="19"/>
  <c r="C59" i="19" l="1"/>
  <c r="D59" i="19" s="1"/>
  <c r="E59" i="19" s="1"/>
  <c r="B58" i="19"/>
  <c r="L58" i="19" s="1"/>
  <c r="M58" i="19" s="1"/>
  <c r="F59" i="19" l="1"/>
  <c r="P59" i="19"/>
  <c r="A59" i="19"/>
  <c r="G59" i="19"/>
  <c r="C60" i="19" l="1"/>
  <c r="D60" i="19" s="1"/>
  <c r="E60" i="19" s="1"/>
  <c r="B59" i="19"/>
  <c r="K59" i="19"/>
  <c r="L59" i="19" l="1"/>
  <c r="M59" i="19" s="1"/>
  <c r="P60" i="19"/>
  <c r="G60" i="19"/>
  <c r="F60" i="19"/>
  <c r="A60" i="19"/>
  <c r="B60" i="19" l="1"/>
  <c r="C61" i="19"/>
  <c r="D61" i="19" s="1"/>
  <c r="E61" i="19" s="1"/>
  <c r="K60" i="19"/>
  <c r="P61" i="19" l="1"/>
  <c r="G61" i="19"/>
  <c r="A61" i="19"/>
  <c r="F61" i="19"/>
  <c r="L60" i="19"/>
  <c r="M60" i="19" s="1"/>
  <c r="C62" i="19" l="1"/>
  <c r="D62" i="19" s="1"/>
  <c r="E62" i="19" s="1"/>
  <c r="B61" i="19"/>
  <c r="K61" i="19"/>
  <c r="L61" i="19" l="1"/>
  <c r="M61" i="19" s="1"/>
  <c r="A62" i="19"/>
  <c r="K62" i="19" s="1"/>
  <c r="F62" i="19"/>
  <c r="P62" i="19"/>
  <c r="G62" i="19"/>
  <c r="C63" i="19" l="1"/>
  <c r="D63" i="19" s="1"/>
  <c r="E63" i="19" s="1"/>
  <c r="B62" i="19"/>
  <c r="L62" i="19" s="1"/>
  <c r="M62" i="19" s="1"/>
  <c r="A63" i="19" l="1"/>
  <c r="K63" i="19" s="1"/>
  <c r="P63" i="19"/>
  <c r="G63" i="19"/>
  <c r="F63" i="19"/>
  <c r="C64" i="19" l="1"/>
  <c r="D64" i="19" s="1"/>
  <c r="E64" i="19" s="1"/>
  <c r="B63" i="19"/>
  <c r="L63" i="19" s="1"/>
  <c r="M63" i="19" s="1"/>
  <c r="P64" i="19" l="1"/>
  <c r="F64" i="19"/>
  <c r="A64" i="19"/>
  <c r="G64" i="19"/>
  <c r="C65" i="19" l="1"/>
  <c r="D65" i="19" s="1"/>
  <c r="E65" i="19" s="1"/>
  <c r="B64" i="19"/>
  <c r="K64" i="19"/>
  <c r="L64" i="19" l="1"/>
  <c r="M64" i="19" s="1"/>
  <c r="A65" i="19"/>
  <c r="G65" i="19"/>
  <c r="F65" i="19"/>
  <c r="P65" i="19"/>
  <c r="C66" i="19" l="1"/>
  <c r="D66" i="19" s="1"/>
  <c r="E66" i="19" s="1"/>
  <c r="B65" i="19"/>
  <c r="K65" i="19"/>
  <c r="L65" i="19" l="1"/>
  <c r="M65" i="19" s="1"/>
  <c r="F66" i="19"/>
  <c r="P66" i="19"/>
  <c r="A66" i="19"/>
  <c r="K66" i="19" s="1"/>
  <c r="G66" i="19"/>
  <c r="C67" i="19" l="1"/>
  <c r="D67" i="19" s="1"/>
  <c r="E67" i="19" s="1"/>
  <c r="B66" i="19"/>
  <c r="L66" i="19" s="1"/>
  <c r="M66" i="19" s="1"/>
  <c r="F67" i="19" l="1"/>
  <c r="G67" i="19"/>
  <c r="P67" i="19"/>
  <c r="A67" i="19"/>
  <c r="C68" i="19" l="1"/>
  <c r="D68" i="19" s="1"/>
  <c r="E68" i="19" s="1"/>
  <c r="B67" i="19"/>
  <c r="K67" i="19"/>
  <c r="L67" i="19" l="1"/>
  <c r="M67" i="19" s="1"/>
  <c r="P68" i="19"/>
  <c r="G68" i="19"/>
  <c r="F68" i="19"/>
  <c r="A68" i="19"/>
  <c r="K68" i="19" s="1"/>
  <c r="C69" i="19" l="1"/>
  <c r="D69" i="19" s="1"/>
  <c r="E69" i="19" s="1"/>
  <c r="B68" i="19"/>
  <c r="L68" i="19" s="1"/>
  <c r="M68" i="19" s="1"/>
  <c r="O54" i="19"/>
  <c r="P69" i="19" l="1"/>
  <c r="G69" i="19"/>
  <c r="F69" i="19"/>
  <c r="A69" i="19"/>
  <c r="K69" i="19" s="1"/>
  <c r="B69" i="19" l="1"/>
  <c r="L69" i="19" s="1"/>
  <c r="M69" i="19" s="1"/>
  <c r="C70" i="19"/>
  <c r="D70" i="19" s="1"/>
  <c r="E70" i="19" s="1"/>
  <c r="G70" i="19" l="1"/>
  <c r="F70" i="19"/>
  <c r="P70" i="19"/>
  <c r="A70" i="19"/>
  <c r="C71" i="19" l="1"/>
  <c r="D71" i="19" s="1"/>
  <c r="E71" i="19" s="1"/>
  <c r="B70" i="19"/>
  <c r="K70" i="19"/>
  <c r="L70" i="19" l="1"/>
  <c r="M70" i="19" s="1"/>
  <c r="A71" i="19"/>
  <c r="G71" i="19"/>
  <c r="P71" i="19"/>
  <c r="F71" i="19"/>
  <c r="B71" i="19" l="1"/>
  <c r="C72" i="19"/>
  <c r="D72" i="19" s="1"/>
  <c r="E72" i="19" s="1"/>
  <c r="K71" i="19"/>
  <c r="A72" i="19" l="1"/>
  <c r="K72" i="19" s="1"/>
  <c r="G72" i="19"/>
  <c r="F72" i="19"/>
  <c r="P72" i="19"/>
  <c r="L71" i="19"/>
  <c r="M71" i="19" s="1"/>
  <c r="C73" i="19" l="1"/>
  <c r="D73" i="19" s="1"/>
  <c r="E73" i="19" s="1"/>
  <c r="B72" i="19"/>
  <c r="L72" i="19" s="1"/>
  <c r="M72" i="19" s="1"/>
  <c r="A73" i="19" l="1"/>
  <c r="K73" i="19" s="1"/>
  <c r="F73" i="19"/>
  <c r="P73" i="19"/>
  <c r="G73" i="19"/>
  <c r="C74" i="19" l="1"/>
  <c r="D74" i="19" s="1"/>
  <c r="E74" i="19" s="1"/>
  <c r="B73" i="19"/>
  <c r="L73" i="19" s="1"/>
  <c r="M73" i="19" s="1"/>
  <c r="P74" i="19" l="1"/>
  <c r="G74" i="19"/>
  <c r="A74" i="19"/>
  <c r="F74" i="19"/>
  <c r="C75" i="19" l="1"/>
  <c r="D75" i="19" s="1"/>
  <c r="E75" i="19" s="1"/>
  <c r="B74" i="19"/>
  <c r="K74" i="19"/>
  <c r="L74" i="19" l="1"/>
  <c r="M74" i="19" s="1"/>
  <c r="G75" i="19"/>
  <c r="A75" i="19"/>
  <c r="P75" i="19"/>
  <c r="F75" i="19"/>
  <c r="C76" i="19" l="1"/>
  <c r="D76" i="19" s="1"/>
  <c r="E76" i="19" s="1"/>
  <c r="B75" i="19"/>
  <c r="K75" i="19"/>
  <c r="L75" i="19" l="1"/>
  <c r="M75" i="19" s="1"/>
  <c r="A76" i="19"/>
  <c r="F76" i="19"/>
  <c r="P76" i="19"/>
  <c r="G76" i="19"/>
  <c r="C77" i="19" l="1"/>
  <c r="D77" i="19" s="1"/>
  <c r="E77" i="19" s="1"/>
  <c r="B76" i="19"/>
  <c r="K76" i="19"/>
  <c r="L76" i="19" l="1"/>
  <c r="M76" i="19" s="1"/>
  <c r="F77" i="19"/>
  <c r="G77" i="19"/>
  <c r="P77" i="19"/>
  <c r="A77" i="19"/>
  <c r="C78" i="19" l="1"/>
  <c r="D78" i="19" s="1"/>
  <c r="E78" i="19" s="1"/>
  <c r="B77" i="19"/>
  <c r="K77" i="19"/>
  <c r="L77" i="19" l="1"/>
  <c r="M77" i="19" s="1"/>
  <c r="P78" i="19"/>
  <c r="G78" i="19"/>
  <c r="F78" i="19"/>
  <c r="A78" i="19"/>
  <c r="B78" i="19" l="1"/>
  <c r="C79" i="19"/>
  <c r="D79" i="19" s="1"/>
  <c r="E79" i="19" s="1"/>
  <c r="K78" i="19"/>
  <c r="P79" i="19" l="1"/>
  <c r="G79" i="19"/>
  <c r="F79" i="19"/>
  <c r="A79" i="19"/>
  <c r="L78" i="19"/>
  <c r="M78" i="19" s="1"/>
  <c r="C80" i="19" l="1"/>
  <c r="D80" i="19" s="1"/>
  <c r="E80" i="19" s="1"/>
  <c r="B79" i="19"/>
  <c r="K79" i="19"/>
  <c r="L79" i="19" l="1"/>
  <c r="M79" i="19" s="1"/>
  <c r="A80" i="19"/>
  <c r="P80" i="19"/>
  <c r="G80" i="19"/>
  <c r="F80" i="19"/>
  <c r="C81" i="19" l="1"/>
  <c r="D81" i="19" s="1"/>
  <c r="E81" i="19" s="1"/>
  <c r="B80" i="19"/>
  <c r="K80" i="19"/>
  <c r="L80" i="19" l="1"/>
  <c r="M80" i="19" s="1"/>
  <c r="A81" i="19"/>
  <c r="F81" i="19"/>
  <c r="P81" i="19"/>
  <c r="G81" i="19"/>
  <c r="C82" i="19" l="1"/>
  <c r="D82" i="19" s="1"/>
  <c r="E82" i="19" s="1"/>
  <c r="B81" i="19"/>
  <c r="K81" i="19"/>
  <c r="L81" i="19" l="1"/>
  <c r="M81" i="19" s="1"/>
  <c r="A82" i="19"/>
  <c r="K82" i="19" s="1"/>
  <c r="P82" i="19"/>
  <c r="G82" i="19"/>
  <c r="F82" i="19"/>
  <c r="C83" i="19" l="1"/>
  <c r="D83" i="19" s="1"/>
  <c r="E83" i="19" s="1"/>
  <c r="B82" i="19"/>
  <c r="L82" i="19" l="1"/>
  <c r="M82" i="19" s="1"/>
  <c r="F83" i="19"/>
  <c r="G83" i="19"/>
  <c r="A83" i="19"/>
  <c r="P83" i="19"/>
  <c r="C84" i="19" l="1"/>
  <c r="D84" i="19" s="1"/>
  <c r="E84" i="19" s="1"/>
  <c r="B83" i="19"/>
  <c r="O69" i="19"/>
  <c r="K83" i="19"/>
  <c r="L83" i="19" l="1"/>
  <c r="M83" i="19" s="1"/>
  <c r="G84" i="19"/>
  <c r="A84" i="19"/>
  <c r="F84" i="19"/>
  <c r="P84" i="19"/>
  <c r="C85" i="19" l="1"/>
  <c r="D85" i="19" s="1"/>
  <c r="E85" i="19" s="1"/>
  <c r="B84" i="19"/>
  <c r="K84" i="19"/>
  <c r="L84" i="19" l="1"/>
  <c r="M84" i="19" s="1"/>
  <c r="P85" i="19"/>
  <c r="G85" i="19"/>
  <c r="A85" i="19"/>
  <c r="F85" i="19"/>
  <c r="C86" i="19" l="1"/>
  <c r="D86" i="19" s="1"/>
  <c r="E86" i="19" s="1"/>
  <c r="B85" i="19"/>
  <c r="K85" i="19"/>
  <c r="L85" i="19" l="1"/>
  <c r="M85" i="19" s="1"/>
  <c r="F86" i="19"/>
  <c r="A86" i="19"/>
  <c r="P86" i="19"/>
  <c r="G86" i="19"/>
  <c r="C87" i="19" l="1"/>
  <c r="D87" i="19" s="1"/>
  <c r="E87" i="19" s="1"/>
  <c r="B86" i="19"/>
  <c r="K86" i="19"/>
  <c r="A87" i="19" l="1"/>
  <c r="K87" i="19" s="1"/>
  <c r="P87" i="19"/>
  <c r="G87" i="19"/>
  <c r="F87" i="19"/>
  <c r="L86" i="19"/>
  <c r="M86" i="19" s="1"/>
  <c r="B87" i="19" l="1"/>
  <c r="L87" i="19" s="1"/>
  <c r="M87" i="19" s="1"/>
  <c r="C88" i="19"/>
  <c r="D88" i="19" s="1"/>
  <c r="E88" i="19" s="1"/>
  <c r="P88" i="19" l="1"/>
  <c r="G88" i="19"/>
  <c r="F88" i="19"/>
  <c r="A88" i="19"/>
  <c r="K88" i="19" s="1"/>
  <c r="C89" i="19" l="1"/>
  <c r="D89" i="19" s="1"/>
  <c r="E89" i="19" s="1"/>
  <c r="B88" i="19"/>
  <c r="L88" i="19" s="1"/>
  <c r="M88" i="19" s="1"/>
  <c r="A89" i="19" l="1"/>
  <c r="P89" i="19"/>
  <c r="G89" i="19"/>
  <c r="F89" i="19"/>
  <c r="C90" i="19" l="1"/>
  <c r="D90" i="19" s="1"/>
  <c r="E90" i="19" s="1"/>
  <c r="B89" i="19"/>
  <c r="K89" i="19"/>
  <c r="L89" i="19" l="1"/>
  <c r="M89" i="19" s="1"/>
  <c r="A90" i="19"/>
  <c r="K90" i="19" s="1"/>
  <c r="F90" i="19"/>
  <c r="P90" i="19"/>
  <c r="G90" i="19"/>
  <c r="C91" i="19" l="1"/>
  <c r="D91" i="19" s="1"/>
  <c r="E91" i="19" s="1"/>
  <c r="B90" i="19"/>
  <c r="L90" i="19" s="1"/>
  <c r="M90" i="19" s="1"/>
  <c r="A91" i="19" l="1"/>
  <c r="P91" i="19"/>
  <c r="G91" i="19"/>
  <c r="F91" i="19"/>
  <c r="C92" i="19" l="1"/>
  <c r="D92" i="19" s="1"/>
  <c r="E92" i="19" s="1"/>
  <c r="B91" i="19"/>
  <c r="K91" i="19"/>
  <c r="L91" i="19" l="1"/>
  <c r="M91" i="19" s="1"/>
  <c r="F92" i="19"/>
  <c r="G92" i="19"/>
  <c r="P92" i="19"/>
  <c r="A92" i="19"/>
  <c r="C93" i="19" l="1"/>
  <c r="D93" i="19" s="1"/>
  <c r="E93" i="19" s="1"/>
  <c r="B92" i="19"/>
  <c r="K92" i="19"/>
  <c r="L92" i="19" l="1"/>
  <c r="M92" i="19" s="1"/>
  <c r="P93" i="19"/>
  <c r="G93" i="19"/>
  <c r="A93" i="19"/>
  <c r="K93" i="19" s="1"/>
  <c r="F93" i="19"/>
  <c r="B93" i="19" l="1"/>
  <c r="L93" i="19" s="1"/>
  <c r="M93" i="19" s="1"/>
  <c r="C94" i="19"/>
  <c r="D94" i="19" s="1"/>
  <c r="E94" i="19" s="1"/>
  <c r="F94" i="19" l="1"/>
  <c r="G94" i="19"/>
  <c r="A94" i="19"/>
  <c r="K94" i="19" s="1"/>
  <c r="P94" i="19"/>
  <c r="C95" i="19" l="1"/>
  <c r="D95" i="19" s="1"/>
  <c r="E95" i="19" s="1"/>
  <c r="B94" i="19"/>
  <c r="L94" i="19" s="1"/>
  <c r="M94" i="19" s="1"/>
  <c r="A95" i="19" l="1"/>
  <c r="K95" i="19" s="1"/>
  <c r="P95" i="19"/>
  <c r="G95" i="19"/>
  <c r="F95" i="19"/>
  <c r="C96" i="19" l="1"/>
  <c r="D96" i="19" s="1"/>
  <c r="E96" i="19" s="1"/>
  <c r="B95" i="19"/>
  <c r="L95" i="19" s="1"/>
  <c r="M95" i="19" s="1"/>
  <c r="P96" i="19" l="1"/>
  <c r="G96" i="19"/>
  <c r="F96" i="19"/>
  <c r="A96" i="19"/>
  <c r="C97" i="19" l="1"/>
  <c r="D97" i="19" s="1"/>
  <c r="E97" i="19" s="1"/>
  <c r="B96" i="19"/>
  <c r="K96" i="19"/>
  <c r="L96" i="19" l="1"/>
  <c r="M96" i="19" s="1"/>
  <c r="A97" i="19"/>
  <c r="P97" i="19"/>
  <c r="G97" i="19"/>
  <c r="F97" i="19"/>
  <c r="B97" i="19" l="1"/>
  <c r="C98" i="19"/>
  <c r="D98" i="19" s="1"/>
  <c r="E98" i="19" s="1"/>
  <c r="K97" i="19"/>
  <c r="L97" i="19" l="1"/>
  <c r="M97" i="19" s="1"/>
  <c r="A98" i="19"/>
  <c r="K98" i="19" s="1"/>
  <c r="F98" i="19"/>
  <c r="G98" i="19"/>
  <c r="P98" i="19"/>
  <c r="C99" i="19" l="1"/>
  <c r="D99" i="19" s="1"/>
  <c r="E99" i="19" s="1"/>
  <c r="B98" i="19"/>
  <c r="L98" i="19" s="1"/>
  <c r="M98" i="19" s="1"/>
  <c r="O84" i="19"/>
  <c r="A99" i="19" l="1"/>
  <c r="G99" i="19"/>
  <c r="F99" i="19"/>
  <c r="P99" i="19"/>
  <c r="C100" i="19" l="1"/>
  <c r="D100" i="19" s="1"/>
  <c r="E100" i="19" s="1"/>
  <c r="B99" i="19"/>
  <c r="K99" i="19"/>
  <c r="L99" i="19" l="1"/>
  <c r="M99" i="19" s="1"/>
  <c r="A100" i="19"/>
  <c r="K100" i="19" s="1"/>
  <c r="P100" i="19"/>
  <c r="G100" i="19"/>
  <c r="F100" i="19"/>
  <c r="C101" i="19" l="1"/>
  <c r="D101" i="19" s="1"/>
  <c r="E101" i="19" s="1"/>
  <c r="B100" i="19"/>
  <c r="L100" i="19" s="1"/>
  <c r="M100" i="19" s="1"/>
  <c r="F101" i="19" l="1"/>
  <c r="A101" i="19"/>
  <c r="K101" i="19" s="1"/>
  <c r="P101" i="19"/>
  <c r="G101" i="19"/>
  <c r="C102" i="19" l="1"/>
  <c r="D102" i="19" s="1"/>
  <c r="E102" i="19" s="1"/>
  <c r="B101" i="19"/>
  <c r="L101" i="19" s="1"/>
  <c r="M101" i="19" s="1"/>
  <c r="P102" i="19" l="1"/>
  <c r="G102" i="19"/>
  <c r="A102" i="19"/>
  <c r="F102" i="19"/>
  <c r="B102" i="19" l="1"/>
  <c r="C103" i="19"/>
  <c r="D103" i="19" s="1"/>
  <c r="E103" i="19" s="1"/>
  <c r="K102" i="19"/>
  <c r="L102" i="19" l="1"/>
  <c r="M102" i="19" s="1"/>
  <c r="F103" i="19"/>
  <c r="G103" i="19"/>
  <c r="A103" i="19"/>
  <c r="K103" i="19" s="1"/>
  <c r="P103" i="19"/>
  <c r="C104" i="19" l="1"/>
  <c r="D104" i="19" s="1"/>
  <c r="E104" i="19" s="1"/>
  <c r="B103" i="19"/>
  <c r="L103" i="19" s="1"/>
  <c r="M103" i="19" s="1"/>
  <c r="A104" i="19" l="1"/>
  <c r="K104" i="19" s="1"/>
  <c r="P104" i="19"/>
  <c r="G104" i="19"/>
  <c r="F104" i="19"/>
  <c r="C105" i="19" l="1"/>
  <c r="D105" i="19" s="1"/>
  <c r="E105" i="19" s="1"/>
  <c r="B104" i="19"/>
  <c r="L104" i="19" s="1"/>
  <c r="M104" i="19" s="1"/>
  <c r="P105" i="19" l="1"/>
  <c r="G105" i="19"/>
  <c r="F105" i="19"/>
  <c r="A105" i="19"/>
  <c r="C106" i="19" l="1"/>
  <c r="D106" i="19" s="1"/>
  <c r="E106" i="19" s="1"/>
  <c r="B105" i="19"/>
  <c r="K105" i="19"/>
  <c r="L105" i="19" l="1"/>
  <c r="M105" i="19" s="1"/>
  <c r="A106" i="19"/>
  <c r="P106" i="19"/>
  <c r="G106" i="19"/>
  <c r="F106" i="19"/>
  <c r="C107" i="19" l="1"/>
  <c r="D107" i="19" s="1"/>
  <c r="E107" i="19" s="1"/>
  <c r="B106" i="19"/>
  <c r="K106" i="19"/>
  <c r="L106" i="19" l="1"/>
  <c r="M106" i="19" s="1"/>
  <c r="A107" i="19"/>
  <c r="K107" i="19" s="1"/>
  <c r="F107" i="19"/>
  <c r="G107" i="19"/>
  <c r="P107" i="19"/>
  <c r="C108" i="19" l="1"/>
  <c r="D108" i="19" s="1"/>
  <c r="E108" i="19" s="1"/>
  <c r="B107" i="19"/>
  <c r="L107" i="19" s="1"/>
  <c r="M107" i="19" s="1"/>
  <c r="A108" i="19" l="1"/>
  <c r="P108" i="19"/>
  <c r="G108" i="19"/>
  <c r="F108" i="19"/>
  <c r="C109" i="19" l="1"/>
  <c r="D109" i="19" s="1"/>
  <c r="E109" i="19" s="1"/>
  <c r="B108" i="19"/>
  <c r="K108" i="19"/>
  <c r="L108" i="19" l="1"/>
  <c r="M108" i="19" s="1"/>
  <c r="F109" i="19"/>
  <c r="G109" i="19"/>
  <c r="P109" i="19"/>
  <c r="A109" i="19"/>
  <c r="K109" i="19" s="1"/>
  <c r="C110" i="19" l="1"/>
  <c r="D110" i="19" s="1"/>
  <c r="E110" i="19" s="1"/>
  <c r="B109" i="19"/>
  <c r="L109" i="19" s="1"/>
  <c r="M109" i="19" s="1"/>
  <c r="P110" i="19" l="1"/>
  <c r="G110" i="19"/>
  <c r="A110" i="19"/>
  <c r="F110" i="19"/>
  <c r="C111" i="19" l="1"/>
  <c r="D111" i="19" s="1"/>
  <c r="E111" i="19" s="1"/>
  <c r="B110" i="19"/>
  <c r="K110" i="19"/>
  <c r="F111" i="19" l="1"/>
  <c r="A111" i="19"/>
  <c r="G111" i="19"/>
  <c r="P111" i="19"/>
  <c r="L110" i="19"/>
  <c r="M110" i="19" s="1"/>
  <c r="C112" i="19" l="1"/>
  <c r="D112" i="19" s="1"/>
  <c r="E112" i="19" s="1"/>
  <c r="B111" i="19"/>
  <c r="K111" i="19"/>
  <c r="A112" i="19" l="1"/>
  <c r="K112" i="19" s="1"/>
  <c r="P112" i="19"/>
  <c r="G112" i="19"/>
  <c r="F112" i="19"/>
  <c r="L111" i="19"/>
  <c r="M111" i="19" s="1"/>
  <c r="C113" i="19" l="1"/>
  <c r="D113" i="19" s="1"/>
  <c r="E113" i="19" s="1"/>
  <c r="B112" i="19"/>
  <c r="L112" i="19" s="1"/>
  <c r="M112" i="19" s="1"/>
  <c r="A113" i="19" l="1"/>
  <c r="K113" i="19" s="1"/>
  <c r="P113" i="19"/>
  <c r="G113" i="19"/>
  <c r="F113" i="19"/>
  <c r="C114" i="19" l="1"/>
  <c r="D114" i="19" s="1"/>
  <c r="E114" i="19" s="1"/>
  <c r="B113" i="19"/>
  <c r="L113" i="19" s="1"/>
  <c r="M113" i="19" s="1"/>
  <c r="O99" i="19"/>
  <c r="H12" i="19" s="1"/>
  <c r="A114" i="19" l="1"/>
  <c r="P114" i="19"/>
  <c r="G114" i="19"/>
  <c r="F114" i="19"/>
  <c r="C115" i="19" l="1"/>
  <c r="D115" i="19" s="1"/>
  <c r="E115" i="19" s="1"/>
  <c r="B114" i="19"/>
  <c r="K114" i="19"/>
  <c r="L114" i="19" l="1"/>
  <c r="M114" i="19" s="1"/>
  <c r="A115" i="19"/>
  <c r="P115" i="19"/>
  <c r="G115" i="19"/>
  <c r="F115" i="19"/>
  <c r="C116" i="19" l="1"/>
  <c r="D116" i="19" s="1"/>
  <c r="E116" i="19" s="1"/>
  <c r="B115" i="19"/>
  <c r="K115" i="19"/>
  <c r="L115" i="19" l="1"/>
  <c r="M115" i="19" s="1"/>
  <c r="A116" i="19"/>
  <c r="P116" i="19"/>
  <c r="G116" i="19"/>
  <c r="F116" i="19"/>
  <c r="C117" i="19" l="1"/>
  <c r="D117" i="19" s="1"/>
  <c r="E117" i="19" s="1"/>
  <c r="B116" i="19"/>
  <c r="K116" i="19"/>
  <c r="L116" i="19" l="1"/>
  <c r="M116" i="19" s="1"/>
  <c r="F117" i="19"/>
  <c r="A117" i="19"/>
  <c r="G117" i="19"/>
  <c r="P117" i="19"/>
  <c r="C118" i="19" l="1"/>
  <c r="D118" i="19" s="1"/>
  <c r="E118" i="19" s="1"/>
  <c r="B117" i="19"/>
  <c r="K117" i="19"/>
  <c r="L117" i="19" l="1"/>
  <c r="M117" i="19" s="1"/>
  <c r="P118" i="19"/>
  <c r="P18" i="19" s="1"/>
  <c r="G118" i="19"/>
  <c r="F118" i="19"/>
  <c r="A118" i="19"/>
  <c r="AI13" i="19"/>
  <c r="AJ19" i="19" a="1"/>
  <c r="B118" i="19" l="1"/>
  <c r="H11" i="19"/>
  <c r="K118" i="19"/>
  <c r="AH13" i="19"/>
  <c r="AH16" i="19"/>
  <c r="AJ45" i="19"/>
  <c r="AJ37" i="19"/>
  <c r="AJ29" i="19"/>
  <c r="AJ21" i="19"/>
  <c r="AJ44" i="19"/>
  <c r="AJ36" i="19"/>
  <c r="AJ28" i="19"/>
  <c r="AJ20" i="19"/>
  <c r="AJ43" i="19"/>
  <c r="AJ35" i="19"/>
  <c r="AJ27" i="19"/>
  <c r="AJ19" i="19"/>
  <c r="AJ42" i="19"/>
  <c r="AJ34" i="19"/>
  <c r="AJ26" i="19"/>
  <c r="AJ30" i="19"/>
  <c r="AJ46" i="19"/>
  <c r="AJ49" i="19"/>
  <c r="AJ41" i="19"/>
  <c r="AJ33" i="19"/>
  <c r="AJ25" i="19"/>
  <c r="AJ48" i="19"/>
  <c r="AJ32" i="19"/>
  <c r="AJ24" i="19"/>
  <c r="AJ40" i="19"/>
  <c r="AJ47" i="19"/>
  <c r="AJ39" i="19"/>
  <c r="AJ31" i="19"/>
  <c r="AJ23" i="19"/>
  <c r="AJ38" i="19"/>
  <c r="AJ22" i="19"/>
  <c r="L118" i="19" l="1"/>
  <c r="M118" i="19" s="1"/>
  <c r="AH4" i="19" s="1" a="1"/>
  <c r="AI19" i="19" a="1"/>
  <c r="AI45" i="19" l="1"/>
  <c r="AI37" i="19"/>
  <c r="AI29" i="19"/>
  <c r="AI21" i="19"/>
  <c r="AI44" i="19"/>
  <c r="AI36" i="19"/>
  <c r="AI28" i="19"/>
  <c r="AI38" i="19"/>
  <c r="AI20" i="19"/>
  <c r="AI46" i="19"/>
  <c r="AI43" i="19"/>
  <c r="AI35" i="19"/>
  <c r="AI27" i="19"/>
  <c r="AI19" i="19"/>
  <c r="AI22" i="19"/>
  <c r="AI42" i="19"/>
  <c r="AI34" i="19"/>
  <c r="AI26" i="19"/>
  <c r="AI24" i="19"/>
  <c r="AI49" i="19"/>
  <c r="AI41" i="19"/>
  <c r="AI33" i="19"/>
  <c r="AI25" i="19"/>
  <c r="AI48" i="19"/>
  <c r="AI40" i="19"/>
  <c r="AI32" i="19"/>
  <c r="AI47" i="19"/>
  <c r="AI39" i="19"/>
  <c r="AI31" i="19"/>
  <c r="AI23" i="19"/>
  <c r="AI30" i="19"/>
  <c r="AH7" i="19"/>
  <c r="AI6" i="19"/>
  <c r="AH6" i="19"/>
  <c r="AI5" i="19"/>
  <c r="AI8" i="19"/>
  <c r="AI4" i="19"/>
  <c r="AH5" i="19"/>
  <c r="AI7" i="19"/>
  <c r="AH8" i="19"/>
  <c r="AH4" i="19"/>
  <c r="M5" i="19" s="1"/>
  <c r="M4" i="19" l="1"/>
  <c r="N4" i="19" s="1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M6" i="19"/>
  <c r="N6" i="19" s="1"/>
  <c r="N5" i="19"/>
  <c r="M8" i="19"/>
  <c r="N8" i="19" s="1"/>
  <c r="O4" i="19" l="1"/>
  <c r="M9" i="19" l="1"/>
  <c r="N9" i="19" s="1"/>
  <c r="M11" i="19"/>
  <c r="N11" i="19" s="1"/>
  <c r="M10" i="19"/>
  <c r="N10" i="19" s="1"/>
  <c r="A46" i="18" l="1"/>
  <c r="A47" i="18" s="1"/>
  <c r="A48" i="18" s="1"/>
  <c r="A49" i="18" s="1"/>
  <c r="A50" i="18" s="1"/>
  <c r="A51" i="18" s="1"/>
  <c r="J6" i="15" l="1"/>
  <c r="M3" i="15" l="1"/>
  <c r="N3" i="15"/>
  <c r="O3" i="15"/>
  <c r="O6" i="15" s="1"/>
  <c r="K49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Q31" i="14" s="1"/>
  <c r="O31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49" i="1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SteveF</author>
  </authors>
  <commentList>
    <comment ref="T41" authorId="0" shapeId="0" xr:uid="{00000000-0006-0000-0600-000001000000}">
      <text>
        <r>
          <rPr>
            <b/>
            <sz val="11"/>
            <color indexed="81"/>
            <rFont val="Tahoma"/>
            <family val="2"/>
          </rPr>
          <t>THRESHOLD AS PROPORTION OF SMSY</t>
        </r>
      </text>
    </comment>
    <comment ref="U41" authorId="0" shapeId="0" xr:uid="{00000000-0006-0000-0600-000002000000}">
      <text>
        <r>
          <rPr>
            <b/>
            <sz val="11"/>
            <color indexed="81"/>
            <rFont val="Tahoma"/>
            <family val="2"/>
          </rPr>
          <t>SGOAL AS PROPORTION OF SMSY</t>
        </r>
      </text>
    </comment>
  </commentList>
</comments>
</file>

<file path=xl/sharedStrings.xml><?xml version="1.0" encoding="utf-8"?>
<sst xmlns="http://schemas.openxmlformats.org/spreadsheetml/2006/main" count="429" uniqueCount="181">
  <si>
    <t xml:space="preserve">Kasilof sockeye salmon brood table.  </t>
  </si>
  <si>
    <t>Brood</t>
  </si>
  <si>
    <t>Total</t>
  </si>
  <si>
    <t>Year</t>
  </si>
  <si>
    <t>Run</t>
  </si>
  <si>
    <t>Harvest</t>
  </si>
  <si>
    <t>return</t>
  </si>
  <si>
    <t>Escapement</t>
  </si>
  <si>
    <t>b</t>
  </si>
  <si>
    <t>b Incomplete returns from brood year escapement.</t>
  </si>
  <si>
    <t>FishTicket</t>
  </si>
  <si>
    <t xml:space="preserve">  estimated by multiple aerial/ground survey with a run-timing adjustment unless otherwise specified.</t>
  </si>
  <si>
    <t>Grand Total</t>
  </si>
  <si>
    <t>Eastern</t>
  </si>
  <si>
    <t>Northern &amp; Unak</t>
  </si>
  <si>
    <t>Coghill</t>
  </si>
  <si>
    <t>Northwestern</t>
  </si>
  <si>
    <t>Eshamy</t>
  </si>
  <si>
    <t>Southwestern</t>
  </si>
  <si>
    <t>Montague</t>
  </si>
  <si>
    <t>Southeastern</t>
  </si>
  <si>
    <t>Commercial</t>
  </si>
  <si>
    <t>only collected for streams with 3 or more surveys per year. Hatchery strays are not accounted for in calculating these indices.  Shaded areas indicate</t>
  </si>
  <si>
    <t>years in which there were low numbers of aerial surveys for 1 or more districts.</t>
  </si>
  <si>
    <t>Last PWS EG review used adjusted area-under-the-curve (AUC) indices (Fried et al. 1998; Bue et al. 1998) for 134 aerial index streams in PWS established in 2015.</t>
  </si>
  <si>
    <t>were used to develop even-year pink salmon EGs by district and 1981–2015 for odd year pink salmon escapement goals.</t>
  </si>
  <si>
    <t>In 1963–1980 and 2016 fewer than 70% of the 134 index streams were surveyed for 1 or more districts.  Thus, during last PWS EG review 1982–2014</t>
  </si>
  <si>
    <t>Escapement indices are area-under-the-curve adjusted for stream life for the reduced set of aerial index streams (134). Escapement estimates were</t>
  </si>
  <si>
    <t>cost recovery, confiscated, or test fish harvests.</t>
  </si>
  <si>
    <t xml:space="preserve">Commercial common property harvest includes purse seine, drift gillnet, and set gillnet harvests from all Prince William Sound districts.  Does not include hatchery </t>
  </si>
  <si>
    <t>Nushagak River sockeye salmon</t>
  </si>
  <si>
    <r>
      <t>Data available for analysis of McNeil River chum salmon escapement goal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.  </t>
    </r>
  </si>
  <si>
    <r>
      <t>b</t>
    </r>
    <r>
      <rPr>
        <sz val="10"/>
        <color theme="1"/>
        <rFont val="Calibri"/>
        <family val="2"/>
        <scheme val="minor"/>
      </rPr>
      <t xml:space="preserve"> Escapement not surveyed or monitored during years with no escapement value.  Escapement (thousands of fish) </t>
    </r>
  </si>
  <si>
    <t>Prince William Sound odd and even year pink salmon</t>
  </si>
  <si>
    <t>PWS odd year pink</t>
  </si>
  <si>
    <t>PWS even year pink</t>
  </si>
  <si>
    <t>age.3</t>
  </si>
  <si>
    <t>age.4</t>
  </si>
  <si>
    <t>age.5</t>
  </si>
  <si>
    <t>age.6</t>
  </si>
  <si>
    <t>NA</t>
  </si>
  <si>
    <t>Yukon River summer chum</t>
  </si>
  <si>
    <t xml:space="preserve">Year </t>
  </si>
  <si>
    <t>Sub. Dist. 6 Comm</t>
  </si>
  <si>
    <t>Sub. Dist. 6 Sub</t>
  </si>
  <si>
    <t xml:space="preserve"> Unalakleet R Sport</t>
  </si>
  <si>
    <t>Total Harvest</t>
  </si>
  <si>
    <t>Subdistrict 6 (Unalakleet) Harvest</t>
  </si>
  <si>
    <t>Air Survey Counts</t>
  </si>
  <si>
    <t>Proportion North R (tagging)</t>
  </si>
  <si>
    <t>North R. Tower</t>
  </si>
  <si>
    <t>Unalakleet R Weir</t>
  </si>
  <si>
    <t>age 4</t>
  </si>
  <si>
    <t>age 5</t>
  </si>
  <si>
    <t>age 6</t>
  </si>
  <si>
    <t>age 7</t>
  </si>
  <si>
    <t>CPUE comm fishery</t>
  </si>
  <si>
    <t>Pooled Scale Age Counts</t>
  </si>
  <si>
    <t>all</t>
  </si>
  <si>
    <t>S</t>
  </si>
  <si>
    <t>Escapements and harvests in 1000s.</t>
  </si>
  <si>
    <r>
      <t>Escapement</t>
    </r>
    <r>
      <rPr>
        <b/>
        <vertAlign val="superscript"/>
        <sz val="10"/>
        <color rgb="FF000000"/>
        <rFont val="Calibri"/>
        <family val="2"/>
        <scheme val="minor"/>
      </rPr>
      <t>b</t>
    </r>
  </si>
  <si>
    <t>Ricker Estimation Lab 2019.xls</t>
  </si>
  <si>
    <t>EGM vs HRM</t>
  </si>
  <si>
    <t>Estimated SRR params</t>
  </si>
  <si>
    <t>SRR params</t>
  </si>
  <si>
    <t>RSR params</t>
  </si>
  <si>
    <t>Estimates</t>
  </si>
  <si>
    <t>Error</t>
  </si>
  <si>
    <t>LINEST()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</si>
  <si>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</t>
    </r>
  </si>
  <si>
    <t>a</t>
  </si>
  <si>
    <t>F1</t>
  </si>
  <si>
    <r>
      <t>ln(</t>
    </r>
    <r>
      <rPr>
        <b/>
        <sz val="14"/>
        <rFont val="Symbol"/>
        <family val="1"/>
        <charset val="2"/>
      </rPr>
      <t>a</t>
    </r>
    <r>
      <rPr>
        <b/>
        <sz val="14"/>
        <rFont val="Arial"/>
        <family val="2"/>
      </rPr>
      <t>)^</t>
    </r>
  </si>
  <si>
    <t>ln(a')^</t>
  </si>
  <si>
    <t>F1(rate)</t>
  </si>
  <si>
    <r>
      <t>b</t>
    </r>
    <r>
      <rPr>
        <b/>
        <sz val="14"/>
        <rFont val="Calibri"/>
        <family val="2"/>
        <scheme val="minor"/>
      </rPr>
      <t>^</t>
    </r>
  </si>
  <si>
    <r>
      <t>s</t>
    </r>
    <r>
      <rPr>
        <b/>
        <vertAlign val="subscript"/>
        <sz val="14"/>
        <rFont val="Arial"/>
        <family val="2"/>
      </rPr>
      <t>W</t>
    </r>
  </si>
  <si>
    <r>
      <t>s</t>
    </r>
    <r>
      <rPr>
        <vertAlign val="subscript"/>
        <sz val="14"/>
        <rFont val="Arial"/>
        <family val="2"/>
      </rPr>
      <t>R</t>
    </r>
  </si>
  <si>
    <t>SGoal</t>
  </si>
  <si>
    <r>
      <t>s</t>
    </r>
    <r>
      <rPr>
        <b/>
        <vertAlign val="subscript"/>
        <sz val="14"/>
        <rFont val="Calibri"/>
        <family val="2"/>
        <scheme val="minor"/>
      </rPr>
      <t>w</t>
    </r>
    <r>
      <rPr>
        <b/>
        <sz val="14"/>
        <rFont val="Calibri"/>
        <family val="2"/>
        <scheme val="minor"/>
      </rPr>
      <t>^</t>
    </r>
  </si>
  <si>
    <t>f</t>
  </si>
  <si>
    <t>F2</t>
  </si>
  <si>
    <r>
      <t>S</t>
    </r>
    <r>
      <rPr>
        <b/>
        <vertAlign val="subscript"/>
        <sz val="14"/>
        <rFont val="Arial"/>
        <family val="2"/>
      </rPr>
      <t>MAX</t>
    </r>
  </si>
  <si>
    <t>F2(rate)</t>
  </si>
  <si>
    <r>
      <t>S</t>
    </r>
    <r>
      <rPr>
        <b/>
        <vertAlign val="subscript"/>
        <sz val="14"/>
        <rFont val="Arial"/>
        <family val="2"/>
      </rPr>
      <t>MAX</t>
    </r>
    <r>
      <rPr>
        <b/>
        <sz val="14"/>
        <rFont val="Arial"/>
        <family val="2"/>
      </rPr>
      <t>^</t>
    </r>
  </si>
  <si>
    <r>
      <t>S</t>
    </r>
    <r>
      <rPr>
        <b/>
        <vertAlign val="subscript"/>
        <sz val="14"/>
        <rFont val="Arial"/>
        <family val="2"/>
      </rPr>
      <t>EQ</t>
    </r>
  </si>
  <si>
    <r>
      <t>s</t>
    </r>
    <r>
      <rPr>
        <b/>
        <vertAlign val="subscript"/>
        <sz val="14"/>
        <rFont val="Arial"/>
        <family val="2"/>
      </rPr>
      <t>F</t>
    </r>
  </si>
  <si>
    <r>
      <t>S</t>
    </r>
    <r>
      <rPr>
        <b/>
        <vertAlign val="subscript"/>
        <sz val="14"/>
        <rFont val="Arial"/>
        <family val="2"/>
      </rPr>
      <t>EQ</t>
    </r>
    <r>
      <rPr>
        <b/>
        <sz val="14"/>
        <rFont val="Arial"/>
        <family val="2"/>
      </rPr>
      <t>^</t>
    </r>
  </si>
  <si>
    <r>
      <t>S</t>
    </r>
    <r>
      <rPr>
        <b/>
        <vertAlign val="subscript"/>
        <sz val="14"/>
        <rFont val="Arial"/>
        <family val="2"/>
      </rPr>
      <t>MSY</t>
    </r>
  </si>
  <si>
    <r>
      <t>S</t>
    </r>
    <r>
      <rPr>
        <b/>
        <vertAlign val="subscript"/>
        <sz val="14"/>
        <rFont val="Arial"/>
        <family val="2"/>
      </rPr>
      <t>MSY</t>
    </r>
    <r>
      <rPr>
        <b/>
        <sz val="14"/>
        <rFont val="Arial"/>
        <family val="2"/>
      </rPr>
      <t>^</t>
    </r>
  </si>
  <si>
    <r>
      <t>U</t>
    </r>
    <r>
      <rPr>
        <b/>
        <vertAlign val="subscript"/>
        <sz val="14"/>
        <rFont val="Arial"/>
        <family val="2"/>
      </rPr>
      <t>MSY</t>
    </r>
  </si>
  <si>
    <t xml:space="preserve"> median S</t>
  </si>
  <si>
    <r>
      <t>U</t>
    </r>
    <r>
      <rPr>
        <b/>
        <vertAlign val="subscript"/>
        <sz val="14"/>
        <rFont val="Arial"/>
        <family val="2"/>
      </rPr>
      <t>MSY</t>
    </r>
    <r>
      <rPr>
        <b/>
        <sz val="14"/>
        <rFont val="Arial"/>
        <family val="2"/>
      </rPr>
      <t>^</t>
    </r>
  </si>
  <si>
    <t>For plots</t>
  </si>
  <si>
    <r>
      <t>R</t>
    </r>
    <r>
      <rPr>
        <b/>
        <vertAlign val="subscript"/>
        <sz val="14"/>
        <rFont val="Arial"/>
        <family val="2"/>
      </rPr>
      <t>MSY</t>
    </r>
  </si>
  <si>
    <t>15 yr contrast</t>
  </si>
  <si>
    <t>MSY</t>
  </si>
  <si>
    <t>Fmax</t>
  </si>
  <si>
    <t>mu.max</t>
  </si>
  <si>
    <t>F</t>
  </si>
  <si>
    <r>
      <t>s</t>
    </r>
    <r>
      <rPr>
        <b/>
        <vertAlign val="subscript"/>
        <sz val="14"/>
        <rFont val="Arial"/>
        <family val="2"/>
      </rPr>
      <t>S</t>
    </r>
  </si>
  <si>
    <t>red</t>
  </si>
  <si>
    <t>white</t>
  </si>
  <si>
    <t>observed</t>
  </si>
  <si>
    <t>fitted</t>
  </si>
  <si>
    <t>S^</t>
  </si>
  <si>
    <t>E1[R]</t>
  </si>
  <si>
    <t>E2[R]</t>
  </si>
  <si>
    <t>R</t>
  </si>
  <si>
    <t>resid</t>
  </si>
  <si>
    <r>
      <t>e</t>
    </r>
    <r>
      <rPr>
        <vertAlign val="subscript"/>
        <sz val="12"/>
        <rFont val="Arial"/>
        <family val="2"/>
      </rPr>
      <t>F</t>
    </r>
  </si>
  <si>
    <t>RGoal</t>
  </si>
  <si>
    <t>F1t</t>
  </si>
  <si>
    <t>H</t>
  </si>
  <si>
    <t>R^</t>
  </si>
  <si>
    <t>lnR^/S^</t>
  </si>
  <si>
    <t>CONTRAST</t>
  </si>
  <si>
    <t>Bin</t>
  </si>
  <si>
    <t>THRESH</t>
  </si>
  <si>
    <t>SGOAL</t>
  </si>
  <si>
    <t>TOTAL RECRUITS</t>
  </si>
  <si>
    <t>FOR SRA</t>
  </si>
  <si>
    <t>HARVEST</t>
  </si>
  <si>
    <t>HARVEST RATE</t>
  </si>
  <si>
    <t>AGE 3</t>
  </si>
  <si>
    <t>AGE 4</t>
  </si>
  <si>
    <t>AGE 5</t>
  </si>
  <si>
    <t>AGE 6</t>
  </si>
  <si>
    <t>RECRUITS</t>
  </si>
  <si>
    <r>
      <rPr>
        <b/>
        <sz val="11"/>
        <color rgb="FFFF0000"/>
        <rFont val="Calibri"/>
        <family val="2"/>
        <scheme val="minor"/>
      </rPr>
      <t>AERIAL SURVEY COUNTS</t>
    </r>
    <r>
      <rPr>
        <sz val="11"/>
        <color theme="0" tint="-0.249977111117893"/>
        <rFont val="Calibri"/>
        <family val="2"/>
        <scheme val="minor"/>
      </rPr>
      <t xml:space="preserve"> by District</t>
    </r>
  </si>
  <si>
    <t>PWS-wide</t>
  </si>
  <si>
    <t>EXPANDED AIR SURVEY COUNTS</t>
  </si>
  <si>
    <t>RECRUITMENT</t>
  </si>
  <si>
    <t>TOTAL RECRUITMENT</t>
  </si>
  <si>
    <t>EVEN YEARS</t>
  </si>
  <si>
    <t>FOR PERCENTILE METHOD</t>
  </si>
  <si>
    <t>ANNUAL RUN</t>
  </si>
  <si>
    <t>ANNUAL RUN BY AGE</t>
  </si>
  <si>
    <t>Test Fish age composition counts</t>
  </si>
  <si>
    <t>Reconstruct Drainagewide Escapement</t>
  </si>
  <si>
    <t>Tower + Weir</t>
  </si>
  <si>
    <t>Tower / p_tag</t>
  </si>
  <si>
    <t>Tower / p_ave</t>
  </si>
  <si>
    <t>ESC</t>
  </si>
  <si>
    <t>RUN</t>
  </si>
  <si>
    <t>ABUNDANCE MEASURE OF :</t>
  </si>
  <si>
    <t>ETC</t>
  </si>
  <si>
    <t>p_tower</t>
  </si>
  <si>
    <t>PROP COUNTED</t>
  </si>
  <si>
    <t>Jacks</t>
  </si>
  <si>
    <t>Adults</t>
  </si>
  <si>
    <t>Adult Terminal Run</t>
  </si>
  <si>
    <t>Harvest Rate</t>
  </si>
  <si>
    <t>1.0</t>
  </si>
  <si>
    <t>1.1</t>
  </si>
  <si>
    <t>2.0</t>
  </si>
  <si>
    <t>2.1</t>
  </si>
  <si>
    <t>Age Count Data from Escapement</t>
  </si>
  <si>
    <t>Age 3</t>
  </si>
  <si>
    <t>Age 2</t>
  </si>
  <si>
    <t>Age 4</t>
  </si>
  <si>
    <t>w/o Jacks</t>
  </si>
  <si>
    <t>with Jacks</t>
  </si>
  <si>
    <t>total</t>
  </si>
  <si>
    <t>Proportion of returns by age class in fisheries and escapement</t>
  </si>
  <si>
    <t>Above &amp; below weir sport age class proportions</t>
  </si>
  <si>
    <t>Recruits</t>
  </si>
  <si>
    <t>Spawners</t>
  </si>
  <si>
    <t>Weir Count</t>
  </si>
  <si>
    <t>Above weir sport</t>
  </si>
  <si>
    <t>Below weir sport</t>
  </si>
  <si>
    <t>Commercial gillnet</t>
  </si>
  <si>
    <t>Subsistence</t>
  </si>
  <si>
    <t>Terminal Run</t>
  </si>
  <si>
    <t>Age-.2 and older</t>
  </si>
  <si>
    <t>Age-.3 and older</t>
  </si>
  <si>
    <t>average</t>
  </si>
  <si>
    <t>Commercial gillnet age class proportions</t>
  </si>
  <si>
    <t>Weir counts age class proportions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</si>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</sst>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General_)"/>
    <numFmt numFmtId="166" formatCode="m/d;@"/>
    <numFmt numFmtId="167" formatCode="#,##0.000000"/>
    <numFmt numFmtId="168" formatCode="0.00000"/>
    <numFmt numFmtId="169" formatCode="0;[Red]0"/>
    <numFmt numFmtId="170" formatCode="0.00;[Red]0.00"/>
    <numFmt numFmtId="171" formatCode="0.000"/>
    <numFmt numFmtId="172" formatCode="0_);\(0\)"/>
    <numFmt numFmtId="173" formatCode="#,##0.0"/>
  </numFmts>
  <fonts count="6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FF"/>
      <name val="Times New Roman"/>
      <family val="1"/>
    </font>
    <font>
      <sz val="11"/>
      <color rgb="FF0000FF"/>
      <name val="Calibri"/>
      <family val="2"/>
      <scheme val="minor"/>
    </font>
    <font>
      <sz val="11"/>
      <color rgb="FF0000FF"/>
      <name val="Calibri"/>
      <family val="2"/>
    </font>
    <font>
      <i/>
      <sz val="10"/>
      <name val="Times New Roman"/>
      <family val="1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vertAlign val="superscript"/>
      <sz val="10"/>
      <color rgb="FF000000"/>
      <name val="Calibri"/>
      <family val="2"/>
      <scheme val="minor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Symbol"/>
      <family val="1"/>
      <charset val="2"/>
    </font>
    <font>
      <sz val="14"/>
      <color rgb="FF0000FF"/>
      <name val="Arial"/>
      <family val="2"/>
    </font>
    <font>
      <b/>
      <sz val="14"/>
      <name val="Calibri"/>
      <family val="2"/>
      <scheme val="minor"/>
    </font>
    <font>
      <b/>
      <vertAlign val="subscript"/>
      <sz val="14"/>
      <name val="Arial"/>
      <family val="2"/>
    </font>
    <font>
      <sz val="14"/>
      <name val="Symbol"/>
      <family val="1"/>
      <charset val="2"/>
    </font>
    <font>
      <vertAlign val="subscript"/>
      <sz val="14"/>
      <name val="Arial"/>
      <family val="2"/>
    </font>
    <font>
      <b/>
      <vertAlign val="subscript"/>
      <sz val="14"/>
      <name val="Calibri"/>
      <family val="2"/>
      <scheme val="minor"/>
    </font>
    <font>
      <b/>
      <sz val="10"/>
      <name val="Symbol"/>
      <family val="1"/>
      <charset val="2"/>
    </font>
    <font>
      <sz val="14"/>
      <color indexed="12"/>
      <name val="Arial"/>
      <family val="2"/>
    </font>
    <font>
      <sz val="10"/>
      <color indexed="12"/>
      <name val="Arial"/>
      <family val="2"/>
    </font>
    <font>
      <b/>
      <sz val="14"/>
      <color theme="1"/>
      <name val="Arial"/>
      <family val="2"/>
    </font>
    <font>
      <sz val="14"/>
      <color indexed="10"/>
      <name val="Arial"/>
      <family val="2"/>
    </font>
    <font>
      <sz val="12"/>
      <name val="Arial"/>
      <family val="2"/>
    </font>
    <font>
      <sz val="12"/>
      <name val="Symbol"/>
      <family val="1"/>
      <charset val="2"/>
    </font>
    <font>
      <vertAlign val="subscript"/>
      <sz val="12"/>
      <name val="Arial"/>
      <family val="2"/>
    </font>
    <font>
      <b/>
      <sz val="12"/>
      <name val="Arial"/>
      <family val="2"/>
    </font>
    <font>
      <b/>
      <sz val="11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0"/>
      <color rgb="FF00B050"/>
      <name val="Times New Roman"/>
      <family val="1"/>
    </font>
    <font>
      <b/>
      <sz val="10"/>
      <color rgb="FF0070C0"/>
      <name val="Times New Roman"/>
      <family val="1"/>
    </font>
    <font>
      <sz val="10"/>
      <color rgb="FFFF0000"/>
      <name val="Times New Roman"/>
      <family val="1"/>
    </font>
    <font>
      <sz val="10"/>
      <color theme="9" tint="-0.249977111117893"/>
      <name val="Times New Roman"/>
      <family val="1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D9D9D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5">
    <xf numFmtId="0" fontId="0" fillId="0" borderId="0"/>
    <xf numFmtId="165" fontId="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9" fillId="0" borderId="0"/>
    <xf numFmtId="0" fontId="2" fillId="0" borderId="0"/>
    <xf numFmtId="0" fontId="24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7" fillId="0" borderId="0" applyNumberFormat="0" applyFill="0" applyBorder="0" applyAlignment="0" applyProtection="0"/>
  </cellStyleXfs>
  <cellXfs count="30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3" fontId="0" fillId="0" borderId="0" xfId="0" applyNumberFormat="1"/>
    <xf numFmtId="3" fontId="0" fillId="0" borderId="1" xfId="0" applyNumberFormat="1" applyBorder="1"/>
    <xf numFmtId="0" fontId="14" fillId="0" borderId="0" xfId="6" applyFont="1"/>
    <xf numFmtId="0" fontId="14" fillId="0" borderId="0" xfId="6" applyFont="1" applyAlignment="1">
      <alignment horizontal="right"/>
    </xf>
    <xf numFmtId="0" fontId="14" fillId="0" borderId="1" xfId="6" applyFont="1" applyBorder="1" applyAlignment="1">
      <alignment horizontal="right" wrapText="1"/>
    </xf>
    <xf numFmtId="0" fontId="14" fillId="0" borderId="1" xfId="6" applyFont="1" applyBorder="1" applyAlignment="1">
      <alignment horizontal="right"/>
    </xf>
    <xf numFmtId="166" fontId="14" fillId="0" borderId="1" xfId="6" applyNumberFormat="1" applyFont="1" applyBorder="1" applyAlignment="1">
      <alignment horizontal="right" wrapText="1"/>
    </xf>
    <xf numFmtId="0" fontId="14" fillId="0" borderId="0" xfId="6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0" fontId="14" fillId="0" borderId="0" xfId="7" applyFont="1" applyAlignment="1">
      <alignment horizontal="right"/>
    </xf>
    <xf numFmtId="167" fontId="14" fillId="0" borderId="0" xfId="6" applyNumberFormat="1" applyFont="1"/>
    <xf numFmtId="0" fontId="14" fillId="0" borderId="0" xfId="6" applyFont="1" applyAlignment="1">
      <alignment horizontal="center" wrapText="1"/>
    </xf>
    <xf numFmtId="0" fontId="14" fillId="0" borderId="0" xfId="7" applyFont="1" applyAlignment="1">
      <alignment horizontal="left"/>
    </xf>
    <xf numFmtId="0" fontId="14" fillId="0" borderId="1" xfId="6" applyFont="1" applyBorder="1" applyAlignment="1">
      <alignment horizontal="right" vertical="center" wrapText="1"/>
    </xf>
    <xf numFmtId="0" fontId="2" fillId="0" borderId="0" xfId="8" applyNumberFormat="1" applyFont="1" applyFill="1" applyAlignment="1"/>
    <xf numFmtId="0" fontId="2" fillId="0" borderId="0" xfId="8" applyNumberFormat="1" applyFont="1" applyAlignment="1"/>
    <xf numFmtId="2" fontId="2" fillId="0" borderId="0" xfId="8" applyNumberFormat="1" applyFont="1" applyAlignment="1"/>
    <xf numFmtId="0" fontId="13" fillId="0" borderId="0" xfId="6" applyFont="1" applyBorder="1" applyAlignment="1">
      <alignment horizontal="right"/>
    </xf>
    <xf numFmtId="0" fontId="14" fillId="0" borderId="0" xfId="6" applyFont="1" applyBorder="1" applyAlignment="1">
      <alignment horizontal="center" wrapText="1"/>
    </xf>
    <xf numFmtId="0" fontId="14" fillId="0" borderId="0" xfId="6" applyFont="1" applyBorder="1" applyAlignment="1">
      <alignment horizontal="right"/>
    </xf>
    <xf numFmtId="0" fontId="14" fillId="0" borderId="0" xfId="6" applyFont="1" applyBorder="1"/>
    <xf numFmtId="0" fontId="16" fillId="0" borderId="0" xfId="6" applyFont="1" applyAlignment="1">
      <alignment horizontal="right"/>
    </xf>
    <xf numFmtId="0" fontId="16" fillId="0" borderId="0" xfId="6" applyFont="1"/>
    <xf numFmtId="0" fontId="16" fillId="0" borderId="0" xfId="6" applyFont="1" applyAlignment="1">
      <alignment horizontal="right" vertical="center" wrapText="1"/>
    </xf>
    <xf numFmtId="3" fontId="16" fillId="0" borderId="0" xfId="0" applyNumberFormat="1" applyFont="1" applyAlignment="1">
      <alignment horizontal="right" vertical="center"/>
    </xf>
    <xf numFmtId="0" fontId="17" fillId="0" borderId="0" xfId="8" applyNumberFormat="1" applyFont="1"/>
    <xf numFmtId="0" fontId="16" fillId="0" borderId="0" xfId="7" applyFont="1" applyAlignment="1">
      <alignment horizontal="right"/>
    </xf>
    <xf numFmtId="4" fontId="16" fillId="0" borderId="0" xfId="0" applyNumberFormat="1" applyFont="1" applyAlignment="1">
      <alignment horizontal="right" vertical="center"/>
    </xf>
    <xf numFmtId="2" fontId="16" fillId="0" borderId="0" xfId="6" applyNumberFormat="1" applyFont="1"/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right" vertical="center"/>
    </xf>
    <xf numFmtId="0" fontId="14" fillId="4" borderId="0" xfId="6" applyFont="1" applyFill="1"/>
    <xf numFmtId="0" fontId="19" fillId="0" borderId="0" xfId="6" applyFont="1"/>
    <xf numFmtId="0" fontId="2" fillId="0" borderId="0" xfId="4" applyFont="1" applyAlignment="1">
      <alignment vertical="center"/>
    </xf>
    <xf numFmtId="0" fontId="2" fillId="0" borderId="0" xfId="4" applyFont="1"/>
    <xf numFmtId="0" fontId="15" fillId="0" borderId="0" xfId="4" applyFont="1"/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0" borderId="0" xfId="4" applyFont="1" applyAlignment="1">
      <alignment horizontal="right"/>
    </xf>
    <xf numFmtId="0" fontId="2" fillId="2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right" vertical="center"/>
    </xf>
    <xf numFmtId="0" fontId="7" fillId="2" borderId="1" xfId="4" applyFont="1" applyFill="1" applyBorder="1" applyAlignment="1">
      <alignment horizontal="right" vertical="center"/>
    </xf>
    <xf numFmtId="0" fontId="7" fillId="2" borderId="1" xfId="4" applyFont="1" applyFill="1" applyBorder="1" applyAlignment="1">
      <alignment vertical="center"/>
    </xf>
    <xf numFmtId="0" fontId="7" fillId="0" borderId="0" xfId="4" applyFont="1" applyFill="1" applyBorder="1" applyAlignment="1">
      <alignment horizontal="right" vertical="center"/>
    </xf>
    <xf numFmtId="0" fontId="7" fillId="2" borderId="0" xfId="4" applyFont="1" applyFill="1" applyBorder="1" applyAlignment="1">
      <alignment horizontal="right" vertical="center"/>
    </xf>
    <xf numFmtId="0" fontId="7" fillId="2" borderId="0" xfId="4" applyFont="1" applyFill="1" applyBorder="1" applyAlignment="1">
      <alignment vertical="center"/>
    </xf>
    <xf numFmtId="0" fontId="2" fillId="0" borderId="0" xfId="4" applyFont="1" applyBorder="1"/>
    <xf numFmtId="0" fontId="2" fillId="0" borderId="0" xfId="4" applyFont="1" applyBorder="1" applyAlignment="1">
      <alignment horizontal="right"/>
    </xf>
    <xf numFmtId="0" fontId="2" fillId="3" borderId="5" xfId="4" applyFont="1" applyFill="1" applyBorder="1" applyAlignment="1">
      <alignment vertical="center"/>
    </xf>
    <xf numFmtId="0" fontId="2" fillId="3" borderId="5" xfId="4" applyFont="1" applyFill="1" applyBorder="1" applyAlignment="1">
      <alignment horizontal="center" vertical="center"/>
    </xf>
    <xf numFmtId="3" fontId="2" fillId="0" borderId="0" xfId="4" applyNumberFormat="1" applyFont="1"/>
    <xf numFmtId="0" fontId="2" fillId="2" borderId="5" xfId="4" applyFont="1" applyFill="1" applyBorder="1" applyAlignment="1">
      <alignment horizontal="center" vertical="center"/>
    </xf>
    <xf numFmtId="3" fontId="2" fillId="2" borderId="5" xfId="4" applyNumberFormat="1" applyFont="1" applyFill="1" applyBorder="1" applyAlignment="1">
      <alignment horizontal="right" vertical="center"/>
    </xf>
    <xf numFmtId="0" fontId="2" fillId="2" borderId="5" xfId="4" applyFont="1" applyFill="1" applyBorder="1" applyAlignment="1">
      <alignment vertical="center"/>
    </xf>
    <xf numFmtId="0" fontId="2" fillId="2" borderId="5" xfId="4" applyFont="1" applyFill="1" applyBorder="1" applyAlignment="1">
      <alignment horizontal="right" vertical="center"/>
    </xf>
    <xf numFmtId="3" fontId="2" fillId="2" borderId="1" xfId="4" applyNumberFormat="1" applyFont="1" applyFill="1" applyBorder="1" applyAlignment="1">
      <alignment horizontal="right" vertical="center"/>
    </xf>
    <xf numFmtId="3" fontId="2" fillId="0" borderId="1" xfId="4" applyNumberFormat="1" applyFont="1" applyBorder="1"/>
    <xf numFmtId="0" fontId="2" fillId="0" borderId="0" xfId="4" applyFont="1" applyAlignment="1">
      <alignment horizontal="left"/>
    </xf>
    <xf numFmtId="0" fontId="11" fillId="0" borderId="0" xfId="10" applyFont="1" applyFill="1" applyBorder="1" applyAlignment="1"/>
    <xf numFmtId="0" fontId="10" fillId="0" borderId="0" xfId="10" applyFont="1" applyFill="1"/>
    <xf numFmtId="0" fontId="10" fillId="0" borderId="1" xfId="10" applyFont="1" applyFill="1" applyBorder="1" applyAlignment="1">
      <alignment horizontal="right"/>
    </xf>
    <xf numFmtId="0" fontId="5" fillId="0" borderId="0" xfId="4" applyFont="1" applyAlignment="1">
      <alignment horizontal="center"/>
    </xf>
    <xf numFmtId="0" fontId="5" fillId="0" borderId="0" xfId="4" applyFont="1" applyAlignment="1">
      <alignment horizontal="right"/>
    </xf>
    <xf numFmtId="164" fontId="2" fillId="0" borderId="0" xfId="4" applyNumberFormat="1" applyFont="1" applyAlignment="1">
      <alignment horizontal="right"/>
    </xf>
    <xf numFmtId="1" fontId="17" fillId="0" borderId="0" xfId="4" applyNumberFormat="1" applyFont="1"/>
    <xf numFmtId="1" fontId="2" fillId="0" borderId="0" xfId="4" applyNumberFormat="1" applyFont="1"/>
    <xf numFmtId="0" fontId="5" fillId="0" borderId="0" xfId="4" applyFont="1" applyFill="1" applyAlignment="1">
      <alignment horizontal="center"/>
    </xf>
    <xf numFmtId="0" fontId="5" fillId="0" borderId="0" xfId="4" applyFont="1" applyFill="1" applyAlignment="1">
      <alignment horizontal="right"/>
    </xf>
    <xf numFmtId="164" fontId="2" fillId="0" borderId="0" xfId="4" applyNumberFormat="1" applyFont="1" applyFill="1" applyAlignment="1">
      <alignment horizontal="right"/>
    </xf>
    <xf numFmtId="0" fontId="5" fillId="0" borderId="0" xfId="4" applyFont="1" applyFill="1" applyBorder="1" applyAlignment="1">
      <alignment horizontal="center"/>
    </xf>
    <xf numFmtId="0" fontId="5" fillId="0" borderId="0" xfId="4" applyFont="1" applyFill="1" applyBorder="1" applyAlignment="1">
      <alignment horizontal="right"/>
    </xf>
    <xf numFmtId="164" fontId="5" fillId="0" borderId="0" xfId="4" applyNumberFormat="1" applyFont="1" applyFill="1" applyAlignment="1">
      <alignment horizontal="right"/>
    </xf>
    <xf numFmtId="164" fontId="5" fillId="0" borderId="0" xfId="4" applyNumberFormat="1" applyFont="1" applyFill="1" applyBorder="1" applyAlignment="1">
      <alignment horizontal="right"/>
    </xf>
    <xf numFmtId="0" fontId="5" fillId="0" borderId="1" xfId="4" applyFont="1" applyFill="1" applyBorder="1" applyAlignment="1">
      <alignment horizontal="center"/>
    </xf>
    <xf numFmtId="164" fontId="5" fillId="0" borderId="1" xfId="4" applyNumberFormat="1" applyFont="1" applyFill="1" applyBorder="1" applyAlignment="1">
      <alignment horizontal="right"/>
    </xf>
    <xf numFmtId="164" fontId="2" fillId="0" borderId="1" xfId="4" applyNumberFormat="1" applyFont="1" applyFill="1" applyBorder="1" applyAlignment="1">
      <alignment horizontal="right"/>
    </xf>
    <xf numFmtId="0" fontId="6" fillId="0" borderId="0" xfId="4" applyFont="1"/>
    <xf numFmtId="0" fontId="4" fillId="0" borderId="0" xfId="4" applyFont="1"/>
    <xf numFmtId="0" fontId="2" fillId="0" borderId="0" xfId="10" applyFont="1"/>
    <xf numFmtId="0" fontId="2" fillId="0" borderId="2" xfId="10" applyFont="1" applyBorder="1" applyAlignment="1">
      <alignment horizontal="left"/>
    </xf>
    <xf numFmtId="0" fontId="2" fillId="0" borderId="2" xfId="10" applyFont="1" applyBorder="1"/>
    <xf numFmtId="0" fontId="2" fillId="0" borderId="3" xfId="10" applyFont="1" applyBorder="1" applyAlignment="1">
      <alignment horizontal="centerContinuous"/>
    </xf>
    <xf numFmtId="0" fontId="2" fillId="0" borderId="1" xfId="10" applyFont="1" applyBorder="1" applyAlignment="1">
      <alignment horizontal="left"/>
    </xf>
    <xf numFmtId="0" fontId="2" fillId="0" borderId="1" xfId="10" applyFont="1" applyBorder="1" applyAlignment="1">
      <alignment horizontal="right"/>
    </xf>
    <xf numFmtId="0" fontId="3" fillId="0" borderId="1" xfId="10" applyFont="1" applyBorder="1" applyAlignment="1">
      <alignment horizontal="right"/>
    </xf>
    <xf numFmtId="0" fontId="2" fillId="0" borderId="0" xfId="10" applyFont="1" applyAlignment="1">
      <alignment horizontal="left"/>
    </xf>
    <xf numFmtId="3" fontId="2" fillId="0" borderId="0" xfId="10" applyNumberFormat="1" applyFont="1" applyFill="1" applyBorder="1" applyAlignment="1">
      <alignment horizontal="right"/>
    </xf>
    <xf numFmtId="3" fontId="2" fillId="0" borderId="0" xfId="10" applyNumberFormat="1" applyFont="1"/>
    <xf numFmtId="3" fontId="2" fillId="0" borderId="0" xfId="10" applyNumberFormat="1" applyFont="1" applyFill="1"/>
    <xf numFmtId="0" fontId="20" fillId="0" borderId="0" xfId="10" applyFont="1"/>
    <xf numFmtId="2" fontId="2" fillId="0" borderId="0" xfId="10" applyNumberFormat="1" applyFont="1"/>
    <xf numFmtId="1" fontId="2" fillId="0" borderId="0" xfId="10" applyNumberFormat="1" applyFont="1"/>
    <xf numFmtId="1" fontId="2" fillId="0" borderId="1" xfId="10" applyNumberFormat="1" applyFont="1" applyBorder="1"/>
    <xf numFmtId="3" fontId="0" fillId="0" borderId="0" xfId="10" applyNumberFormat="1" applyFont="1"/>
    <xf numFmtId="0" fontId="0" fillId="0" borderId="0" xfId="4" applyFont="1" applyBorder="1"/>
    <xf numFmtId="0" fontId="10" fillId="0" borderId="1" xfId="10" applyFont="1" applyFill="1" applyBorder="1"/>
    <xf numFmtId="0" fontId="21" fillId="0" borderId="0" xfId="4" applyFont="1" applyBorder="1"/>
    <xf numFmtId="0" fontId="21" fillId="0" borderId="0" xfId="4" applyFont="1" applyBorder="1" applyAlignment="1">
      <alignment horizontal="right"/>
    </xf>
    <xf numFmtId="0" fontId="22" fillId="0" borderId="4" xfId="4" applyFont="1" applyBorder="1" applyAlignment="1">
      <alignment horizontal="center"/>
    </xf>
    <xf numFmtId="0" fontId="22" fillId="0" borderId="4" xfId="4" applyFont="1" applyBorder="1" applyAlignment="1">
      <alignment horizontal="right"/>
    </xf>
    <xf numFmtId="0" fontId="21" fillId="0" borderId="4" xfId="4" applyFont="1" applyBorder="1" applyAlignment="1">
      <alignment horizontal="right"/>
    </xf>
    <xf numFmtId="0" fontId="25" fillId="0" borderId="0" xfId="11" applyFont="1"/>
    <xf numFmtId="0" fontId="26" fillId="0" borderId="0" xfId="11" applyFont="1"/>
    <xf numFmtId="0" fontId="24" fillId="0" borderId="0" xfId="11"/>
    <xf numFmtId="0" fontId="24" fillId="0" borderId="0" xfId="11" applyAlignment="1">
      <alignment horizontal="right"/>
    </xf>
    <xf numFmtId="0" fontId="24" fillId="0" borderId="0" xfId="11" applyFill="1" applyBorder="1"/>
    <xf numFmtId="0" fontId="24" fillId="0" borderId="0" xfId="11" applyFill="1"/>
    <xf numFmtId="0" fontId="27" fillId="0" borderId="0" xfId="11" applyFont="1" applyAlignment="1">
      <alignment horizontal="center"/>
    </xf>
    <xf numFmtId="0" fontId="9" fillId="0" borderId="0" xfId="11" applyFont="1" applyAlignment="1">
      <alignment horizontal="right"/>
    </xf>
    <xf numFmtId="2" fontId="28" fillId="0" borderId="0" xfId="11" applyNumberFormat="1" applyFont="1" applyAlignment="1">
      <alignment horizontal="right"/>
    </xf>
    <xf numFmtId="0" fontId="29" fillId="0" borderId="0" xfId="11" applyFont="1"/>
    <xf numFmtId="0" fontId="29" fillId="0" borderId="0" xfId="11" applyFont="1" applyFill="1" applyBorder="1"/>
    <xf numFmtId="0" fontId="27" fillId="0" borderId="0" xfId="11" applyFont="1" applyAlignment="1">
      <alignment horizontal="right"/>
    </xf>
    <xf numFmtId="2" fontId="27" fillId="5" borderId="6" xfId="11" applyNumberFormat="1" applyFont="1" applyFill="1" applyBorder="1"/>
    <xf numFmtId="2" fontId="29" fillId="6" borderId="7" xfId="11" applyNumberFormat="1" applyFont="1" applyFill="1" applyBorder="1" applyAlignment="1">
      <alignment horizontal="right"/>
    </xf>
    <xf numFmtId="164" fontId="27" fillId="0" borderId="0" xfId="11" applyNumberFormat="1" applyFont="1"/>
    <xf numFmtId="0" fontId="30" fillId="0" borderId="0" xfId="11" applyFont="1" applyAlignment="1">
      <alignment horizontal="left"/>
    </xf>
    <xf numFmtId="2" fontId="31" fillId="0" borderId="0" xfId="11" applyNumberFormat="1" applyFont="1" applyAlignment="1">
      <alignment horizontal="right"/>
    </xf>
    <xf numFmtId="0" fontId="27" fillId="0" borderId="0" xfId="11" applyFont="1"/>
    <xf numFmtId="2" fontId="27" fillId="7" borderId="8" xfId="11" applyNumberFormat="1" applyFont="1" applyFill="1" applyBorder="1"/>
    <xf numFmtId="9" fontId="27" fillId="0" borderId="0" xfId="3" applyFont="1"/>
    <xf numFmtId="2" fontId="29" fillId="7" borderId="9" xfId="11" applyNumberFormat="1" applyFont="1" applyFill="1" applyBorder="1"/>
    <xf numFmtId="2" fontId="27" fillId="0" borderId="0" xfId="11" applyNumberFormat="1" applyFont="1" applyAlignment="1">
      <alignment horizontal="left"/>
    </xf>
    <xf numFmtId="0" fontId="9" fillId="0" borderId="10" xfId="11" applyNumberFormat="1" applyFont="1" applyFill="1" applyBorder="1"/>
    <xf numFmtId="2" fontId="9" fillId="0" borderId="11" xfId="11" applyNumberFormat="1" applyFont="1" applyFill="1" applyBorder="1"/>
    <xf numFmtId="0" fontId="9" fillId="0" borderId="12" xfId="11" applyNumberFormat="1" applyFont="1" applyFill="1" applyBorder="1"/>
    <xf numFmtId="2" fontId="9" fillId="0" borderId="13" xfId="11" applyNumberFormat="1" applyFont="1" applyFill="1" applyBorder="1"/>
    <xf numFmtId="2" fontId="9" fillId="0" borderId="12" xfId="11" applyNumberFormat="1" applyFont="1" applyFill="1" applyBorder="1"/>
    <xf numFmtId="1" fontId="9" fillId="0" borderId="12" xfId="11" applyNumberFormat="1" applyFont="1" applyFill="1" applyBorder="1" applyAlignment="1">
      <alignment horizontal="right"/>
    </xf>
    <xf numFmtId="1" fontId="9" fillId="0" borderId="13" xfId="11" applyNumberFormat="1" applyFont="1" applyFill="1" applyBorder="1" applyAlignment="1">
      <alignment horizontal="right"/>
    </xf>
    <xf numFmtId="1" fontId="9" fillId="0" borderId="14" xfId="11" applyNumberFormat="1" applyFont="1" applyFill="1" applyBorder="1"/>
    <xf numFmtId="164" fontId="9" fillId="0" borderId="15" xfId="11" applyNumberFormat="1" applyFont="1" applyFill="1" applyBorder="1"/>
    <xf numFmtId="0" fontId="30" fillId="0" borderId="0" xfId="11" applyFont="1" applyAlignment="1">
      <alignment horizontal="right"/>
    </xf>
    <xf numFmtId="168" fontId="29" fillId="5" borderId="16" xfId="11" applyNumberFormat="1" applyFont="1" applyFill="1" applyBorder="1"/>
    <xf numFmtId="2" fontId="29" fillId="6" borderId="16" xfId="11" applyNumberFormat="1" applyFont="1" applyFill="1" applyBorder="1"/>
    <xf numFmtId="168" fontId="27" fillId="7" borderId="17" xfId="11" applyNumberFormat="1" applyFont="1" applyFill="1" applyBorder="1"/>
    <xf numFmtId="2" fontId="29" fillId="5" borderId="16" xfId="11" applyNumberFormat="1" applyFont="1" applyFill="1" applyBorder="1"/>
    <xf numFmtId="2" fontId="29" fillId="6" borderId="7" xfId="11" applyNumberFormat="1" applyFont="1" applyFill="1" applyBorder="1"/>
    <xf numFmtId="0" fontId="34" fillId="0" borderId="0" xfId="11" applyFont="1" applyAlignment="1">
      <alignment horizontal="left"/>
    </xf>
    <xf numFmtId="0" fontId="31" fillId="0" borderId="0" xfId="11" applyFont="1"/>
    <xf numFmtId="1" fontId="27" fillId="4" borderId="16" xfId="11" applyNumberFormat="1" applyFont="1" applyFill="1" applyBorder="1"/>
    <xf numFmtId="2" fontId="27" fillId="7" borderId="18" xfId="11" applyNumberFormat="1" applyFont="1" applyFill="1" applyBorder="1"/>
    <xf numFmtId="2" fontId="29" fillId="8" borderId="2" xfId="11" applyNumberFormat="1" applyFont="1" applyFill="1" applyBorder="1"/>
    <xf numFmtId="0" fontId="34" fillId="0" borderId="0" xfId="11" applyFont="1" applyBorder="1" applyAlignment="1">
      <alignment horizontal="left"/>
    </xf>
    <xf numFmtId="2" fontId="27" fillId="5" borderId="16" xfId="11" applyNumberFormat="1" applyFont="1" applyFill="1" applyBorder="1"/>
    <xf numFmtId="0" fontId="37" fillId="0" borderId="0" xfId="11" applyFont="1" applyAlignment="1">
      <alignment horizontal="center"/>
    </xf>
    <xf numFmtId="0" fontId="27" fillId="0" borderId="0" xfId="11" applyFont="1" applyFill="1" applyBorder="1" applyAlignment="1">
      <alignment horizontal="right"/>
    </xf>
    <xf numFmtId="1" fontId="29" fillId="6" borderId="16" xfId="11" applyNumberFormat="1" applyFont="1" applyFill="1" applyBorder="1"/>
    <xf numFmtId="2" fontId="29" fillId="0" borderId="0" xfId="11" applyNumberFormat="1" applyFont="1" applyFill="1" applyBorder="1"/>
    <xf numFmtId="0" fontId="27" fillId="0" borderId="0" xfId="11" applyFont="1" applyFill="1" applyBorder="1"/>
    <xf numFmtId="1" fontId="27" fillId="7" borderId="8" xfId="11" applyNumberFormat="1" applyFont="1" applyFill="1" applyBorder="1" applyAlignment="1">
      <alignment horizontal="right"/>
    </xf>
    <xf numFmtId="1" fontId="38" fillId="0" borderId="0" xfId="11" applyNumberFormat="1" applyFont="1"/>
    <xf numFmtId="2" fontId="29" fillId="5" borderId="19" xfId="11" applyNumberFormat="1" applyFont="1" applyFill="1" applyBorder="1"/>
    <xf numFmtId="1" fontId="27" fillId="7" borderId="17" xfId="11" applyNumberFormat="1" applyFont="1" applyFill="1" applyBorder="1" applyAlignment="1">
      <alignment horizontal="right"/>
    </xf>
    <xf numFmtId="1" fontId="9" fillId="0" borderId="0" xfId="11" applyNumberFormat="1" applyFont="1" applyFill="1" applyBorder="1"/>
    <xf numFmtId="164" fontId="9" fillId="0" borderId="0" xfId="11" applyNumberFormat="1" applyFont="1" applyFill="1" applyBorder="1"/>
    <xf numFmtId="164" fontId="39" fillId="0" borderId="0" xfId="11" applyNumberFormat="1" applyFont="1"/>
    <xf numFmtId="1" fontId="40" fillId="6" borderId="16" xfId="11" applyNumberFormat="1" applyFont="1" applyFill="1" applyBorder="1"/>
    <xf numFmtId="0" fontId="29" fillId="0" borderId="0" xfId="11" applyFont="1" applyAlignment="1">
      <alignment horizontal="right"/>
    </xf>
    <xf numFmtId="1" fontId="29" fillId="7" borderId="9" xfId="11" applyNumberFormat="1" applyFont="1" applyFill="1" applyBorder="1"/>
    <xf numFmtId="0" fontId="29" fillId="0" borderId="0" xfId="11" applyFont="1" applyFill="1"/>
    <xf numFmtId="2" fontId="27" fillId="7" borderId="18" xfId="11" applyNumberFormat="1" applyFont="1" applyFill="1" applyBorder="1" applyAlignment="1">
      <alignment horizontal="right"/>
    </xf>
    <xf numFmtId="0" fontId="28" fillId="0" borderId="0" xfId="11" applyFont="1" applyAlignment="1">
      <alignment horizontal="right"/>
    </xf>
    <xf numFmtId="0" fontId="28" fillId="0" borderId="0" xfId="11" applyFont="1"/>
    <xf numFmtId="164" fontId="29" fillId="7" borderId="9" xfId="11" applyNumberFormat="1" applyFont="1" applyFill="1" applyBorder="1"/>
    <xf numFmtId="2" fontId="39" fillId="0" borderId="0" xfId="11" applyNumberFormat="1" applyFont="1"/>
    <xf numFmtId="169" fontId="24" fillId="0" borderId="0" xfId="11" applyNumberFormat="1" applyFill="1"/>
    <xf numFmtId="1" fontId="24" fillId="0" borderId="0" xfId="11" applyNumberFormat="1"/>
    <xf numFmtId="1" fontId="29" fillId="6" borderId="19" xfId="11" applyNumberFormat="1" applyFont="1" applyFill="1" applyBorder="1" applyAlignment="1">
      <alignment horizontal="right"/>
    </xf>
    <xf numFmtId="1" fontId="30" fillId="0" borderId="0" xfId="11" applyNumberFormat="1" applyFont="1" applyAlignment="1">
      <alignment horizontal="left"/>
    </xf>
    <xf numFmtId="0" fontId="41" fillId="0" borderId="0" xfId="11" applyFont="1" applyFill="1" applyBorder="1" applyAlignment="1">
      <alignment horizontal="center"/>
    </xf>
    <xf numFmtId="0" fontId="41" fillId="0" borderId="0" xfId="11" applyFont="1" applyFill="1" applyBorder="1"/>
    <xf numFmtId="2" fontId="24" fillId="0" borderId="0" xfId="11" applyNumberFormat="1"/>
    <xf numFmtId="170" fontId="24" fillId="0" borderId="0" xfId="11" applyNumberFormat="1"/>
    <xf numFmtId="1" fontId="39" fillId="0" borderId="0" xfId="11" applyNumberFormat="1" applyFont="1"/>
    <xf numFmtId="169" fontId="24" fillId="0" borderId="0" xfId="11" applyNumberFormat="1"/>
    <xf numFmtId="164" fontId="29" fillId="0" borderId="0" xfId="11" applyNumberFormat="1" applyFont="1" applyAlignment="1">
      <alignment horizontal="right"/>
    </xf>
    <xf numFmtId="2" fontId="29" fillId="5" borderId="20" xfId="11" applyNumberFormat="1" applyFont="1" applyFill="1" applyBorder="1"/>
    <xf numFmtId="2" fontId="27" fillId="0" borderId="0" xfId="11" applyNumberFormat="1" applyFont="1" applyFill="1" applyBorder="1"/>
    <xf numFmtId="0" fontId="42" fillId="0" borderId="0" xfId="11" applyFont="1" applyAlignment="1">
      <alignment horizontal="right"/>
    </xf>
    <xf numFmtId="0" fontId="42" fillId="0" borderId="0" xfId="11" applyFont="1"/>
    <xf numFmtId="0" fontId="24" fillId="0" borderId="0" xfId="11" applyFill="1" applyAlignment="1">
      <alignment horizontal="right"/>
    </xf>
    <xf numFmtId="0" fontId="43" fillId="0" borderId="0" xfId="11" applyFont="1" applyAlignment="1">
      <alignment horizontal="right"/>
    </xf>
    <xf numFmtId="0" fontId="28" fillId="0" borderId="0" xfId="11" applyFont="1" applyFill="1" applyAlignment="1">
      <alignment horizontal="right"/>
    </xf>
    <xf numFmtId="1" fontId="29" fillId="5" borderId="20" xfId="11" applyNumberFormat="1" applyFont="1" applyFill="1" applyBorder="1"/>
    <xf numFmtId="1" fontId="29" fillId="0" borderId="0" xfId="11" applyNumberFormat="1" applyFont="1" applyBorder="1"/>
    <xf numFmtId="2" fontId="29" fillId="0" borderId="20" xfId="11" applyNumberFormat="1" applyFont="1" applyFill="1" applyBorder="1"/>
    <xf numFmtId="0" fontId="9" fillId="0" borderId="0" xfId="11" applyFont="1"/>
    <xf numFmtId="1" fontId="24" fillId="0" borderId="17" xfId="11" applyNumberFormat="1" applyBorder="1"/>
    <xf numFmtId="1" fontId="24" fillId="0" borderId="0" xfId="11" applyNumberFormat="1" applyBorder="1"/>
    <xf numFmtId="1" fontId="24" fillId="0" borderId="8" xfId="11" applyNumberFormat="1" applyFill="1" applyBorder="1"/>
    <xf numFmtId="1" fontId="24" fillId="0" borderId="0" xfId="11" applyNumberFormat="1" applyFill="1" applyBorder="1"/>
    <xf numFmtId="1" fontId="24" fillId="0" borderId="17" xfId="11" applyNumberFormat="1" applyFill="1" applyBorder="1"/>
    <xf numFmtId="164" fontId="24" fillId="0" borderId="0" xfId="11" applyNumberFormat="1"/>
    <xf numFmtId="170" fontId="45" fillId="0" borderId="0" xfId="11" applyNumberFormat="1" applyFont="1" applyFill="1"/>
    <xf numFmtId="1" fontId="45" fillId="4" borderId="0" xfId="11" applyNumberFormat="1" applyFont="1" applyFill="1"/>
    <xf numFmtId="1" fontId="45" fillId="0" borderId="0" xfId="11" applyNumberFormat="1" applyFont="1"/>
    <xf numFmtId="171" fontId="24" fillId="0" borderId="0" xfId="11" applyNumberFormat="1"/>
    <xf numFmtId="0" fontId="11" fillId="0" borderId="0" xfId="10" applyFont="1" applyFill="1" applyBorder="1" applyAlignment="1">
      <alignment horizontal="center"/>
    </xf>
    <xf numFmtId="0" fontId="47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 wrapText="1"/>
    </xf>
    <xf numFmtId="0" fontId="47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10" borderId="0" xfId="0" applyFill="1"/>
    <xf numFmtId="0" fontId="0" fillId="10" borderId="1" xfId="0" applyFill="1" applyBorder="1"/>
    <xf numFmtId="3" fontId="2" fillId="10" borderId="0" xfId="10" applyNumberFormat="1" applyFont="1" applyFill="1"/>
    <xf numFmtId="171" fontId="48" fillId="0" borderId="21" xfId="10" applyNumberFormat="1" applyFont="1" applyFill="1" applyBorder="1" applyAlignment="1"/>
    <xf numFmtId="0" fontId="48" fillId="0" borderId="0" xfId="10" applyFont="1" applyFill="1" applyBorder="1" applyAlignment="1">
      <alignment horizontal="right"/>
    </xf>
    <xf numFmtId="0" fontId="10" fillId="0" borderId="0" xfId="10" applyFont="1" applyFill="1" applyBorder="1" applyAlignment="1">
      <alignment horizontal="right"/>
    </xf>
    <xf numFmtId="164" fontId="15" fillId="0" borderId="0" xfId="4" applyNumberFormat="1" applyFont="1" applyBorder="1" applyAlignment="1">
      <alignment horizontal="right"/>
    </xf>
    <xf numFmtId="0" fontId="47" fillId="0" borderId="0" xfId="4" applyFont="1" applyAlignment="1">
      <alignment horizontal="right" wrapText="1"/>
    </xf>
    <xf numFmtId="0" fontId="47" fillId="0" borderId="0" xfId="4" applyFont="1" applyBorder="1" applyAlignment="1">
      <alignment horizontal="right" wrapText="1"/>
    </xf>
    <xf numFmtId="1" fontId="15" fillId="0" borderId="0" xfId="4" applyNumberFormat="1" applyFont="1"/>
    <xf numFmtId="0" fontId="47" fillId="0" borderId="0" xfId="4" applyFont="1" applyAlignment="1">
      <alignment horizontal="right"/>
    </xf>
    <xf numFmtId="3" fontId="49" fillId="0" borderId="0" xfId="4" applyNumberFormat="1" applyFont="1"/>
    <xf numFmtId="0" fontId="51" fillId="0" borderId="1" xfId="4" applyFont="1" applyBorder="1" applyAlignment="1">
      <alignment vertical="center"/>
    </xf>
    <xf numFmtId="0" fontId="51" fillId="0" borderId="1" xfId="4" applyFont="1" applyBorder="1"/>
    <xf numFmtId="0" fontId="52" fillId="0" borderId="1" xfId="4" applyFont="1" applyBorder="1" applyAlignment="1">
      <alignment horizontal="right"/>
    </xf>
    <xf numFmtId="0" fontId="51" fillId="0" borderId="1" xfId="4" applyFont="1" applyBorder="1" applyAlignment="1">
      <alignment horizontal="right"/>
    </xf>
    <xf numFmtId="0" fontId="51" fillId="0" borderId="0" xfId="4" applyFont="1" applyAlignment="1">
      <alignment vertical="center"/>
    </xf>
    <xf numFmtId="0" fontId="51" fillId="0" borderId="0" xfId="4" applyFont="1"/>
    <xf numFmtId="0" fontId="51" fillId="0" borderId="0" xfId="4" applyFont="1" applyAlignment="1">
      <alignment horizontal="right"/>
    </xf>
    <xf numFmtId="0" fontId="51" fillId="2" borderId="1" xfId="4" applyFont="1" applyFill="1" applyBorder="1" applyAlignment="1">
      <alignment horizontal="center" vertical="center"/>
    </xf>
    <xf numFmtId="0" fontId="51" fillId="0" borderId="1" xfId="4" applyFont="1" applyFill="1" applyBorder="1" applyAlignment="1">
      <alignment horizontal="right" vertical="center"/>
    </xf>
    <xf numFmtId="0" fontId="51" fillId="2" borderId="1" xfId="4" applyFont="1" applyFill="1" applyBorder="1" applyAlignment="1">
      <alignment horizontal="right" vertical="center"/>
    </xf>
    <xf numFmtId="0" fontId="51" fillId="2" borderId="1" xfId="4" applyFont="1" applyFill="1" applyBorder="1" applyAlignment="1">
      <alignment vertical="center"/>
    </xf>
    <xf numFmtId="0" fontId="51" fillId="0" borderId="0" xfId="4" applyFont="1" applyFill="1" applyBorder="1" applyAlignment="1">
      <alignment horizontal="right" vertical="center"/>
    </xf>
    <xf numFmtId="0" fontId="51" fillId="2" borderId="0" xfId="4" applyFont="1" applyFill="1" applyBorder="1" applyAlignment="1">
      <alignment horizontal="right" vertical="center"/>
    </xf>
    <xf numFmtId="0" fontId="51" fillId="2" borderId="0" xfId="4" applyFont="1" applyFill="1" applyBorder="1" applyAlignment="1">
      <alignment vertical="center"/>
    </xf>
    <xf numFmtId="0" fontId="51" fillId="0" borderId="0" xfId="4" applyFont="1" applyBorder="1"/>
    <xf numFmtId="0" fontId="51" fillId="0" borderId="0" xfId="4" applyFont="1" applyBorder="1" applyAlignment="1">
      <alignment horizontal="right"/>
    </xf>
    <xf numFmtId="0" fontId="51" fillId="2" borderId="5" xfId="4" applyFont="1" applyFill="1" applyBorder="1" applyAlignment="1">
      <alignment horizontal="center" vertical="center"/>
    </xf>
    <xf numFmtId="3" fontId="51" fillId="2" borderId="5" xfId="4" applyNumberFormat="1" applyFont="1" applyFill="1" applyBorder="1" applyAlignment="1">
      <alignment horizontal="right" vertical="center"/>
    </xf>
    <xf numFmtId="0" fontId="51" fillId="2" borderId="5" xfId="4" applyFont="1" applyFill="1" applyBorder="1" applyAlignment="1">
      <alignment vertical="center"/>
    </xf>
    <xf numFmtId="3" fontId="51" fillId="0" borderId="0" xfId="4" applyNumberFormat="1" applyFont="1"/>
    <xf numFmtId="0" fontId="51" fillId="2" borderId="5" xfId="4" applyFont="1" applyFill="1" applyBorder="1" applyAlignment="1">
      <alignment horizontal="right" vertical="center"/>
    </xf>
    <xf numFmtId="0" fontId="51" fillId="2" borderId="0" xfId="4" applyFont="1" applyFill="1" applyAlignment="1">
      <alignment vertical="center"/>
    </xf>
    <xf numFmtId="0" fontId="51" fillId="2" borderId="0" xfId="4" applyFont="1" applyFill="1" applyBorder="1" applyAlignment="1">
      <alignment horizontal="center" vertical="center"/>
    </xf>
    <xf numFmtId="3" fontId="51" fillId="2" borderId="0" xfId="4" applyNumberFormat="1" applyFont="1" applyFill="1" applyBorder="1" applyAlignment="1">
      <alignment horizontal="right" vertical="center"/>
    </xf>
    <xf numFmtId="0" fontId="53" fillId="11" borderId="0" xfId="4" applyFont="1" applyFill="1" applyBorder="1"/>
    <xf numFmtId="3" fontId="50" fillId="0" borderId="0" xfId="10" applyNumberFormat="1" applyFont="1"/>
    <xf numFmtId="3" fontId="54" fillId="0" borderId="0" xfId="0" applyNumberFormat="1" applyFont="1"/>
    <xf numFmtId="3" fontId="49" fillId="9" borderId="0" xfId="4" applyNumberFormat="1" applyFont="1" applyFill="1"/>
    <xf numFmtId="0" fontId="54" fillId="0" borderId="0" xfId="4" applyFont="1" applyBorder="1" applyAlignment="1">
      <alignment vertical="center"/>
    </xf>
    <xf numFmtId="0" fontId="0" fillId="0" borderId="0" xfId="4" applyFont="1"/>
    <xf numFmtId="0" fontId="55" fillId="0" borderId="0" xfId="4" applyFont="1" applyAlignment="1">
      <alignment horizontal="right" wrapText="1"/>
    </xf>
    <xf numFmtId="0" fontId="54" fillId="0" borderId="1" xfId="4" applyFont="1" applyBorder="1" applyAlignment="1">
      <alignment horizontal="right"/>
    </xf>
    <xf numFmtId="0" fontId="54" fillId="0" borderId="3" xfId="10" applyFont="1" applyBorder="1" applyAlignment="1">
      <alignment horizontal="centerContinuous"/>
    </xf>
    <xf numFmtId="4" fontId="14" fillId="0" borderId="0" xfId="6" applyNumberFormat="1" applyFont="1"/>
    <xf numFmtId="0" fontId="13" fillId="0" borderId="0" xfId="6" applyFont="1" applyAlignment="1">
      <alignment horizontal="center"/>
    </xf>
    <xf numFmtId="0" fontId="0" fillId="0" borderId="0" xfId="8" applyNumberFormat="1" applyFont="1" applyAlignment="1">
      <alignment horizontal="right"/>
    </xf>
    <xf numFmtId="0" fontId="14" fillId="0" borderId="0" xfId="6" applyFont="1" applyAlignment="1">
      <alignment wrapText="1"/>
    </xf>
    <xf numFmtId="1" fontId="57" fillId="0" borderId="0" xfId="6" applyNumberFormat="1" applyFont="1"/>
    <xf numFmtId="1" fontId="56" fillId="0" borderId="0" xfId="6" applyNumberFormat="1" applyFont="1"/>
    <xf numFmtId="1" fontId="58" fillId="0" borderId="0" xfId="6" applyNumberFormat="1" applyFont="1"/>
    <xf numFmtId="172" fontId="13" fillId="0" borderId="0" xfId="12" applyNumberFormat="1" applyFont="1"/>
    <xf numFmtId="1" fontId="13" fillId="0" borderId="0" xfId="6" applyNumberFormat="1" applyFont="1"/>
    <xf numFmtId="0" fontId="59" fillId="0" borderId="0" xfId="6" applyFont="1" applyBorder="1" applyAlignment="1">
      <alignment horizontal="center" wrapText="1"/>
    </xf>
    <xf numFmtId="4" fontId="60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1" fillId="0" borderId="4" xfId="4" applyFont="1" applyBorder="1" applyAlignment="1"/>
    <xf numFmtId="0" fontId="0" fillId="0" borderId="0" xfId="0" applyAlignment="1">
      <alignment horizontal="center"/>
    </xf>
    <xf numFmtId="0" fontId="21" fillId="0" borderId="4" xfId="4" applyFont="1" applyBorder="1" applyAlignment="1">
      <alignment horizontal="center"/>
    </xf>
    <xf numFmtId="3" fontId="15" fillId="0" borderId="0" xfId="4" applyNumberFormat="1" applyFont="1"/>
    <xf numFmtId="164" fontId="15" fillId="0" borderId="0" xfId="0" applyNumberFormat="1" applyFont="1"/>
    <xf numFmtId="3" fontId="15" fillId="0" borderId="0" xfId="4" applyNumberFormat="1" applyFont="1" applyFill="1"/>
    <xf numFmtId="9" fontId="15" fillId="0" borderId="0" xfId="13" applyFont="1" applyBorder="1" applyAlignment="1">
      <alignment horizontal="right"/>
    </xf>
    <xf numFmtId="164" fontId="15" fillId="0" borderId="0" xfId="4" applyNumberFormat="1" applyFont="1" applyFill="1" applyBorder="1" applyAlignment="1">
      <alignment horizontal="right"/>
    </xf>
    <xf numFmtId="0" fontId="63" fillId="0" borderId="4" xfId="4" applyFont="1" applyBorder="1" applyAlignment="1">
      <alignment horizontal="center"/>
    </xf>
    <xf numFmtId="0" fontId="62" fillId="0" borderId="0" xfId="0" applyFont="1"/>
    <xf numFmtId="0" fontId="47" fillId="0" borderId="0" xfId="4" applyFont="1" applyAlignment="1">
      <alignment horizontal="left"/>
    </xf>
    <xf numFmtId="0" fontId="62" fillId="0" borderId="3" xfId="0" applyFont="1" applyBorder="1"/>
    <xf numFmtId="0" fontId="48" fillId="0" borderId="0" xfId="10" applyFont="1" applyAlignment="1">
      <alignment horizontal="right"/>
    </xf>
    <xf numFmtId="9" fontId="0" fillId="0" borderId="0" xfId="13" applyFont="1"/>
    <xf numFmtId="173" fontId="0" fillId="0" borderId="0" xfId="0" applyNumberFormat="1"/>
    <xf numFmtId="0" fontId="64" fillId="0" borderId="0" xfId="0" applyFont="1" applyAlignment="1">
      <alignment horizontal="right"/>
    </xf>
    <xf numFmtId="9" fontId="64" fillId="0" borderId="0" xfId="13" applyFont="1"/>
    <xf numFmtId="3" fontId="15" fillId="0" borderId="0" xfId="4" applyNumberFormat="1" applyFont="1" applyAlignment="1">
      <alignment horizontal="right"/>
    </xf>
    <xf numFmtId="1" fontId="65" fillId="0" borderId="0" xfId="0" applyNumberFormat="1" applyFont="1" applyAlignment="1">
      <alignment horizontal="center"/>
    </xf>
    <xf numFmtId="3" fontId="65" fillId="0" borderId="0" xfId="0" applyNumberFormat="1" applyFont="1" applyAlignment="1">
      <alignment horizontal="center"/>
    </xf>
    <xf numFmtId="0" fontId="15" fillId="0" borderId="0" xfId="4" applyFont="1" applyAlignment="1">
      <alignment horizontal="right" wrapText="1"/>
    </xf>
    <xf numFmtId="9" fontId="15" fillId="0" borderId="0" xfId="13" applyFont="1" applyAlignment="1">
      <alignment horizontal="right" wrapText="1"/>
    </xf>
    <xf numFmtId="173" fontId="15" fillId="0" borderId="0" xfId="4" applyNumberFormat="1" applyFont="1" applyAlignment="1">
      <alignment horizontal="right" wrapText="1"/>
    </xf>
    <xf numFmtId="173" fontId="66" fillId="0" borderId="0" xfId="4" applyNumberFormat="1" applyFont="1" applyAlignment="1">
      <alignment horizontal="right" wrapText="1"/>
    </xf>
    <xf numFmtId="0" fontId="47" fillId="0" borderId="1" xfId="0" applyFont="1" applyBorder="1" applyAlignment="1">
      <alignment horizontal="center"/>
    </xf>
    <xf numFmtId="3" fontId="61" fillId="0" borderId="0" xfId="0" applyNumberFormat="1" applyFont="1" applyAlignment="1">
      <alignment horizontal="center"/>
    </xf>
    <xf numFmtId="3" fontId="61" fillId="0" borderId="0" xfId="0" applyNumberFormat="1" applyFont="1" applyAlignment="1">
      <alignment horizontal="center" vertical="center"/>
    </xf>
    <xf numFmtId="0" fontId="21" fillId="0" borderId="23" xfId="0" applyFont="1" applyBorder="1" applyAlignment="1">
      <alignment horizontal="center"/>
    </xf>
    <xf numFmtId="0" fontId="21" fillId="0" borderId="22" xfId="4" applyFont="1" applyBorder="1" applyAlignment="1">
      <alignment horizontal="center"/>
    </xf>
    <xf numFmtId="0" fontId="11" fillId="0" borderId="0" xfId="10" applyFont="1" applyFill="1" applyBorder="1" applyAlignment="1">
      <alignment horizontal="center"/>
    </xf>
    <xf numFmtId="0" fontId="51" fillId="0" borderId="3" xfId="4" applyFont="1" applyBorder="1" applyAlignment="1">
      <alignment horizontal="center"/>
    </xf>
    <xf numFmtId="0" fontId="53" fillId="0" borderId="1" xfId="4" applyFont="1" applyBorder="1" applyAlignment="1">
      <alignment horizontal="center"/>
    </xf>
    <xf numFmtId="0" fontId="62" fillId="0" borderId="0" xfId="0" applyFont="1" applyAlignment="1">
      <alignment horizontal="center"/>
    </xf>
    <xf numFmtId="0" fontId="63" fillId="0" borderId="22" xfId="4" applyFont="1" applyBorder="1" applyAlignment="1">
      <alignment horizontal="center"/>
    </xf>
    <xf numFmtId="0" fontId="13" fillId="0" borderId="1" xfId="6" applyFont="1" applyBorder="1" applyAlignment="1">
      <alignment horizontal="center" wrapText="1"/>
    </xf>
    <xf numFmtId="0" fontId="13" fillId="0" borderId="1" xfId="6" applyFont="1" applyBorder="1" applyAlignment="1">
      <alignment horizontal="left"/>
    </xf>
    <xf numFmtId="0" fontId="56" fillId="0" borderId="0" xfId="6" applyFont="1" applyAlignment="1">
      <alignment horizontal="center"/>
    </xf>
    <xf numFmtId="0" fontId="56" fillId="0" borderId="0" xfId="6" applyFont="1" applyBorder="1" applyAlignment="1">
      <alignment horizontal="center"/>
    </xf>
    <xf numFmtId="0" fontId="28" fillId="0" borderId="1" xfId="11" applyFont="1" applyBorder="1" applyAlignment="1">
      <alignment horizontal="center"/>
    </xf>
    <xf numFmtId="0" fontId="67" fillId="0" borderId="0" xfId="14"/>
  </cellXfs>
  <cellStyles count="15">
    <cellStyle name="Comma" xfId="12" builtinId="3"/>
    <cellStyle name="Comma 2" xfId="5" xr:uid="{00000000-0005-0000-0000-000001000000}"/>
    <cellStyle name="Comma 3" xfId="2" xr:uid="{00000000-0005-0000-0000-000002000000}"/>
    <cellStyle name="Hyperlink" xfId="14" builtinId="8"/>
    <cellStyle name="Normal" xfId="0" builtinId="0"/>
    <cellStyle name="Normal 12" xfId="8" xr:uid="{00000000-0005-0000-0000-000004000000}"/>
    <cellStyle name="Normal 2" xfId="4" xr:uid="{00000000-0005-0000-0000-000005000000}"/>
    <cellStyle name="Normal 2 2" xfId="9" xr:uid="{00000000-0005-0000-0000-000006000000}"/>
    <cellStyle name="Normal 3" xfId="1" xr:uid="{00000000-0005-0000-0000-000007000000}"/>
    <cellStyle name="Normal 3 2" xfId="10" xr:uid="{00000000-0005-0000-0000-000008000000}"/>
    <cellStyle name="Normal 3 2 2" xfId="6" xr:uid="{00000000-0005-0000-0000-000009000000}"/>
    <cellStyle name="Normal 4" xfId="11" xr:uid="{00000000-0005-0000-0000-00000A000000}"/>
    <cellStyle name="Normal_Esc TabFigs for 2004 Report" xfId="7" xr:uid="{00000000-0005-0000-0000-00000B000000}"/>
    <cellStyle name="Percent" xfId="13" builtinId="5"/>
    <cellStyle name="Percent 2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Unalakleet</a:t>
            </a:r>
            <a:r>
              <a:rPr lang="en-US" baseline="0"/>
              <a:t> Weir vs North Tower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134682005632444"/>
                  <c:y val="1.88943664973321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Chinook'!$B$32:$B$41</c:f>
              <c:numCache>
                <c:formatCode>General</c:formatCode>
                <c:ptCount val="10"/>
                <c:pt idx="0">
                  <c:v>1256</c:v>
                </c:pt>
                <c:pt idx="1">
                  <c:v>841</c:v>
                </c:pt>
                <c:pt idx="2">
                  <c:v>972</c:v>
                </c:pt>
                <c:pt idx="4">
                  <c:v>3454</c:v>
                </c:pt>
                <c:pt idx="5">
                  <c:v>1950</c:v>
                </c:pt>
                <c:pt idx="7">
                  <c:v>1044</c:v>
                </c:pt>
                <c:pt idx="9">
                  <c:v>3300</c:v>
                </c:pt>
              </c:numCache>
            </c:numRef>
          </c:xVal>
          <c:yVal>
            <c:numRef>
              <c:f>'Unalakleet River Chinook'!$C$32:$C$41</c:f>
              <c:numCache>
                <c:formatCode>#,##0</c:formatCode>
                <c:ptCount val="10"/>
                <c:pt idx="0">
                  <c:v>1021</c:v>
                </c:pt>
                <c:pt idx="1">
                  <c:v>1030</c:v>
                </c:pt>
                <c:pt idx="2">
                  <c:v>823</c:v>
                </c:pt>
                <c:pt idx="5">
                  <c:v>2789</c:v>
                </c:pt>
                <c:pt idx="7">
                  <c:v>2934</c:v>
                </c:pt>
                <c:pt idx="9" formatCode="General">
                  <c:v>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EB-433E-AE63-144B07FBE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44544"/>
        <c:axId val="713944936"/>
      </c:scatterChart>
      <c:valAx>
        <c:axId val="7139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4936"/>
        <c:crosses val="autoZero"/>
        <c:crossBetween val="midCat"/>
      </c:valAx>
      <c:valAx>
        <c:axId val="71394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Aerial Survey</a:t>
            </a:r>
            <a:r>
              <a:rPr lang="en-US" baseline="0"/>
              <a:t> vs North Tower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9.8205351286879239E-2"/>
                  <c:y val="-7.3933015969547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Chinook'!$B$4:$B$39</c:f>
              <c:numCache>
                <c:formatCode>General</c:formatCode>
                <c:ptCount val="36"/>
                <c:pt idx="2">
                  <c:v>2844</c:v>
                </c:pt>
                <c:pt idx="3">
                  <c:v>1426</c:v>
                </c:pt>
                <c:pt idx="4">
                  <c:v>1613</c:v>
                </c:pt>
                <c:pt idx="14">
                  <c:v>1197</c:v>
                </c:pt>
                <c:pt idx="15">
                  <c:v>4185</c:v>
                </c:pt>
                <c:pt idx="16">
                  <c:v>2100</c:v>
                </c:pt>
                <c:pt idx="18">
                  <c:v>1046</c:v>
                </c:pt>
                <c:pt idx="20">
                  <c:v>1484</c:v>
                </c:pt>
                <c:pt idx="21">
                  <c:v>1452</c:v>
                </c:pt>
                <c:pt idx="22">
                  <c:v>1125</c:v>
                </c:pt>
                <c:pt idx="23">
                  <c:v>1015</c:v>
                </c:pt>
                <c:pt idx="24">
                  <c:v>906</c:v>
                </c:pt>
                <c:pt idx="25">
                  <c:v>1948</c:v>
                </c:pt>
                <c:pt idx="26">
                  <c:v>905</c:v>
                </c:pt>
                <c:pt idx="27">
                  <c:v>2357</c:v>
                </c:pt>
                <c:pt idx="28">
                  <c:v>1256</c:v>
                </c:pt>
                <c:pt idx="29">
                  <c:v>841</c:v>
                </c:pt>
                <c:pt idx="30">
                  <c:v>972</c:v>
                </c:pt>
                <c:pt idx="32">
                  <c:v>3454</c:v>
                </c:pt>
                <c:pt idx="33">
                  <c:v>1950</c:v>
                </c:pt>
                <c:pt idx="35">
                  <c:v>1044</c:v>
                </c:pt>
              </c:numCache>
            </c:numRef>
          </c:xVal>
          <c:yVal>
            <c:numRef>
              <c:f>'Unalakleet River Chinook'!$F$4:$F$39</c:f>
              <c:numCache>
                <c:formatCode>General</c:formatCode>
                <c:ptCount val="36"/>
                <c:pt idx="3">
                  <c:v>873</c:v>
                </c:pt>
                <c:pt idx="5">
                  <c:v>432</c:v>
                </c:pt>
                <c:pt idx="6">
                  <c:v>202</c:v>
                </c:pt>
                <c:pt idx="8">
                  <c:v>255</c:v>
                </c:pt>
                <c:pt idx="9">
                  <c:v>656</c:v>
                </c:pt>
                <c:pt idx="10">
                  <c:v>329</c:v>
                </c:pt>
                <c:pt idx="11">
                  <c:v>900</c:v>
                </c:pt>
                <c:pt idx="13">
                  <c:v>622</c:v>
                </c:pt>
                <c:pt idx="15">
                  <c:v>1585</c:v>
                </c:pt>
                <c:pt idx="16">
                  <c:v>591</c:v>
                </c:pt>
                <c:pt idx="19">
                  <c:v>366</c:v>
                </c:pt>
                <c:pt idx="20">
                  <c:v>122</c:v>
                </c:pt>
                <c:pt idx="21">
                  <c:v>131</c:v>
                </c:pt>
                <c:pt idx="22">
                  <c:v>189</c:v>
                </c:pt>
                <c:pt idx="23">
                  <c:v>156</c:v>
                </c:pt>
                <c:pt idx="25">
                  <c:v>554</c:v>
                </c:pt>
                <c:pt idx="29">
                  <c:v>433</c:v>
                </c:pt>
                <c:pt idx="31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B-47B8-A168-4ACC30AD6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946896"/>
        <c:axId val="632383896"/>
      </c:scatterChart>
      <c:valAx>
        <c:axId val="71394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3896"/>
        <c:crosses val="autoZero"/>
        <c:crossBetween val="midCat"/>
      </c:valAx>
      <c:valAx>
        <c:axId val="63238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4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Aerial Survey</a:t>
            </a:r>
            <a:r>
              <a:rPr lang="en-US" baseline="0"/>
              <a:t> vs CPEcom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3476337283228032"/>
                  <c:y val="-2.85562998677594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Chinook'!$E$4:$E$39</c:f>
              <c:numCache>
                <c:formatCode>General</c:formatCode>
                <c:ptCount val="36"/>
                <c:pt idx="0">
                  <c:v>1.6499999999999997</c:v>
                </c:pt>
                <c:pt idx="1">
                  <c:v>2.65</c:v>
                </c:pt>
                <c:pt idx="2">
                  <c:v>4.4400000000000004</c:v>
                </c:pt>
                <c:pt idx="3">
                  <c:v>4.75</c:v>
                </c:pt>
                <c:pt idx="4">
                  <c:v>1.9800000000000002</c:v>
                </c:pt>
                <c:pt idx="5">
                  <c:v>2.77</c:v>
                </c:pt>
                <c:pt idx="6">
                  <c:v>1.64</c:v>
                </c:pt>
                <c:pt idx="7">
                  <c:v>2.74</c:v>
                </c:pt>
                <c:pt idx="8">
                  <c:v>3.64</c:v>
                </c:pt>
                <c:pt idx="9">
                  <c:v>2.63</c:v>
                </c:pt>
                <c:pt idx="10">
                  <c:v>1.72</c:v>
                </c:pt>
                <c:pt idx="11">
                  <c:v>4.08</c:v>
                </c:pt>
                <c:pt idx="12">
                  <c:v>5.07</c:v>
                </c:pt>
                <c:pt idx="13">
                  <c:v>2.15</c:v>
                </c:pt>
                <c:pt idx="14">
                  <c:v>2.84</c:v>
                </c:pt>
                <c:pt idx="15">
                  <c:v>7.67</c:v>
                </c:pt>
                <c:pt idx="16">
                  <c:v>4.84</c:v>
                </c:pt>
                <c:pt idx="17">
                  <c:v>2.92</c:v>
                </c:pt>
                <c:pt idx="18">
                  <c:v>1.25</c:v>
                </c:pt>
                <c:pt idx="19">
                  <c:v>0.36</c:v>
                </c:pt>
                <c:pt idx="23" formatCode="0.00">
                  <c:v>0.58045977011494254</c:v>
                </c:pt>
              </c:numCache>
            </c:numRef>
          </c:xVal>
          <c:yVal>
            <c:numRef>
              <c:f>'Unalakleet River Chinook'!$F$4:$F$39</c:f>
              <c:numCache>
                <c:formatCode>General</c:formatCode>
                <c:ptCount val="36"/>
                <c:pt idx="3">
                  <c:v>873</c:v>
                </c:pt>
                <c:pt idx="5">
                  <c:v>432</c:v>
                </c:pt>
                <c:pt idx="6">
                  <c:v>202</c:v>
                </c:pt>
                <c:pt idx="8">
                  <c:v>255</c:v>
                </c:pt>
                <c:pt idx="9">
                  <c:v>656</c:v>
                </c:pt>
                <c:pt idx="10">
                  <c:v>329</c:v>
                </c:pt>
                <c:pt idx="11">
                  <c:v>900</c:v>
                </c:pt>
                <c:pt idx="13">
                  <c:v>622</c:v>
                </c:pt>
                <c:pt idx="15">
                  <c:v>1585</c:v>
                </c:pt>
                <c:pt idx="16">
                  <c:v>591</c:v>
                </c:pt>
                <c:pt idx="19">
                  <c:v>366</c:v>
                </c:pt>
                <c:pt idx="20">
                  <c:v>122</c:v>
                </c:pt>
                <c:pt idx="21">
                  <c:v>131</c:v>
                </c:pt>
                <c:pt idx="22">
                  <c:v>189</c:v>
                </c:pt>
                <c:pt idx="23">
                  <c:v>156</c:v>
                </c:pt>
                <c:pt idx="25">
                  <c:v>554</c:v>
                </c:pt>
                <c:pt idx="29">
                  <c:v>433</c:v>
                </c:pt>
                <c:pt idx="31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CB-413B-A630-D70644CB9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4680"/>
        <c:axId val="632383504"/>
      </c:scatterChart>
      <c:valAx>
        <c:axId val="63238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3504"/>
        <c:crosses val="autoZero"/>
        <c:crossBetween val="midCat"/>
      </c:valAx>
      <c:valAx>
        <c:axId val="6323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North Tower</a:t>
            </a:r>
            <a:r>
              <a:rPr lang="en-US" baseline="0"/>
              <a:t> vs CPEcom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'Unalakleet River Chinook'!$E$4:$E$39</c:f>
              <c:numCache>
                <c:formatCode>General</c:formatCode>
                <c:ptCount val="36"/>
                <c:pt idx="0">
                  <c:v>1.6499999999999997</c:v>
                </c:pt>
                <c:pt idx="1">
                  <c:v>2.65</c:v>
                </c:pt>
                <c:pt idx="2">
                  <c:v>4.4400000000000004</c:v>
                </c:pt>
                <c:pt idx="3">
                  <c:v>4.75</c:v>
                </c:pt>
                <c:pt idx="4">
                  <c:v>1.9800000000000002</c:v>
                </c:pt>
                <c:pt idx="5">
                  <c:v>2.77</c:v>
                </c:pt>
                <c:pt idx="6">
                  <c:v>1.64</c:v>
                </c:pt>
                <c:pt idx="7">
                  <c:v>2.74</c:v>
                </c:pt>
                <c:pt idx="8">
                  <c:v>3.64</c:v>
                </c:pt>
                <c:pt idx="9">
                  <c:v>2.63</c:v>
                </c:pt>
                <c:pt idx="10">
                  <c:v>1.72</c:v>
                </c:pt>
                <c:pt idx="11">
                  <c:v>4.08</c:v>
                </c:pt>
                <c:pt idx="12">
                  <c:v>5.07</c:v>
                </c:pt>
                <c:pt idx="13">
                  <c:v>2.15</c:v>
                </c:pt>
                <c:pt idx="14">
                  <c:v>2.84</c:v>
                </c:pt>
                <c:pt idx="15">
                  <c:v>7.67</c:v>
                </c:pt>
                <c:pt idx="16">
                  <c:v>4.84</c:v>
                </c:pt>
                <c:pt idx="17">
                  <c:v>2.92</c:v>
                </c:pt>
                <c:pt idx="18">
                  <c:v>1.25</c:v>
                </c:pt>
                <c:pt idx="19">
                  <c:v>0.36</c:v>
                </c:pt>
                <c:pt idx="23" formatCode="0.00">
                  <c:v>0.58045977011494254</c:v>
                </c:pt>
              </c:numCache>
            </c:numRef>
          </c:xVal>
          <c:yVal>
            <c:numRef>
              <c:f>'Unalakleet River Chinook'!$B$4:$B$39</c:f>
              <c:numCache>
                <c:formatCode>General</c:formatCode>
                <c:ptCount val="36"/>
                <c:pt idx="2">
                  <c:v>2844</c:v>
                </c:pt>
                <c:pt idx="3">
                  <c:v>1426</c:v>
                </c:pt>
                <c:pt idx="4">
                  <c:v>1613</c:v>
                </c:pt>
                <c:pt idx="14">
                  <c:v>1197</c:v>
                </c:pt>
                <c:pt idx="15">
                  <c:v>4185</c:v>
                </c:pt>
                <c:pt idx="16">
                  <c:v>2100</c:v>
                </c:pt>
                <c:pt idx="18">
                  <c:v>1046</c:v>
                </c:pt>
                <c:pt idx="20">
                  <c:v>1484</c:v>
                </c:pt>
                <c:pt idx="21">
                  <c:v>1452</c:v>
                </c:pt>
                <c:pt idx="22">
                  <c:v>1125</c:v>
                </c:pt>
                <c:pt idx="23">
                  <c:v>1015</c:v>
                </c:pt>
                <c:pt idx="24">
                  <c:v>906</c:v>
                </c:pt>
                <c:pt idx="25">
                  <c:v>1948</c:v>
                </c:pt>
                <c:pt idx="26">
                  <c:v>905</c:v>
                </c:pt>
                <c:pt idx="27">
                  <c:v>2357</c:v>
                </c:pt>
                <c:pt idx="28">
                  <c:v>1256</c:v>
                </c:pt>
                <c:pt idx="29">
                  <c:v>841</c:v>
                </c:pt>
                <c:pt idx="30">
                  <c:v>972</c:v>
                </c:pt>
                <c:pt idx="32">
                  <c:v>3454</c:v>
                </c:pt>
                <c:pt idx="33">
                  <c:v>1950</c:v>
                </c:pt>
                <c:pt idx="35">
                  <c:v>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F-4452-BFD1-8EF6A1C14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1152"/>
        <c:axId val="632381544"/>
      </c:scatterChart>
      <c:valAx>
        <c:axId val="6323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1544"/>
        <c:crosses val="autoZero"/>
        <c:crossBetween val="midCat"/>
      </c:valAx>
      <c:valAx>
        <c:axId val="63238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SRR</a:t>
            </a:r>
          </a:p>
        </c:rich>
      </c:tx>
      <c:layout>
        <c:manualLayout>
          <c:xMode val="edge"/>
          <c:yMode val="edge"/>
          <c:x val="0.46087710000084164"/>
          <c:y val="3.31351991795852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582961074796626"/>
          <c:y val="0.10960104344016659"/>
          <c:w val="0.76453911448737744"/>
          <c:h val="0.66780170654241089"/>
        </c:manualLayout>
      </c:layout>
      <c:scatterChart>
        <c:scatterStyle val="lineMarker"/>
        <c:varyColors val="0"/>
        <c:ser>
          <c:idx val="0"/>
          <c:order val="0"/>
          <c:tx>
            <c:v>Simulated data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290.54951271122849</c:v>
                </c:pt>
                <c:pt idx="2">
                  <c:v>276.89036870981948</c:v>
                </c:pt>
                <c:pt idx="3">
                  <c:v>472.4794049527394</c:v>
                </c:pt>
                <c:pt idx="4">
                  <c:v>370.18296186574526</c:v>
                </c:pt>
                <c:pt idx="5">
                  <c:v>441.77954747701818</c:v>
                </c:pt>
                <c:pt idx="6">
                  <c:v>316.45106848629797</c:v>
                </c:pt>
                <c:pt idx="7">
                  <c:v>417.03352045762585</c:v>
                </c:pt>
                <c:pt idx="8">
                  <c:v>257.8859925306154</c:v>
                </c:pt>
                <c:pt idx="9">
                  <c:v>231.03749622360215</c:v>
                </c:pt>
                <c:pt idx="10">
                  <c:v>196.95527652386599</c:v>
                </c:pt>
                <c:pt idx="11">
                  <c:v>280.16751755743178</c:v>
                </c:pt>
                <c:pt idx="12">
                  <c:v>260.70036798543401</c:v>
                </c:pt>
                <c:pt idx="13">
                  <c:v>360.12032050896028</c:v>
                </c:pt>
                <c:pt idx="14">
                  <c:v>305.90816615190778</c:v>
                </c:pt>
                <c:pt idx="15">
                  <c:v>280.12388121384515</c:v>
                </c:pt>
                <c:pt idx="16">
                  <c:v>253.53942380278335</c:v>
                </c:pt>
                <c:pt idx="17">
                  <c:v>259.40322399280876</c:v>
                </c:pt>
                <c:pt idx="18">
                  <c:v>567.32952692550384</c:v>
                </c:pt>
                <c:pt idx="19">
                  <c:v>527.83299921134926</c:v>
                </c:pt>
                <c:pt idx="20">
                  <c:v>282.92159820550637</c:v>
                </c:pt>
                <c:pt idx="21">
                  <c:v>311.34827558385086</c:v>
                </c:pt>
                <c:pt idx="22">
                  <c:v>267.68055082695309</c:v>
                </c:pt>
                <c:pt idx="23">
                  <c:v>319.94093932188468</c:v>
                </c:pt>
                <c:pt idx="24">
                  <c:v>292.55044027467704</c:v>
                </c:pt>
                <c:pt idx="25">
                  <c:v>252.81178494285879</c:v>
                </c:pt>
                <c:pt idx="26">
                  <c:v>283.28813281144255</c:v>
                </c:pt>
                <c:pt idx="27">
                  <c:v>409.99071353180028</c:v>
                </c:pt>
                <c:pt idx="28">
                  <c:v>405.62574423870126</c:v>
                </c:pt>
                <c:pt idx="29">
                  <c:v>312.14655274367692</c:v>
                </c:pt>
                <c:pt idx="30">
                  <c:v>336.64302348038387</c:v>
                </c:pt>
                <c:pt idx="31">
                  <c:v>466.49365828091129</c:v>
                </c:pt>
                <c:pt idx="32">
                  <c:v>293.31540387199834</c:v>
                </c:pt>
                <c:pt idx="33">
                  <c:v>293.85160495459144</c:v>
                </c:pt>
                <c:pt idx="34">
                  <c:v>262.812529850695</c:v>
                </c:pt>
                <c:pt idx="35">
                  <c:v>262.7658373740494</c:v>
                </c:pt>
                <c:pt idx="36">
                  <c:v>256.93559828189393</c:v>
                </c:pt>
                <c:pt idx="37">
                  <c:v>250.00244826398767</c:v>
                </c:pt>
                <c:pt idx="38">
                  <c:v>399.44635355369041</c:v>
                </c:pt>
                <c:pt idx="39">
                  <c:v>204.89755016457212</c:v>
                </c:pt>
                <c:pt idx="40">
                  <c:v>423.456122103908</c:v>
                </c:pt>
                <c:pt idx="41">
                  <c:v>262.04201698429767</c:v>
                </c:pt>
                <c:pt idx="42">
                  <c:v>271.3287026849581</c:v>
                </c:pt>
                <c:pt idx="43">
                  <c:v>252.47461639232762</c:v>
                </c:pt>
                <c:pt idx="44">
                  <c:v>323.08780432572019</c:v>
                </c:pt>
                <c:pt idx="45">
                  <c:v>291.0639329037765</c:v>
                </c:pt>
                <c:pt idx="46">
                  <c:v>361.02925588111259</c:v>
                </c:pt>
                <c:pt idx="47">
                  <c:v>291.01147399200829</c:v>
                </c:pt>
                <c:pt idx="48">
                  <c:v>293.55238525366894</c:v>
                </c:pt>
                <c:pt idx="49">
                  <c:v>297.48078030575465</c:v>
                </c:pt>
                <c:pt idx="50">
                  <c:v>360.39867426104348</c:v>
                </c:pt>
                <c:pt idx="51">
                  <c:v>403.86418957725255</c:v>
                </c:pt>
                <c:pt idx="52">
                  <c:v>508.97798321095411</c:v>
                </c:pt>
                <c:pt idx="53">
                  <c:v>302.54775943670307</c:v>
                </c:pt>
                <c:pt idx="54">
                  <c:v>263.98067947756056</c:v>
                </c:pt>
                <c:pt idx="55">
                  <c:v>256.18372954643991</c:v>
                </c:pt>
                <c:pt idx="56">
                  <c:v>453.85373472131289</c:v>
                </c:pt>
                <c:pt idx="57">
                  <c:v>292.05904571042993</c:v>
                </c:pt>
                <c:pt idx="58">
                  <c:v>270.85430551117844</c:v>
                </c:pt>
                <c:pt idx="59">
                  <c:v>260.76149737170834</c:v>
                </c:pt>
                <c:pt idx="60">
                  <c:v>256.02270817450102</c:v>
                </c:pt>
                <c:pt idx="61">
                  <c:v>307.59532271354647</c:v>
                </c:pt>
                <c:pt idx="62">
                  <c:v>430.76651771287675</c:v>
                </c:pt>
                <c:pt idx="63">
                  <c:v>264.73654600642618</c:v>
                </c:pt>
                <c:pt idx="64">
                  <c:v>266.56593323277031</c:v>
                </c:pt>
                <c:pt idx="65">
                  <c:v>478.18366366162849</c:v>
                </c:pt>
                <c:pt idx="66">
                  <c:v>288.9581294488529</c:v>
                </c:pt>
                <c:pt idx="67">
                  <c:v>256.18003512815824</c:v>
                </c:pt>
                <c:pt idx="68">
                  <c:v>349.99447738012998</c:v>
                </c:pt>
                <c:pt idx="69">
                  <c:v>396.04362715987747</c:v>
                </c:pt>
                <c:pt idx="70">
                  <c:v>380.62593844861567</c:v>
                </c:pt>
                <c:pt idx="71">
                  <c:v>382.80858523583777</c:v>
                </c:pt>
                <c:pt idx="72">
                  <c:v>627.66418624528103</c:v>
                </c:pt>
                <c:pt idx="73">
                  <c:v>368.0099719472139</c:v>
                </c:pt>
                <c:pt idx="74">
                  <c:v>301.16256453601926</c:v>
                </c:pt>
                <c:pt idx="75">
                  <c:v>261.94559718210758</c:v>
                </c:pt>
                <c:pt idx="76">
                  <c:v>292.97755392729215</c:v>
                </c:pt>
                <c:pt idx="77">
                  <c:v>324.23343080979822</c:v>
                </c:pt>
                <c:pt idx="78">
                  <c:v>263.27062174530329</c:v>
                </c:pt>
                <c:pt idx="79">
                  <c:v>283.29982248452387</c:v>
                </c:pt>
                <c:pt idx="80">
                  <c:v>425.81298330160467</c:v>
                </c:pt>
                <c:pt idx="81">
                  <c:v>609.91307685605489</c:v>
                </c:pt>
                <c:pt idx="82">
                  <c:v>508.98295337294229</c:v>
                </c:pt>
                <c:pt idx="83">
                  <c:v>328.03514902807342</c:v>
                </c:pt>
                <c:pt idx="84">
                  <c:v>279.7443901869907</c:v>
                </c:pt>
                <c:pt idx="85">
                  <c:v>283.42063914350473</c:v>
                </c:pt>
                <c:pt idx="86">
                  <c:v>322.83083079040148</c:v>
                </c:pt>
                <c:pt idx="87">
                  <c:v>307.6187442160512</c:v>
                </c:pt>
                <c:pt idx="88">
                  <c:v>293.20139315741898</c:v>
                </c:pt>
                <c:pt idx="89">
                  <c:v>253.63783528506309</c:v>
                </c:pt>
                <c:pt idx="90">
                  <c:v>283.27061185909446</c:v>
                </c:pt>
                <c:pt idx="91">
                  <c:v>335.25539738529108</c:v>
                </c:pt>
                <c:pt idx="92">
                  <c:v>327.43459849124326</c:v>
                </c:pt>
                <c:pt idx="93">
                  <c:v>255.27821040138591</c:v>
                </c:pt>
                <c:pt idx="94">
                  <c:v>290.85003068050594</c:v>
                </c:pt>
                <c:pt idx="95">
                  <c:v>262.78797111770746</c:v>
                </c:pt>
                <c:pt idx="96">
                  <c:v>268.5008153165241</c:v>
                </c:pt>
                <c:pt idx="97">
                  <c:v>261.56877295884959</c:v>
                </c:pt>
                <c:pt idx="98">
                  <c:v>289.92692220583342</c:v>
                </c:pt>
                <c:pt idx="99">
                  <c:v>521.45685423218492</c:v>
                </c:pt>
                <c:pt idx="100">
                  <c:v>280.43670894986724</c:v>
                </c:pt>
              </c:numCache>
            </c:numRef>
          </c:xVal>
          <c:yVal>
            <c:numRef>
              <c:f>'Why Use EG Mgmt'!$E$19:$E$218</c:f>
              <c:numCache>
                <c:formatCode>0</c:formatCode>
                <c:ptCount val="200"/>
                <c:pt idx="0">
                  <c:v>2183.5848337527414</c:v>
                </c:pt>
                <c:pt idx="1">
                  <c:v>1620.0051558769983</c:v>
                </c:pt>
                <c:pt idx="2">
                  <c:v>1131.2283576188156</c:v>
                </c:pt>
                <c:pt idx="3">
                  <c:v>580.08595290776032</c:v>
                </c:pt>
                <c:pt idx="4">
                  <c:v>1836.6803716150418</c:v>
                </c:pt>
                <c:pt idx="5">
                  <c:v>846.0096007261609</c:v>
                </c:pt>
                <c:pt idx="6">
                  <c:v>1306.4779382042564</c:v>
                </c:pt>
                <c:pt idx="7">
                  <c:v>1116.0659125678858</c:v>
                </c:pt>
                <c:pt idx="8">
                  <c:v>280.51962796679533</c:v>
                </c:pt>
                <c:pt idx="9">
                  <c:v>947.674631064962</c:v>
                </c:pt>
                <c:pt idx="10">
                  <c:v>875.131826667366</c:v>
                </c:pt>
                <c:pt idx="11">
                  <c:v>1710.4942578933897</c:v>
                </c:pt>
                <c:pt idx="12">
                  <c:v>1459.5989921327528</c:v>
                </c:pt>
                <c:pt idx="13">
                  <c:v>1072.9270713579328</c:v>
                </c:pt>
                <c:pt idx="14">
                  <c:v>1134.2333757439458</c:v>
                </c:pt>
                <c:pt idx="15">
                  <c:v>477.20290797928402</c:v>
                </c:pt>
                <c:pt idx="16">
                  <c:v>656.54241306548022</c:v>
                </c:pt>
                <c:pt idx="17">
                  <c:v>1699.4739907896369</c:v>
                </c:pt>
                <c:pt idx="18">
                  <c:v>1135.2789923260586</c:v>
                </c:pt>
                <c:pt idx="19">
                  <c:v>456.50709028155256</c:v>
                </c:pt>
                <c:pt idx="20">
                  <c:v>2012.2597454007175</c:v>
                </c:pt>
                <c:pt idx="21">
                  <c:v>767.14512173277024</c:v>
                </c:pt>
                <c:pt idx="22">
                  <c:v>671.09658706569269</c:v>
                </c:pt>
                <c:pt idx="23">
                  <c:v>1568.5575239848165</c:v>
                </c:pt>
                <c:pt idx="24">
                  <c:v>791.03825360978738</c:v>
                </c:pt>
                <c:pt idx="25">
                  <c:v>990.04179437373296</c:v>
                </c:pt>
                <c:pt idx="26">
                  <c:v>1447.5947752883906</c:v>
                </c:pt>
                <c:pt idx="27">
                  <c:v>2380.5199180622822</c:v>
                </c:pt>
                <c:pt idx="28">
                  <c:v>1309.3295629068691</c:v>
                </c:pt>
                <c:pt idx="29">
                  <c:v>915.61757389130753</c:v>
                </c:pt>
                <c:pt idx="30">
                  <c:v>939.52129850475626</c:v>
                </c:pt>
                <c:pt idx="31">
                  <c:v>884.75652825795055</c:v>
                </c:pt>
                <c:pt idx="32">
                  <c:v>1082.9430192807122</c:v>
                </c:pt>
                <c:pt idx="33">
                  <c:v>1032.8566606908983</c:v>
                </c:pt>
                <c:pt idx="34">
                  <c:v>961.85576424326484</c:v>
                </c:pt>
                <c:pt idx="35">
                  <c:v>918.22718536537934</c:v>
                </c:pt>
                <c:pt idx="36">
                  <c:v>1168.085640531993</c:v>
                </c:pt>
                <c:pt idx="37">
                  <c:v>900.4396139885057</c:v>
                </c:pt>
                <c:pt idx="38">
                  <c:v>660.34016768042102</c:v>
                </c:pt>
                <c:pt idx="39">
                  <c:v>965.26328538563791</c:v>
                </c:pt>
                <c:pt idx="40">
                  <c:v>1139.6606195980091</c:v>
                </c:pt>
                <c:pt idx="41">
                  <c:v>783.32593089597708</c:v>
                </c:pt>
                <c:pt idx="42">
                  <c:v>483.52166172648737</c:v>
                </c:pt>
                <c:pt idx="43">
                  <c:v>812.21442477729761</c:v>
                </c:pt>
                <c:pt idx="44">
                  <c:v>826.37841573418962</c:v>
                </c:pt>
                <c:pt idx="45">
                  <c:v>993.58547924384902</c:v>
                </c:pt>
                <c:pt idx="46">
                  <c:v>1849.8722614006865</c:v>
                </c:pt>
                <c:pt idx="47">
                  <c:v>1561.7823487973467</c:v>
                </c:pt>
                <c:pt idx="48">
                  <c:v>833.99379801007171</c:v>
                </c:pt>
                <c:pt idx="49">
                  <c:v>951.6099226271557</c:v>
                </c:pt>
                <c:pt idx="50">
                  <c:v>1245.7940312605622</c:v>
                </c:pt>
                <c:pt idx="51">
                  <c:v>1795.2077456478412</c:v>
                </c:pt>
                <c:pt idx="52">
                  <c:v>1275.1568867244166</c:v>
                </c:pt>
                <c:pt idx="53">
                  <c:v>501.30998084163087</c:v>
                </c:pt>
                <c:pt idx="54">
                  <c:v>944.55423676597582</c:v>
                </c:pt>
                <c:pt idx="55">
                  <c:v>1670.1530947607685</c:v>
                </c:pt>
                <c:pt idx="56">
                  <c:v>805.0823795303985</c:v>
                </c:pt>
                <c:pt idx="57">
                  <c:v>477.87341662813503</c:v>
                </c:pt>
                <c:pt idx="58">
                  <c:v>944.23156594206819</c:v>
                </c:pt>
                <c:pt idx="59">
                  <c:v>1679.4605413308873</c:v>
                </c:pt>
                <c:pt idx="60">
                  <c:v>1245.2297116939128</c:v>
                </c:pt>
                <c:pt idx="61">
                  <c:v>636.55214750180403</c:v>
                </c:pt>
                <c:pt idx="62">
                  <c:v>1080.8543728339039</c:v>
                </c:pt>
                <c:pt idx="63">
                  <c:v>1110.0366217579667</c:v>
                </c:pt>
                <c:pt idx="64">
                  <c:v>1169.3718117607077</c:v>
                </c:pt>
                <c:pt idx="65">
                  <c:v>1079.7261345637228</c:v>
                </c:pt>
                <c:pt idx="66">
                  <c:v>1509.9421218312179</c:v>
                </c:pt>
                <c:pt idx="67">
                  <c:v>957.2387486768846</c:v>
                </c:pt>
                <c:pt idx="68">
                  <c:v>1924.9919948887716</c:v>
                </c:pt>
                <c:pt idx="69">
                  <c:v>997.30805482586607</c:v>
                </c:pt>
                <c:pt idx="70">
                  <c:v>972.19765286251572</c:v>
                </c:pt>
                <c:pt idx="71">
                  <c:v>1770.0640641454138</c:v>
                </c:pt>
                <c:pt idx="72">
                  <c:v>1083.2114673080705</c:v>
                </c:pt>
                <c:pt idx="73">
                  <c:v>1200.3260157594505</c:v>
                </c:pt>
                <c:pt idx="74">
                  <c:v>512.27793964665489</c:v>
                </c:pt>
                <c:pt idx="75">
                  <c:v>715.79994199175701</c:v>
                </c:pt>
                <c:pt idx="76">
                  <c:v>1201.4394226736565</c:v>
                </c:pt>
                <c:pt idx="77">
                  <c:v>723.81856554158333</c:v>
                </c:pt>
                <c:pt idx="78">
                  <c:v>640.77476025311091</c:v>
                </c:pt>
                <c:pt idx="79">
                  <c:v>1017.03093626058</c:v>
                </c:pt>
                <c:pt idx="80">
                  <c:v>2509.1006548028599</c:v>
                </c:pt>
                <c:pt idx="81">
                  <c:v>1640.8196488803155</c:v>
                </c:pt>
                <c:pt idx="82">
                  <c:v>1190.6617629979924</c:v>
                </c:pt>
                <c:pt idx="83">
                  <c:v>1134.7085189845679</c:v>
                </c:pt>
                <c:pt idx="84">
                  <c:v>869.32216789082304</c:v>
                </c:pt>
                <c:pt idx="85">
                  <c:v>909.72325160788705</c:v>
                </c:pt>
                <c:pt idx="86">
                  <c:v>1506.5956921121053</c:v>
                </c:pt>
                <c:pt idx="87">
                  <c:v>1284.046520818295</c:v>
                </c:pt>
                <c:pt idx="88">
                  <c:v>559.21719500578683</c:v>
                </c:pt>
                <c:pt idx="89">
                  <c:v>662.3249325246918</c:v>
                </c:pt>
                <c:pt idx="90">
                  <c:v>1086.0728244928484</c:v>
                </c:pt>
                <c:pt idx="91">
                  <c:v>704.20263679513482</c:v>
                </c:pt>
                <c:pt idx="92">
                  <c:v>519.15891855604184</c:v>
                </c:pt>
                <c:pt idx="93">
                  <c:v>410.65638739279285</c:v>
                </c:pt>
                <c:pt idx="94">
                  <c:v>517.03534385530929</c:v>
                </c:pt>
                <c:pt idx="95">
                  <c:v>545.58336618250542</c:v>
                </c:pt>
                <c:pt idx="96">
                  <c:v>640.64297227320924</c:v>
                </c:pt>
                <c:pt idx="97">
                  <c:v>873.1799288731778</c:v>
                </c:pt>
                <c:pt idx="98">
                  <c:v>1587.9605270000511</c:v>
                </c:pt>
                <c:pt idx="99">
                  <c:v>880.58907644974477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2-4155-BFAF-310E815E86D3}"/>
            </c:ext>
          </c:extLst>
        </c:ser>
        <c:ser>
          <c:idx val="1"/>
          <c:order val="1"/>
          <c:tx>
            <c:v>true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290.54951271122849</c:v>
                </c:pt>
                <c:pt idx="2">
                  <c:v>276.89036870981948</c:v>
                </c:pt>
                <c:pt idx="3">
                  <c:v>472.4794049527394</c:v>
                </c:pt>
                <c:pt idx="4">
                  <c:v>370.18296186574526</c:v>
                </c:pt>
                <c:pt idx="5">
                  <c:v>441.77954747701818</c:v>
                </c:pt>
                <c:pt idx="6">
                  <c:v>316.45106848629797</c:v>
                </c:pt>
                <c:pt idx="7">
                  <c:v>417.03352045762585</c:v>
                </c:pt>
                <c:pt idx="8">
                  <c:v>257.8859925306154</c:v>
                </c:pt>
                <c:pt idx="9">
                  <c:v>231.03749622360215</c:v>
                </c:pt>
                <c:pt idx="10">
                  <c:v>196.95527652386599</c:v>
                </c:pt>
                <c:pt idx="11">
                  <c:v>280.16751755743178</c:v>
                </c:pt>
                <c:pt idx="12">
                  <c:v>260.70036798543401</c:v>
                </c:pt>
                <c:pt idx="13">
                  <c:v>360.12032050896028</c:v>
                </c:pt>
                <c:pt idx="14">
                  <c:v>305.90816615190778</c:v>
                </c:pt>
                <c:pt idx="15">
                  <c:v>280.12388121384515</c:v>
                </c:pt>
                <c:pt idx="16">
                  <c:v>253.53942380278335</c:v>
                </c:pt>
                <c:pt idx="17">
                  <c:v>259.40322399280876</c:v>
                </c:pt>
                <c:pt idx="18">
                  <c:v>567.32952692550384</c:v>
                </c:pt>
                <c:pt idx="19">
                  <c:v>527.83299921134926</c:v>
                </c:pt>
                <c:pt idx="20">
                  <c:v>282.92159820550637</c:v>
                </c:pt>
                <c:pt idx="21">
                  <c:v>311.34827558385086</c:v>
                </c:pt>
                <c:pt idx="22">
                  <c:v>267.68055082695309</c:v>
                </c:pt>
                <c:pt idx="23">
                  <c:v>319.94093932188468</c:v>
                </c:pt>
                <c:pt idx="24">
                  <c:v>292.55044027467704</c:v>
                </c:pt>
                <c:pt idx="25">
                  <c:v>252.81178494285879</c:v>
                </c:pt>
                <c:pt idx="26">
                  <c:v>283.28813281144255</c:v>
                </c:pt>
                <c:pt idx="27">
                  <c:v>409.99071353180028</c:v>
                </c:pt>
                <c:pt idx="28">
                  <c:v>405.62574423870126</c:v>
                </c:pt>
                <c:pt idx="29">
                  <c:v>312.14655274367692</c:v>
                </c:pt>
                <c:pt idx="30">
                  <c:v>336.64302348038387</c:v>
                </c:pt>
                <c:pt idx="31">
                  <c:v>466.49365828091129</c:v>
                </c:pt>
                <c:pt idx="32">
                  <c:v>293.31540387199834</c:v>
                </c:pt>
                <c:pt idx="33">
                  <c:v>293.85160495459144</c:v>
                </c:pt>
                <c:pt idx="34">
                  <c:v>262.812529850695</c:v>
                </c:pt>
                <c:pt idx="35">
                  <c:v>262.7658373740494</c:v>
                </c:pt>
                <c:pt idx="36">
                  <c:v>256.93559828189393</c:v>
                </c:pt>
                <c:pt idx="37">
                  <c:v>250.00244826398767</c:v>
                </c:pt>
                <c:pt idx="38">
                  <c:v>399.44635355369041</c:v>
                </c:pt>
                <c:pt idx="39">
                  <c:v>204.89755016457212</c:v>
                </c:pt>
                <c:pt idx="40">
                  <c:v>423.456122103908</c:v>
                </c:pt>
                <c:pt idx="41">
                  <c:v>262.04201698429767</c:v>
                </c:pt>
                <c:pt idx="42">
                  <c:v>271.3287026849581</c:v>
                </c:pt>
                <c:pt idx="43">
                  <c:v>252.47461639232762</c:v>
                </c:pt>
                <c:pt idx="44">
                  <c:v>323.08780432572019</c:v>
                </c:pt>
                <c:pt idx="45">
                  <c:v>291.0639329037765</c:v>
                </c:pt>
                <c:pt idx="46">
                  <c:v>361.02925588111259</c:v>
                </c:pt>
                <c:pt idx="47">
                  <c:v>291.01147399200829</c:v>
                </c:pt>
                <c:pt idx="48">
                  <c:v>293.55238525366894</c:v>
                </c:pt>
                <c:pt idx="49">
                  <c:v>297.48078030575465</c:v>
                </c:pt>
                <c:pt idx="50">
                  <c:v>360.39867426104348</c:v>
                </c:pt>
                <c:pt idx="51">
                  <c:v>403.86418957725255</c:v>
                </c:pt>
                <c:pt idx="52">
                  <c:v>508.97798321095411</c:v>
                </c:pt>
                <c:pt idx="53">
                  <c:v>302.54775943670307</c:v>
                </c:pt>
                <c:pt idx="54">
                  <c:v>263.98067947756056</c:v>
                </c:pt>
                <c:pt idx="55">
                  <c:v>256.18372954643991</c:v>
                </c:pt>
                <c:pt idx="56">
                  <c:v>453.85373472131289</c:v>
                </c:pt>
                <c:pt idx="57">
                  <c:v>292.05904571042993</c:v>
                </c:pt>
                <c:pt idx="58">
                  <c:v>270.85430551117844</c:v>
                </c:pt>
                <c:pt idx="59">
                  <c:v>260.76149737170834</c:v>
                </c:pt>
                <c:pt idx="60">
                  <c:v>256.02270817450102</c:v>
                </c:pt>
                <c:pt idx="61">
                  <c:v>307.59532271354647</c:v>
                </c:pt>
                <c:pt idx="62">
                  <c:v>430.76651771287675</c:v>
                </c:pt>
                <c:pt idx="63">
                  <c:v>264.73654600642618</c:v>
                </c:pt>
                <c:pt idx="64">
                  <c:v>266.56593323277031</c:v>
                </c:pt>
                <c:pt idx="65">
                  <c:v>478.18366366162849</c:v>
                </c:pt>
                <c:pt idx="66">
                  <c:v>288.9581294488529</c:v>
                </c:pt>
                <c:pt idx="67">
                  <c:v>256.18003512815824</c:v>
                </c:pt>
                <c:pt idx="68">
                  <c:v>349.99447738012998</c:v>
                </c:pt>
                <c:pt idx="69">
                  <c:v>396.04362715987747</c:v>
                </c:pt>
                <c:pt idx="70">
                  <c:v>380.62593844861567</c:v>
                </c:pt>
                <c:pt idx="71">
                  <c:v>382.80858523583777</c:v>
                </c:pt>
                <c:pt idx="72">
                  <c:v>627.66418624528103</c:v>
                </c:pt>
                <c:pt idx="73">
                  <c:v>368.0099719472139</c:v>
                </c:pt>
                <c:pt idx="74">
                  <c:v>301.16256453601926</c:v>
                </c:pt>
                <c:pt idx="75">
                  <c:v>261.94559718210758</c:v>
                </c:pt>
                <c:pt idx="76">
                  <c:v>292.97755392729215</c:v>
                </c:pt>
                <c:pt idx="77">
                  <c:v>324.23343080979822</c:v>
                </c:pt>
                <c:pt idx="78">
                  <c:v>263.27062174530329</c:v>
                </c:pt>
                <c:pt idx="79">
                  <c:v>283.29982248452387</c:v>
                </c:pt>
                <c:pt idx="80">
                  <c:v>425.81298330160467</c:v>
                </c:pt>
                <c:pt idx="81">
                  <c:v>609.91307685605489</c:v>
                </c:pt>
                <c:pt idx="82">
                  <c:v>508.98295337294229</c:v>
                </c:pt>
                <c:pt idx="83">
                  <c:v>328.03514902807342</c:v>
                </c:pt>
                <c:pt idx="84">
                  <c:v>279.7443901869907</c:v>
                </c:pt>
                <c:pt idx="85">
                  <c:v>283.42063914350473</c:v>
                </c:pt>
                <c:pt idx="86">
                  <c:v>322.83083079040148</c:v>
                </c:pt>
                <c:pt idx="87">
                  <c:v>307.6187442160512</c:v>
                </c:pt>
                <c:pt idx="88">
                  <c:v>293.20139315741898</c:v>
                </c:pt>
                <c:pt idx="89">
                  <c:v>253.63783528506309</c:v>
                </c:pt>
                <c:pt idx="90">
                  <c:v>283.27061185909446</c:v>
                </c:pt>
                <c:pt idx="91">
                  <c:v>335.25539738529108</c:v>
                </c:pt>
                <c:pt idx="92">
                  <c:v>327.43459849124326</c:v>
                </c:pt>
                <c:pt idx="93">
                  <c:v>255.27821040138591</c:v>
                </c:pt>
                <c:pt idx="94">
                  <c:v>290.85003068050594</c:v>
                </c:pt>
                <c:pt idx="95">
                  <c:v>262.78797111770746</c:v>
                </c:pt>
                <c:pt idx="96">
                  <c:v>268.5008153165241</c:v>
                </c:pt>
                <c:pt idx="97">
                  <c:v>261.56877295884959</c:v>
                </c:pt>
                <c:pt idx="98">
                  <c:v>289.92692220583342</c:v>
                </c:pt>
                <c:pt idx="99">
                  <c:v>521.45685423218492</c:v>
                </c:pt>
                <c:pt idx="100">
                  <c:v>280.43670894986724</c:v>
                </c:pt>
              </c:numCache>
            </c:numRef>
          </c:xVal>
          <c:yVal>
            <c:numRef>
              <c:f>'Why Use EG Mgmt'!$C$19:$C$218</c:f>
              <c:numCache>
                <c:formatCode>0</c:formatCode>
                <c:ptCount val="200"/>
                <c:pt idx="0">
                  <c:v>1639.906920351458</c:v>
                </c:pt>
                <c:pt idx="1">
                  <c:v>973.81805922469391</c:v>
                </c:pt>
                <c:pt idx="2">
                  <c:v>940.80065965181836</c:v>
                </c:pt>
                <c:pt idx="3">
                  <c:v>1320.1686249944614</c:v>
                </c:pt>
                <c:pt idx="4">
                  <c:v>1145.7496444643045</c:v>
                </c:pt>
                <c:pt idx="5">
                  <c:v>1272.8725157600552</c:v>
                </c:pt>
                <c:pt idx="6">
                  <c:v>1033.511554682409</c:v>
                </c:pt>
                <c:pt idx="7">
                  <c:v>1231.6784145893969</c:v>
                </c:pt>
                <c:pt idx="8">
                  <c:v>893.04020772684919</c:v>
                </c:pt>
                <c:pt idx="9">
                  <c:v>821.83736480039863</c:v>
                </c:pt>
                <c:pt idx="10">
                  <c:v>724.89107610986139</c:v>
                </c:pt>
                <c:pt idx="11">
                  <c:v>948.82102133602484</c:v>
                </c:pt>
                <c:pt idx="12">
                  <c:v>900.24897547319961</c:v>
                </c:pt>
                <c:pt idx="13">
                  <c:v>1125.8773515421476</c:v>
                </c:pt>
                <c:pt idx="14">
                  <c:v>1009.6679366105108</c:v>
                </c:pt>
                <c:pt idx="15">
                  <c:v>948.71463914079538</c:v>
                </c:pt>
                <c:pt idx="16">
                  <c:v>881.81290274424077</c:v>
                </c:pt>
                <c:pt idx="17">
                  <c:v>896.93238167215213</c:v>
                </c:pt>
                <c:pt idx="18">
                  <c:v>1441.7469027273839</c:v>
                </c:pt>
                <c:pt idx="19">
                  <c:v>1395.4147265534248</c:v>
                </c:pt>
                <c:pt idx="20">
                  <c:v>955.51286038287515</c:v>
                </c:pt>
                <c:pt idx="21">
                  <c:v>1022.0481336973991</c:v>
                </c:pt>
                <c:pt idx="22">
                  <c:v>917.92321578908729</c:v>
                </c:pt>
                <c:pt idx="23">
                  <c:v>1041.2690356167525</c:v>
                </c:pt>
                <c:pt idx="24">
                  <c:v>978.56445599378696</c:v>
                </c:pt>
                <c:pt idx="25">
                  <c:v>879.9221994931288</c:v>
                </c:pt>
                <c:pt idx="26">
                  <c:v>956.40014196845129</c:v>
                </c:pt>
                <c:pt idx="27">
                  <c:v>1219.4360734510012</c:v>
                </c:pt>
                <c:pt idx="28">
                  <c:v>1211.7309796578268</c:v>
                </c:pt>
                <c:pt idx="29">
                  <c:v>1023.8509569105942</c:v>
                </c:pt>
                <c:pt idx="30">
                  <c:v>1077.479792708011</c:v>
                </c:pt>
                <c:pt idx="31">
                  <c:v>1311.2691548149201</c:v>
                </c:pt>
                <c:pt idx="32">
                  <c:v>980.37297882919472</c:v>
                </c:pt>
                <c:pt idx="33">
                  <c:v>981.63867237433431</c:v>
                </c:pt>
                <c:pt idx="34">
                  <c:v>905.62782630004369</c:v>
                </c:pt>
                <c:pt idx="35">
                  <c:v>905.50920779686362</c:v>
                </c:pt>
                <c:pt idx="36">
                  <c:v>890.59507675890006</c:v>
                </c:pt>
                <c:pt idx="37">
                  <c:v>872.59214830788005</c:v>
                </c:pt>
                <c:pt idx="38">
                  <c:v>1200.6677251715168</c:v>
                </c:pt>
                <c:pt idx="39">
                  <c:v>748.1567753745926</c:v>
                </c:pt>
                <c:pt idx="40">
                  <c:v>1242.6404363629447</c:v>
                </c:pt>
                <c:pt idx="41">
                  <c:v>903.66872997262385</c:v>
                </c:pt>
                <c:pt idx="42">
                  <c:v>927.0451855529144</c:v>
                </c:pt>
                <c:pt idx="43">
                  <c:v>879.04500634351155</c:v>
                </c:pt>
                <c:pt idx="44">
                  <c:v>1048.2069554640043</c:v>
                </c:pt>
                <c:pt idx="45">
                  <c:v>975.04050218470184</c:v>
                </c:pt>
                <c:pt idx="46">
                  <c:v>1127.6935734271772</c:v>
                </c:pt>
                <c:pt idx="47">
                  <c:v>974.91591078322301</c:v>
                </c:pt>
                <c:pt idx="48">
                  <c:v>980.93257151950638</c:v>
                </c:pt>
                <c:pt idx="49">
                  <c:v>990.16226979287114</c:v>
                </c:pt>
                <c:pt idx="50">
                  <c:v>1126.434003760133</c:v>
                </c:pt>
                <c:pt idx="51">
                  <c:v>1208.5957983429732</c:v>
                </c:pt>
                <c:pt idx="52">
                  <c:v>1371.1797469390112</c:v>
                </c:pt>
                <c:pt idx="53">
                  <c:v>1001.9379844945728</c:v>
                </c:pt>
                <c:pt idx="54">
                  <c:v>908.59117196559623</c:v>
                </c:pt>
                <c:pt idx="55">
                  <c:v>888.65683716526144</c:v>
                </c:pt>
                <c:pt idx="56">
                  <c:v>1291.9671278711542</c:v>
                </c:pt>
                <c:pt idx="57">
                  <c:v>977.40094086223962</c:v>
                </c:pt>
                <c:pt idx="58">
                  <c:v>925.86344184375287</c:v>
                </c:pt>
                <c:pt idx="59">
                  <c:v>900.40502422101281</c:v>
                </c:pt>
                <c:pt idx="60">
                  <c:v>888.24129632659981</c:v>
                </c:pt>
                <c:pt idx="61">
                  <c:v>1013.525077510592</c:v>
                </c:pt>
                <c:pt idx="62">
                  <c:v>1254.8856142178079</c:v>
                </c:pt>
                <c:pt idx="63">
                  <c:v>910.50429783222035</c:v>
                </c:pt>
                <c:pt idx="64">
                  <c:v>915.1204390809695</c:v>
                </c:pt>
                <c:pt idx="65">
                  <c:v>1328.5072581903892</c:v>
                </c:pt>
                <c:pt idx="66">
                  <c:v>970.02676836334035</c:v>
                </c:pt>
                <c:pt idx="67">
                  <c:v>888.64730489905787</c:v>
                </c:pt>
                <c:pt idx="68">
                  <c:v>1105.3561813376564</c:v>
                </c:pt>
                <c:pt idx="69">
                  <c:v>1194.4973492356301</c:v>
                </c:pt>
                <c:pt idx="70">
                  <c:v>1165.83303917896</c:v>
                </c:pt>
                <c:pt idx="71">
                  <c:v>1169.9619449303918</c:v>
                </c:pt>
                <c:pt idx="72">
                  <c:v>1501.6820146020618</c:v>
                </c:pt>
                <c:pt idx="73">
                  <c:v>1141.5018236246183</c:v>
                </c:pt>
                <c:pt idx="74">
                  <c:v>998.73316007425615</c:v>
                </c:pt>
                <c:pt idx="75">
                  <c:v>903.42332378930564</c:v>
                </c:pt>
                <c:pt idx="76">
                  <c:v>979.57464761448693</c:v>
                </c:pt>
                <c:pt idx="77">
                  <c:v>1050.719336566731</c:v>
                </c:pt>
                <c:pt idx="78">
                  <c:v>906.79088016075207</c:v>
                </c:pt>
                <c:pt idx="79">
                  <c:v>956.42842670454979</c:v>
                </c:pt>
                <c:pt idx="80">
                  <c:v>1246.6151286639276</c:v>
                </c:pt>
                <c:pt idx="81">
                  <c:v>1485.3465235400893</c:v>
                </c:pt>
                <c:pt idx="82">
                  <c:v>1371.1863214525704</c:v>
                </c:pt>
                <c:pt idx="83">
                  <c:v>1059.0055806102907</c:v>
                </c:pt>
                <c:pt idx="84">
                  <c:v>947.78900019995717</c:v>
                </c:pt>
                <c:pt idx="85">
                  <c:v>956.72071247054009</c:v>
                </c:pt>
                <c:pt idx="86">
                  <c:v>1047.6424275215397</c:v>
                </c:pt>
                <c:pt idx="87">
                  <c:v>1013.5785114366504</c:v>
                </c:pt>
                <c:pt idx="88">
                  <c:v>980.10364708507029</c:v>
                </c:pt>
                <c:pt idx="89">
                  <c:v>882.06836903414592</c:v>
                </c:pt>
                <c:pt idx="90">
                  <c:v>956.35774618482299</c:v>
                </c:pt>
                <c:pt idx="91">
                  <c:v>1074.5284833821199</c:v>
                </c:pt>
                <c:pt idx="92">
                  <c:v>1057.7018182345328</c:v>
                </c:pt>
                <c:pt idx="93">
                  <c:v>886.31796323495223</c:v>
                </c:pt>
                <c:pt idx="94">
                  <c:v>974.53237948376534</c:v>
                </c:pt>
                <c:pt idx="95">
                  <c:v>905.56543842975157</c:v>
                </c:pt>
                <c:pt idx="96">
                  <c:v>919.98110812765697</c:v>
                </c:pt>
                <c:pt idx="97">
                  <c:v>902.46370206146378</c:v>
                </c:pt>
                <c:pt idx="98">
                  <c:v>972.33653759113963</c:v>
                </c:pt>
                <c:pt idx="99">
                  <c:v>1387.3762921172372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62-4155-BFAF-310E815E86D3}"/>
            </c:ext>
          </c:extLst>
        </c:ser>
        <c:ser>
          <c:idx val="2"/>
          <c:order val="2"/>
          <c:tx>
            <c:v>estimated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'Why Use EG Mgmt'!$A$18:$A$217</c:f>
              <c:numCache>
                <c:formatCode>0</c:formatCode>
                <c:ptCount val="200"/>
                <c:pt idx="0">
                  <c:v>900</c:v>
                </c:pt>
                <c:pt idx="1">
                  <c:v>290.54951271122849</c:v>
                </c:pt>
                <c:pt idx="2">
                  <c:v>276.89036870981948</c:v>
                </c:pt>
                <c:pt idx="3">
                  <c:v>472.4794049527394</c:v>
                </c:pt>
                <c:pt idx="4">
                  <c:v>370.18296186574526</c:v>
                </c:pt>
                <c:pt idx="5">
                  <c:v>441.77954747701818</c:v>
                </c:pt>
                <c:pt idx="6">
                  <c:v>316.45106848629797</c:v>
                </c:pt>
                <c:pt idx="7">
                  <c:v>417.03352045762585</c:v>
                </c:pt>
                <c:pt idx="8">
                  <c:v>257.8859925306154</c:v>
                </c:pt>
                <c:pt idx="9">
                  <c:v>231.03749622360215</c:v>
                </c:pt>
                <c:pt idx="10">
                  <c:v>196.95527652386599</c:v>
                </c:pt>
                <c:pt idx="11">
                  <c:v>280.16751755743178</c:v>
                </c:pt>
                <c:pt idx="12">
                  <c:v>260.70036798543401</c:v>
                </c:pt>
                <c:pt idx="13">
                  <c:v>360.12032050896028</c:v>
                </c:pt>
                <c:pt idx="14">
                  <c:v>305.90816615190778</c:v>
                </c:pt>
                <c:pt idx="15">
                  <c:v>280.12388121384515</c:v>
                </c:pt>
                <c:pt idx="16">
                  <c:v>253.53942380278335</c:v>
                </c:pt>
                <c:pt idx="17">
                  <c:v>259.40322399280876</c:v>
                </c:pt>
                <c:pt idx="18">
                  <c:v>567.32952692550384</c:v>
                </c:pt>
                <c:pt idx="19">
                  <c:v>527.83299921134926</c:v>
                </c:pt>
                <c:pt idx="20">
                  <c:v>282.92159820550637</c:v>
                </c:pt>
                <c:pt idx="21">
                  <c:v>311.34827558385086</c:v>
                </c:pt>
                <c:pt idx="22">
                  <c:v>267.68055082695309</c:v>
                </c:pt>
                <c:pt idx="23">
                  <c:v>319.94093932188468</c:v>
                </c:pt>
                <c:pt idx="24">
                  <c:v>292.55044027467704</c:v>
                </c:pt>
                <c:pt idx="25">
                  <c:v>252.81178494285879</c:v>
                </c:pt>
                <c:pt idx="26">
                  <c:v>283.28813281144255</c:v>
                </c:pt>
                <c:pt idx="27">
                  <c:v>409.99071353180028</c:v>
                </c:pt>
                <c:pt idx="28">
                  <c:v>405.62574423870126</c:v>
                </c:pt>
                <c:pt idx="29">
                  <c:v>312.14655274367692</c:v>
                </c:pt>
                <c:pt idx="30">
                  <c:v>336.64302348038387</c:v>
                </c:pt>
                <c:pt idx="31">
                  <c:v>466.49365828091129</c:v>
                </c:pt>
                <c:pt idx="32">
                  <c:v>293.31540387199834</c:v>
                </c:pt>
                <c:pt idx="33">
                  <c:v>293.85160495459144</c:v>
                </c:pt>
                <c:pt idx="34">
                  <c:v>262.812529850695</c:v>
                </c:pt>
                <c:pt idx="35">
                  <c:v>262.7658373740494</c:v>
                </c:pt>
                <c:pt idx="36">
                  <c:v>256.93559828189393</c:v>
                </c:pt>
                <c:pt idx="37">
                  <c:v>250.00244826398767</c:v>
                </c:pt>
                <c:pt idx="38">
                  <c:v>399.44635355369041</c:v>
                </c:pt>
                <c:pt idx="39">
                  <c:v>204.89755016457212</c:v>
                </c:pt>
                <c:pt idx="40">
                  <c:v>423.456122103908</c:v>
                </c:pt>
                <c:pt idx="41">
                  <c:v>262.04201698429767</c:v>
                </c:pt>
                <c:pt idx="42">
                  <c:v>271.3287026849581</c:v>
                </c:pt>
                <c:pt idx="43">
                  <c:v>252.47461639232762</c:v>
                </c:pt>
                <c:pt idx="44">
                  <c:v>323.08780432572019</c:v>
                </c:pt>
                <c:pt idx="45">
                  <c:v>291.0639329037765</c:v>
                </c:pt>
                <c:pt idx="46">
                  <c:v>361.02925588111259</c:v>
                </c:pt>
                <c:pt idx="47">
                  <c:v>291.01147399200829</c:v>
                </c:pt>
                <c:pt idx="48">
                  <c:v>293.55238525366894</c:v>
                </c:pt>
                <c:pt idx="49">
                  <c:v>297.48078030575465</c:v>
                </c:pt>
                <c:pt idx="50">
                  <c:v>360.39867426104348</c:v>
                </c:pt>
                <c:pt idx="51">
                  <c:v>403.86418957725255</c:v>
                </c:pt>
                <c:pt idx="52">
                  <c:v>508.97798321095411</c:v>
                </c:pt>
                <c:pt idx="53">
                  <c:v>302.54775943670307</c:v>
                </c:pt>
                <c:pt idx="54">
                  <c:v>263.98067947756056</c:v>
                </c:pt>
                <c:pt idx="55">
                  <c:v>256.18372954643991</c:v>
                </c:pt>
                <c:pt idx="56">
                  <c:v>453.85373472131289</c:v>
                </c:pt>
                <c:pt idx="57">
                  <c:v>292.05904571042993</c:v>
                </c:pt>
                <c:pt idx="58">
                  <c:v>270.85430551117844</c:v>
                </c:pt>
                <c:pt idx="59">
                  <c:v>260.76149737170834</c:v>
                </c:pt>
                <c:pt idx="60">
                  <c:v>256.02270817450102</c:v>
                </c:pt>
                <c:pt idx="61">
                  <c:v>307.59532271354647</c:v>
                </c:pt>
                <c:pt idx="62">
                  <c:v>430.76651771287675</c:v>
                </c:pt>
                <c:pt idx="63">
                  <c:v>264.73654600642618</c:v>
                </c:pt>
                <c:pt idx="64">
                  <c:v>266.56593323277031</c:v>
                </c:pt>
                <c:pt idx="65">
                  <c:v>478.18366366162849</c:v>
                </c:pt>
                <c:pt idx="66">
                  <c:v>288.9581294488529</c:v>
                </c:pt>
                <c:pt idx="67">
                  <c:v>256.18003512815824</c:v>
                </c:pt>
                <c:pt idx="68">
                  <c:v>349.99447738012998</c:v>
                </c:pt>
                <c:pt idx="69">
                  <c:v>396.04362715987747</c:v>
                </c:pt>
                <c:pt idx="70">
                  <c:v>380.62593844861567</c:v>
                </c:pt>
                <c:pt idx="71">
                  <c:v>382.80858523583777</c:v>
                </c:pt>
                <c:pt idx="72">
                  <c:v>627.66418624528103</c:v>
                </c:pt>
                <c:pt idx="73">
                  <c:v>368.0099719472139</c:v>
                </c:pt>
                <c:pt idx="74">
                  <c:v>301.16256453601926</c:v>
                </c:pt>
                <c:pt idx="75">
                  <c:v>261.94559718210758</c:v>
                </c:pt>
                <c:pt idx="76">
                  <c:v>292.97755392729215</c:v>
                </c:pt>
                <c:pt idx="77">
                  <c:v>324.23343080979822</c:v>
                </c:pt>
                <c:pt idx="78">
                  <c:v>263.27062174530329</c:v>
                </c:pt>
                <c:pt idx="79">
                  <c:v>283.29982248452387</c:v>
                </c:pt>
                <c:pt idx="80">
                  <c:v>425.81298330160467</c:v>
                </c:pt>
                <c:pt idx="81">
                  <c:v>609.91307685605489</c:v>
                </c:pt>
                <c:pt idx="82">
                  <c:v>508.98295337294229</c:v>
                </c:pt>
                <c:pt idx="83">
                  <c:v>328.03514902807342</c:v>
                </c:pt>
                <c:pt idx="84">
                  <c:v>279.7443901869907</c:v>
                </c:pt>
                <c:pt idx="85">
                  <c:v>283.42063914350473</c:v>
                </c:pt>
                <c:pt idx="86">
                  <c:v>322.83083079040148</c:v>
                </c:pt>
                <c:pt idx="87">
                  <c:v>307.6187442160512</c:v>
                </c:pt>
                <c:pt idx="88">
                  <c:v>293.20139315741898</c:v>
                </c:pt>
                <c:pt idx="89">
                  <c:v>253.63783528506309</c:v>
                </c:pt>
                <c:pt idx="90">
                  <c:v>283.27061185909446</c:v>
                </c:pt>
                <c:pt idx="91">
                  <c:v>335.25539738529108</c:v>
                </c:pt>
                <c:pt idx="92">
                  <c:v>327.43459849124326</c:v>
                </c:pt>
                <c:pt idx="93">
                  <c:v>255.27821040138591</c:v>
                </c:pt>
                <c:pt idx="94">
                  <c:v>290.85003068050594</c:v>
                </c:pt>
                <c:pt idx="95">
                  <c:v>262.78797111770746</c:v>
                </c:pt>
                <c:pt idx="96">
                  <c:v>268.5008153165241</c:v>
                </c:pt>
                <c:pt idx="97">
                  <c:v>261.56877295884959</c:v>
                </c:pt>
                <c:pt idx="98">
                  <c:v>289.92692220583342</c:v>
                </c:pt>
                <c:pt idx="99">
                  <c:v>521.45685423218492</c:v>
                </c:pt>
                <c:pt idx="100">
                  <c:v>280.43670894986724</c:v>
                </c:pt>
              </c:numCache>
            </c:numRef>
          </c:xVal>
          <c:yVal>
            <c:numRef>
              <c:f>'Why Use EG Mgmt'!$N$19:$N$218</c:f>
              <c:numCache>
                <c:formatCode>0</c:formatCode>
                <c:ptCount val="200"/>
                <c:pt idx="0">
                  <c:v>1227.817080046028</c:v>
                </c:pt>
                <c:pt idx="1">
                  <c:v>910.40957791420658</c:v>
                </c:pt>
                <c:pt idx="2">
                  <c:v>883.93054959648055</c:v>
                </c:pt>
                <c:pt idx="3">
                  <c:v>1155.0433906569158</c:v>
                </c:pt>
                <c:pt idx="4">
                  <c:v>1040.5114524712862</c:v>
                </c:pt>
                <c:pt idx="5">
                  <c:v>1126.1908709507898</c:v>
                </c:pt>
                <c:pt idx="6">
                  <c:v>957.13996926155892</c:v>
                </c:pt>
                <c:pt idx="7">
                  <c:v>1099.6144575635665</c:v>
                </c:pt>
                <c:pt idx="8">
                  <c:v>844.88763486432322</c:v>
                </c:pt>
                <c:pt idx="9">
                  <c:v>785.16793186068264</c:v>
                </c:pt>
                <c:pt idx="10">
                  <c:v>701.20156835708747</c:v>
                </c:pt>
                <c:pt idx="11">
                  <c:v>890.40220185804537</c:v>
                </c:pt>
                <c:pt idx="12">
                  <c:v>850.83472614873881</c:v>
                </c:pt>
                <c:pt idx="13">
                  <c:v>1026.2203265087849</c:v>
                </c:pt>
                <c:pt idx="14">
                  <c:v>938.65733336598657</c:v>
                </c:pt>
                <c:pt idx="15">
                  <c:v>890.31652572191683</c:v>
                </c:pt>
                <c:pt idx="16">
                  <c:v>835.58806429700724</c:v>
                </c:pt>
                <c:pt idx="17">
                  <c:v>848.10094193021973</c:v>
                </c:pt>
                <c:pt idx="18">
                  <c:v>1218.5631646083057</c:v>
                </c:pt>
                <c:pt idx="19">
                  <c:v>1196.4996622721976</c:v>
                </c:pt>
                <c:pt idx="20">
                  <c:v>895.78262674864743</c:v>
                </c:pt>
                <c:pt idx="21">
                  <c:v>948.28520300587491</c:v>
                </c:pt>
                <c:pt idx="22">
                  <c:v>865.33510569636258</c:v>
                </c:pt>
                <c:pt idx="23">
                  <c:v>963.09871539978565</c:v>
                </c:pt>
                <c:pt idx="24">
                  <c:v>914.18015085625427</c:v>
                </c:pt>
                <c:pt idx="25">
                  <c:v>834.01757194614618</c:v>
                </c:pt>
                <c:pt idx="26">
                  <c:v>896.49470130948714</c:v>
                </c:pt>
                <c:pt idx="27">
                  <c:v>1091.4822098329619</c:v>
                </c:pt>
                <c:pt idx="28">
                  <c:v>1086.3120169378649</c:v>
                </c:pt>
                <c:pt idx="29">
                  <c:v>949.68163325841738</c:v>
                </c:pt>
                <c:pt idx="30">
                  <c:v>990.5443082251702</c:v>
                </c:pt>
                <c:pt idx="31">
                  <c:v>1149.7620556232555</c:v>
                </c:pt>
                <c:pt idx="32">
                  <c:v>915.61443080281151</c:v>
                </c:pt>
                <c:pt idx="33">
                  <c:v>916.61741174816711</c:v>
                </c:pt>
                <c:pt idx="34">
                  <c:v>855.25984729389199</c:v>
                </c:pt>
                <c:pt idx="35">
                  <c:v>855.16237540523559</c:v>
                </c:pt>
                <c:pt idx="36">
                  <c:v>842.86618307898175</c:v>
                </c:pt>
                <c:pt idx="37">
                  <c:v>827.91699942154628</c:v>
                </c:pt>
                <c:pt idx="38">
                  <c:v>1078.820243794017</c:v>
                </c:pt>
                <c:pt idx="39">
                  <c:v>721.61555670134305</c:v>
                </c:pt>
                <c:pt idx="40">
                  <c:v>1106.8078395817906</c:v>
                </c:pt>
                <c:pt idx="41">
                  <c:v>853.64934599154651</c:v>
                </c:pt>
                <c:pt idx="42">
                  <c:v>872.77351300771886</c:v>
                </c:pt>
                <c:pt idx="43">
                  <c:v>833.28851055650307</c:v>
                </c:pt>
                <c:pt idx="44">
                  <c:v>968.40472715321675</c:v>
                </c:pt>
                <c:pt idx="45">
                  <c:v>911.38157408510551</c:v>
                </c:pt>
                <c:pt idx="46">
                  <c:v>1027.5354113948927</c:v>
                </c:pt>
                <c:pt idx="47">
                  <c:v>911.2825360600209</c:v>
                </c:pt>
                <c:pt idx="48">
                  <c:v>916.05795334987806</c:v>
                </c:pt>
                <c:pt idx="49">
                  <c:v>923.35457602764052</c:v>
                </c:pt>
                <c:pt idx="50">
                  <c:v>1026.6235744316743</c:v>
                </c:pt>
                <c:pt idx="51">
                  <c:v>1084.1970357795956</c:v>
                </c:pt>
                <c:pt idx="52">
                  <c:v>1183.8248251638254</c:v>
                </c:pt>
                <c:pt idx="53">
                  <c:v>932.61228683296963</c:v>
                </c:pt>
                <c:pt idx="54">
                  <c:v>857.6932262363764</c:v>
                </c:pt>
                <c:pt idx="55">
                  <c:v>841.26226367319066</c:v>
                </c:pt>
                <c:pt idx="56">
                  <c:v>1138.0670177684578</c:v>
                </c:pt>
                <c:pt idx="57">
                  <c:v>913.25669685167497</c:v>
                </c:pt>
                <c:pt idx="58">
                  <c:v>871.81164086679223</c:v>
                </c:pt>
                <c:pt idx="59">
                  <c:v>850.96325459640241</c:v>
                </c:pt>
                <c:pt idx="60">
                  <c:v>840.9182225519645</c:v>
                </c:pt>
                <c:pt idx="61">
                  <c:v>941.66411747854283</c:v>
                </c:pt>
                <c:pt idx="62">
                  <c:v>1114.7411358333763</c:v>
                </c:pt>
                <c:pt idx="63">
                  <c:v>859.26248849435945</c:v>
                </c:pt>
                <c:pt idx="64">
                  <c:v>863.04335020203689</c:v>
                </c:pt>
                <c:pt idx="65">
                  <c:v>1159.9256018761018</c:v>
                </c:pt>
                <c:pt idx="66">
                  <c:v>907.39116555305793</c:v>
                </c:pt>
                <c:pt idx="67">
                  <c:v>841.25437226280258</c:v>
                </c:pt>
                <c:pt idx="68">
                  <c:v>1011.2398410626498</c:v>
                </c:pt>
                <c:pt idx="69">
                  <c:v>1074.6076223113052</c:v>
                </c:pt>
                <c:pt idx="70">
                  <c:v>1054.7290524192383</c:v>
                </c:pt>
                <c:pt idx="71">
                  <c:v>1057.6229968173461</c:v>
                </c:pt>
                <c:pt idx="72">
                  <c:v>1241.6212563626109</c:v>
                </c:pt>
                <c:pt idx="73">
                  <c:v>1037.4749399318318</c:v>
                </c:pt>
                <c:pt idx="74">
                  <c:v>930.0985466661117</c:v>
                </c:pt>
                <c:pt idx="75">
                  <c:v>853.44750744562111</c:v>
                </c:pt>
                <c:pt idx="76">
                  <c:v>914.98146599979611</c:v>
                </c:pt>
                <c:pt idx="77">
                  <c:v>970.32069655243401</c:v>
                </c:pt>
                <c:pt idx="78">
                  <c:v>856.21528493042206</c:v>
                </c:pt>
                <c:pt idx="79">
                  <c:v>896.51739568078142</c:v>
                </c:pt>
                <c:pt idx="80">
                  <c:v>1109.3949091014608</c:v>
                </c:pt>
                <c:pt idx="81">
                  <c:v>1236.0841204329286</c:v>
                </c:pt>
                <c:pt idx="82">
                  <c:v>1183.8283574013662</c:v>
                </c:pt>
                <c:pt idx="83">
                  <c:v>976.61907656614505</c:v>
                </c:pt>
                <c:pt idx="84">
                  <c:v>889.57086496554462</c:v>
                </c:pt>
                <c:pt idx="85">
                  <c:v>896.75189379761525</c:v>
                </c:pt>
                <c:pt idx="86">
                  <c:v>967.97381095541903</c:v>
                </c:pt>
                <c:pt idx="87">
                  <c:v>941.70572596771001</c:v>
                </c:pt>
                <c:pt idx="88">
                  <c:v>915.40091771135258</c:v>
                </c:pt>
                <c:pt idx="89">
                  <c:v>835.80016732144782</c:v>
                </c:pt>
                <c:pt idx="90">
                  <c:v>896.46068428993249</c:v>
                </c:pt>
                <c:pt idx="91">
                  <c:v>988.33071958871278</c:v>
                </c:pt>
                <c:pt idx="92">
                  <c:v>975.63021440332273</c:v>
                </c:pt>
                <c:pt idx="93">
                  <c:v>839.32502084866439</c:v>
                </c:pt>
                <c:pt idx="94">
                  <c:v>910.97762636982816</c:v>
                </c:pt>
                <c:pt idx="95">
                  <c:v>855.20858221295543</c:v>
                </c:pt>
                <c:pt idx="96">
                  <c:v>867.01592119617044</c:v>
                </c:pt>
                <c:pt idx="97">
                  <c:v>852.65803847114205</c:v>
                </c:pt>
                <c:pt idx="98">
                  <c:v>909.23076741068394</c:v>
                </c:pt>
                <c:pt idx="99">
                  <c:v>1192.3741756103086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62-4155-BFAF-310E815E86D3}"/>
            </c:ext>
          </c:extLst>
        </c:ser>
        <c:ser>
          <c:idx val="3"/>
          <c:order val="3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Mgmt'!$AH$12:$AH$13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2509.1006548028599</c:v>
                </c:pt>
              </c:numCache>
            </c:numRef>
          </c:xVal>
          <c:yVal>
            <c:numRef>
              <c:f>'Why Use EG Mgmt'!$AI$12:$AI$13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2509.1006548028599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62-4155-BFAF-310E815E8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3472"/>
        <c:axId val="599896808"/>
      </c:scatterChart>
      <c:valAx>
        <c:axId val="59990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0.43072626168302958"/>
              <c:y val="0.8666129016199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6808"/>
        <c:crosses val="autoZero"/>
        <c:crossBetween val="midCat"/>
      </c:valAx>
      <c:valAx>
        <c:axId val="599896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321156545894442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3472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983519672917252"/>
          <c:y val="0.93033443850373865"/>
          <c:w val="0.82268715981458584"/>
          <c:h val="6.117267540846500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5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RSR</a:t>
            </a:r>
          </a:p>
        </c:rich>
      </c:tx>
      <c:layout>
        <c:manualLayout>
          <c:xMode val="edge"/>
          <c:yMode val="edge"/>
          <c:x val="0.46087710000084164"/>
          <c:y val="3.30578512396694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944790992035086"/>
          <c:y val="0.13972190273968565"/>
          <c:w val="0.76238548317896171"/>
          <c:h val="0.60881542699724522"/>
        </c:manualLayout>
      </c:layout>
      <c:scatterChart>
        <c:scatterStyle val="lineMarker"/>
        <c:varyColors val="0"/>
        <c:ser>
          <c:idx val="0"/>
          <c:order val="0"/>
          <c:tx>
            <c:v>Simulated data</c:v>
          </c:tx>
          <c:spPr>
            <a:ln w="28575">
              <a:noFill/>
            </a:ln>
          </c:spPr>
          <c:marker>
            <c:symbol val="circle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'Why Use EG Mgmt'!$E$19:$E$218</c:f>
              <c:numCache>
                <c:formatCode>0</c:formatCode>
                <c:ptCount val="200"/>
                <c:pt idx="0">
                  <c:v>2183.5848337527414</c:v>
                </c:pt>
                <c:pt idx="1">
                  <c:v>1620.0051558769983</c:v>
                </c:pt>
                <c:pt idx="2">
                  <c:v>1131.2283576188156</c:v>
                </c:pt>
                <c:pt idx="3">
                  <c:v>580.08595290776032</c:v>
                </c:pt>
                <c:pt idx="4">
                  <c:v>1836.6803716150418</c:v>
                </c:pt>
                <c:pt idx="5">
                  <c:v>846.0096007261609</c:v>
                </c:pt>
                <c:pt idx="6">
                  <c:v>1306.4779382042564</c:v>
                </c:pt>
                <c:pt idx="7">
                  <c:v>1116.0659125678858</c:v>
                </c:pt>
                <c:pt idx="8">
                  <c:v>280.51962796679533</c:v>
                </c:pt>
                <c:pt idx="9">
                  <c:v>947.674631064962</c:v>
                </c:pt>
                <c:pt idx="10">
                  <c:v>875.131826667366</c:v>
                </c:pt>
                <c:pt idx="11">
                  <c:v>1710.4942578933897</c:v>
                </c:pt>
                <c:pt idx="12">
                  <c:v>1459.5989921327528</c:v>
                </c:pt>
                <c:pt idx="13">
                  <c:v>1072.9270713579328</c:v>
                </c:pt>
                <c:pt idx="14">
                  <c:v>1134.2333757439458</c:v>
                </c:pt>
                <c:pt idx="15">
                  <c:v>477.20290797928402</c:v>
                </c:pt>
                <c:pt idx="16">
                  <c:v>656.54241306548022</c:v>
                </c:pt>
                <c:pt idx="17">
                  <c:v>1699.4739907896369</c:v>
                </c:pt>
                <c:pt idx="18">
                  <c:v>1135.2789923260586</c:v>
                </c:pt>
                <c:pt idx="19">
                  <c:v>456.50709028155256</c:v>
                </c:pt>
                <c:pt idx="20">
                  <c:v>2012.2597454007175</c:v>
                </c:pt>
                <c:pt idx="21">
                  <c:v>767.14512173277024</c:v>
                </c:pt>
                <c:pt idx="22">
                  <c:v>671.09658706569269</c:v>
                </c:pt>
                <c:pt idx="23">
                  <c:v>1568.5575239848165</c:v>
                </c:pt>
                <c:pt idx="24">
                  <c:v>791.03825360978738</c:v>
                </c:pt>
                <c:pt idx="25">
                  <c:v>990.04179437373296</c:v>
                </c:pt>
                <c:pt idx="26">
                  <c:v>1447.5947752883906</c:v>
                </c:pt>
                <c:pt idx="27">
                  <c:v>2380.5199180622822</c:v>
                </c:pt>
                <c:pt idx="28">
                  <c:v>1309.3295629068691</c:v>
                </c:pt>
                <c:pt idx="29">
                  <c:v>915.61757389130753</c:v>
                </c:pt>
                <c:pt idx="30">
                  <c:v>939.52129850475626</c:v>
                </c:pt>
                <c:pt idx="31">
                  <c:v>884.75652825795055</c:v>
                </c:pt>
                <c:pt idx="32">
                  <c:v>1082.9430192807122</c:v>
                </c:pt>
                <c:pt idx="33">
                  <c:v>1032.8566606908983</c:v>
                </c:pt>
                <c:pt idx="34">
                  <c:v>961.85576424326484</c:v>
                </c:pt>
                <c:pt idx="35">
                  <c:v>918.22718536537934</c:v>
                </c:pt>
                <c:pt idx="36">
                  <c:v>1168.085640531993</c:v>
                </c:pt>
                <c:pt idx="37">
                  <c:v>900.4396139885057</c:v>
                </c:pt>
                <c:pt idx="38">
                  <c:v>660.34016768042102</c:v>
                </c:pt>
                <c:pt idx="39">
                  <c:v>965.26328538563791</c:v>
                </c:pt>
                <c:pt idx="40">
                  <c:v>1139.6606195980091</c:v>
                </c:pt>
                <c:pt idx="41">
                  <c:v>783.32593089597708</c:v>
                </c:pt>
                <c:pt idx="42">
                  <c:v>483.52166172648737</c:v>
                </c:pt>
                <c:pt idx="43">
                  <c:v>812.21442477729761</c:v>
                </c:pt>
                <c:pt idx="44">
                  <c:v>826.37841573418962</c:v>
                </c:pt>
                <c:pt idx="45">
                  <c:v>993.58547924384902</c:v>
                </c:pt>
                <c:pt idx="46">
                  <c:v>1849.8722614006865</c:v>
                </c:pt>
                <c:pt idx="47">
                  <c:v>1561.7823487973467</c:v>
                </c:pt>
                <c:pt idx="48">
                  <c:v>833.99379801007171</c:v>
                </c:pt>
                <c:pt idx="49">
                  <c:v>951.6099226271557</c:v>
                </c:pt>
                <c:pt idx="50">
                  <c:v>1245.7940312605622</c:v>
                </c:pt>
                <c:pt idx="51">
                  <c:v>1795.2077456478412</c:v>
                </c:pt>
                <c:pt idx="52">
                  <c:v>1275.1568867244166</c:v>
                </c:pt>
                <c:pt idx="53">
                  <c:v>501.30998084163087</c:v>
                </c:pt>
                <c:pt idx="54">
                  <c:v>944.55423676597582</c:v>
                </c:pt>
                <c:pt idx="55">
                  <c:v>1670.1530947607685</c:v>
                </c:pt>
                <c:pt idx="56">
                  <c:v>805.0823795303985</c:v>
                </c:pt>
                <c:pt idx="57">
                  <c:v>477.87341662813503</c:v>
                </c:pt>
                <c:pt idx="58">
                  <c:v>944.23156594206819</c:v>
                </c:pt>
                <c:pt idx="59">
                  <c:v>1679.4605413308873</c:v>
                </c:pt>
                <c:pt idx="60">
                  <c:v>1245.2297116939128</c:v>
                </c:pt>
                <c:pt idx="61">
                  <c:v>636.55214750180403</c:v>
                </c:pt>
                <c:pt idx="62">
                  <c:v>1080.8543728339039</c:v>
                </c:pt>
                <c:pt idx="63">
                  <c:v>1110.0366217579667</c:v>
                </c:pt>
                <c:pt idx="64">
                  <c:v>1169.3718117607077</c:v>
                </c:pt>
                <c:pt idx="65">
                  <c:v>1079.7261345637228</c:v>
                </c:pt>
                <c:pt idx="66">
                  <c:v>1509.9421218312179</c:v>
                </c:pt>
                <c:pt idx="67">
                  <c:v>957.2387486768846</c:v>
                </c:pt>
                <c:pt idx="68">
                  <c:v>1924.9919948887716</c:v>
                </c:pt>
                <c:pt idx="69">
                  <c:v>997.30805482586607</c:v>
                </c:pt>
                <c:pt idx="70">
                  <c:v>972.19765286251572</c:v>
                </c:pt>
                <c:pt idx="71">
                  <c:v>1770.0640641454138</c:v>
                </c:pt>
                <c:pt idx="72">
                  <c:v>1083.2114673080705</c:v>
                </c:pt>
                <c:pt idx="73">
                  <c:v>1200.3260157594505</c:v>
                </c:pt>
                <c:pt idx="74">
                  <c:v>512.27793964665489</c:v>
                </c:pt>
                <c:pt idx="75">
                  <c:v>715.79994199175701</c:v>
                </c:pt>
                <c:pt idx="76">
                  <c:v>1201.4394226736565</c:v>
                </c:pt>
                <c:pt idx="77">
                  <c:v>723.81856554158333</c:v>
                </c:pt>
                <c:pt idx="78">
                  <c:v>640.77476025311091</c:v>
                </c:pt>
                <c:pt idx="79">
                  <c:v>1017.03093626058</c:v>
                </c:pt>
                <c:pt idx="80">
                  <c:v>2509.1006548028599</c:v>
                </c:pt>
                <c:pt idx="81">
                  <c:v>1640.8196488803155</c:v>
                </c:pt>
                <c:pt idx="82">
                  <c:v>1190.6617629979924</c:v>
                </c:pt>
                <c:pt idx="83">
                  <c:v>1134.7085189845679</c:v>
                </c:pt>
                <c:pt idx="84">
                  <c:v>869.32216789082304</c:v>
                </c:pt>
                <c:pt idx="85">
                  <c:v>909.72325160788705</c:v>
                </c:pt>
                <c:pt idx="86">
                  <c:v>1506.5956921121053</c:v>
                </c:pt>
                <c:pt idx="87">
                  <c:v>1284.046520818295</c:v>
                </c:pt>
                <c:pt idx="88">
                  <c:v>559.21719500578683</c:v>
                </c:pt>
                <c:pt idx="89">
                  <c:v>662.3249325246918</c:v>
                </c:pt>
                <c:pt idx="90">
                  <c:v>1086.0728244928484</c:v>
                </c:pt>
                <c:pt idx="91">
                  <c:v>704.20263679513482</c:v>
                </c:pt>
                <c:pt idx="92">
                  <c:v>519.15891855604184</c:v>
                </c:pt>
                <c:pt idx="93">
                  <c:v>410.65638739279285</c:v>
                </c:pt>
                <c:pt idx="94">
                  <c:v>517.03534385530929</c:v>
                </c:pt>
                <c:pt idx="95">
                  <c:v>545.58336618250542</c:v>
                </c:pt>
                <c:pt idx="96">
                  <c:v>640.64297227320924</c:v>
                </c:pt>
                <c:pt idx="97">
                  <c:v>873.1799288731778</c:v>
                </c:pt>
                <c:pt idx="98">
                  <c:v>1587.9605270000511</c:v>
                </c:pt>
                <c:pt idx="99">
                  <c:v>880.58907644974477</c:v>
                </c:pt>
              </c:numCache>
            </c:numRef>
          </c:xVal>
          <c:yVal>
            <c:numRef>
              <c:f>'Why Use EG Mgmt'!$A$19:$A$218</c:f>
              <c:numCache>
                <c:formatCode>0</c:formatCode>
                <c:ptCount val="200"/>
                <c:pt idx="0">
                  <c:v>290.54951271122849</c:v>
                </c:pt>
                <c:pt idx="1">
                  <c:v>276.89036870981948</c:v>
                </c:pt>
                <c:pt idx="2">
                  <c:v>472.4794049527394</c:v>
                </c:pt>
                <c:pt idx="3">
                  <c:v>370.18296186574526</c:v>
                </c:pt>
                <c:pt idx="4">
                  <c:v>441.77954747701818</c:v>
                </c:pt>
                <c:pt idx="5">
                  <c:v>316.45106848629797</c:v>
                </c:pt>
                <c:pt idx="6">
                  <c:v>417.03352045762585</c:v>
                </c:pt>
                <c:pt idx="7">
                  <c:v>257.8859925306154</c:v>
                </c:pt>
                <c:pt idx="8">
                  <c:v>231.03749622360215</c:v>
                </c:pt>
                <c:pt idx="9">
                  <c:v>196.95527652386599</c:v>
                </c:pt>
                <c:pt idx="10">
                  <c:v>280.16751755743178</c:v>
                </c:pt>
                <c:pt idx="11">
                  <c:v>260.70036798543401</c:v>
                </c:pt>
                <c:pt idx="12">
                  <c:v>360.12032050896028</c:v>
                </c:pt>
                <c:pt idx="13">
                  <c:v>305.90816615190778</c:v>
                </c:pt>
                <c:pt idx="14">
                  <c:v>280.12388121384515</c:v>
                </c:pt>
                <c:pt idx="15">
                  <c:v>253.53942380278335</c:v>
                </c:pt>
                <c:pt idx="16">
                  <c:v>259.40322399280876</c:v>
                </c:pt>
                <c:pt idx="17">
                  <c:v>567.32952692550384</c:v>
                </c:pt>
                <c:pt idx="18">
                  <c:v>527.83299921134926</c:v>
                </c:pt>
                <c:pt idx="19">
                  <c:v>282.92159820550637</c:v>
                </c:pt>
                <c:pt idx="20">
                  <c:v>311.34827558385086</c:v>
                </c:pt>
                <c:pt idx="21">
                  <c:v>267.68055082695309</c:v>
                </c:pt>
                <c:pt idx="22">
                  <c:v>319.94093932188468</c:v>
                </c:pt>
                <c:pt idx="23">
                  <c:v>292.55044027467704</c:v>
                </c:pt>
                <c:pt idx="24">
                  <c:v>252.81178494285879</c:v>
                </c:pt>
                <c:pt idx="25">
                  <c:v>283.28813281144255</c:v>
                </c:pt>
                <c:pt idx="26">
                  <c:v>409.99071353180028</c:v>
                </c:pt>
                <c:pt idx="27">
                  <c:v>405.62574423870126</c:v>
                </c:pt>
                <c:pt idx="28">
                  <c:v>312.14655274367692</c:v>
                </c:pt>
                <c:pt idx="29">
                  <c:v>336.64302348038387</c:v>
                </c:pt>
                <c:pt idx="30">
                  <c:v>466.49365828091129</c:v>
                </c:pt>
                <c:pt idx="31">
                  <c:v>293.31540387199834</c:v>
                </c:pt>
                <c:pt idx="32">
                  <c:v>293.85160495459144</c:v>
                </c:pt>
                <c:pt idx="33">
                  <c:v>262.812529850695</c:v>
                </c:pt>
                <c:pt idx="34">
                  <c:v>262.7658373740494</c:v>
                </c:pt>
                <c:pt idx="35">
                  <c:v>256.93559828189393</c:v>
                </c:pt>
                <c:pt idx="36">
                  <c:v>250.00244826398767</c:v>
                </c:pt>
                <c:pt idx="37">
                  <c:v>399.44635355369041</c:v>
                </c:pt>
                <c:pt idx="38">
                  <c:v>204.89755016457212</c:v>
                </c:pt>
                <c:pt idx="39">
                  <c:v>423.456122103908</c:v>
                </c:pt>
                <c:pt idx="40">
                  <c:v>262.04201698429767</c:v>
                </c:pt>
                <c:pt idx="41">
                  <c:v>271.3287026849581</c:v>
                </c:pt>
                <c:pt idx="42">
                  <c:v>252.47461639232762</c:v>
                </c:pt>
                <c:pt idx="43">
                  <c:v>323.08780432572019</c:v>
                </c:pt>
                <c:pt idx="44">
                  <c:v>291.0639329037765</c:v>
                </c:pt>
                <c:pt idx="45">
                  <c:v>361.02925588111259</c:v>
                </c:pt>
                <c:pt idx="46">
                  <c:v>291.01147399200829</c:v>
                </c:pt>
                <c:pt idx="47">
                  <c:v>293.55238525366894</c:v>
                </c:pt>
                <c:pt idx="48">
                  <c:v>297.48078030575465</c:v>
                </c:pt>
                <c:pt idx="49">
                  <c:v>360.39867426104348</c:v>
                </c:pt>
                <c:pt idx="50">
                  <c:v>403.86418957725255</c:v>
                </c:pt>
                <c:pt idx="51">
                  <c:v>508.97798321095411</c:v>
                </c:pt>
                <c:pt idx="52">
                  <c:v>302.54775943670307</c:v>
                </c:pt>
                <c:pt idx="53">
                  <c:v>263.98067947756056</c:v>
                </c:pt>
                <c:pt idx="54">
                  <c:v>256.18372954643991</c:v>
                </c:pt>
                <c:pt idx="55">
                  <c:v>453.85373472131289</c:v>
                </c:pt>
                <c:pt idx="56">
                  <c:v>292.05904571042993</c:v>
                </c:pt>
                <c:pt idx="57">
                  <c:v>270.85430551117844</c:v>
                </c:pt>
                <c:pt idx="58">
                  <c:v>260.76149737170834</c:v>
                </c:pt>
                <c:pt idx="59">
                  <c:v>256.02270817450102</c:v>
                </c:pt>
                <c:pt idx="60">
                  <c:v>307.59532271354647</c:v>
                </c:pt>
                <c:pt idx="61">
                  <c:v>430.76651771287675</c:v>
                </c:pt>
                <c:pt idx="62">
                  <c:v>264.73654600642618</c:v>
                </c:pt>
                <c:pt idx="63">
                  <c:v>266.56593323277031</c:v>
                </c:pt>
                <c:pt idx="64">
                  <c:v>478.18366366162849</c:v>
                </c:pt>
                <c:pt idx="65">
                  <c:v>288.9581294488529</c:v>
                </c:pt>
                <c:pt idx="66">
                  <c:v>256.18003512815824</c:v>
                </c:pt>
                <c:pt idx="67">
                  <c:v>349.99447738012998</c:v>
                </c:pt>
                <c:pt idx="68">
                  <c:v>396.04362715987747</c:v>
                </c:pt>
                <c:pt idx="69">
                  <c:v>380.62593844861567</c:v>
                </c:pt>
                <c:pt idx="70">
                  <c:v>382.80858523583777</c:v>
                </c:pt>
                <c:pt idx="71">
                  <c:v>627.66418624528103</c:v>
                </c:pt>
                <c:pt idx="72">
                  <c:v>368.0099719472139</c:v>
                </c:pt>
                <c:pt idx="73">
                  <c:v>301.16256453601926</c:v>
                </c:pt>
                <c:pt idx="74">
                  <c:v>261.94559718210758</c:v>
                </c:pt>
                <c:pt idx="75">
                  <c:v>292.97755392729215</c:v>
                </c:pt>
                <c:pt idx="76">
                  <c:v>324.23343080979822</c:v>
                </c:pt>
                <c:pt idx="77">
                  <c:v>263.27062174530329</c:v>
                </c:pt>
                <c:pt idx="78">
                  <c:v>283.29982248452387</c:v>
                </c:pt>
                <c:pt idx="79">
                  <c:v>425.81298330160467</c:v>
                </c:pt>
                <c:pt idx="80">
                  <c:v>609.91307685605489</c:v>
                </c:pt>
                <c:pt idx="81">
                  <c:v>508.98295337294229</c:v>
                </c:pt>
                <c:pt idx="82">
                  <c:v>328.03514902807342</c:v>
                </c:pt>
                <c:pt idx="83">
                  <c:v>279.7443901869907</c:v>
                </c:pt>
                <c:pt idx="84">
                  <c:v>283.42063914350473</c:v>
                </c:pt>
                <c:pt idx="85">
                  <c:v>322.83083079040148</c:v>
                </c:pt>
                <c:pt idx="86">
                  <c:v>307.6187442160512</c:v>
                </c:pt>
                <c:pt idx="87">
                  <c:v>293.20139315741898</c:v>
                </c:pt>
                <c:pt idx="88">
                  <c:v>253.63783528506309</c:v>
                </c:pt>
                <c:pt idx="89">
                  <c:v>283.27061185909446</c:v>
                </c:pt>
                <c:pt idx="90">
                  <c:v>335.25539738529108</c:v>
                </c:pt>
                <c:pt idx="91">
                  <c:v>327.43459849124326</c:v>
                </c:pt>
                <c:pt idx="92">
                  <c:v>255.27821040138591</c:v>
                </c:pt>
                <c:pt idx="93">
                  <c:v>290.85003068050594</c:v>
                </c:pt>
                <c:pt idx="94">
                  <c:v>262.78797111770746</c:v>
                </c:pt>
                <c:pt idx="95">
                  <c:v>268.5008153165241</c:v>
                </c:pt>
                <c:pt idx="96">
                  <c:v>261.56877295884959</c:v>
                </c:pt>
                <c:pt idx="97">
                  <c:v>289.92692220583342</c:v>
                </c:pt>
                <c:pt idx="98">
                  <c:v>521.45685423218492</c:v>
                </c:pt>
                <c:pt idx="99">
                  <c:v>280.43670894986724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D-4CD4-8580-5078F1EA31AE}"/>
            </c:ext>
          </c:extLst>
        </c:ser>
        <c:ser>
          <c:idx val="3"/>
          <c:order val="1"/>
          <c:tx>
            <c:v>R=S</c:v>
          </c:tx>
          <c:spPr>
            <a:ln w="3175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Mgmt'!$AH$12:$AH$13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2509.1006548028599</c:v>
                </c:pt>
              </c:numCache>
            </c:numRef>
          </c:xVal>
          <c:yVal>
            <c:numRef>
              <c:f>'Why Use EG Mgmt'!$AI$12:$AI$13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2509.1006548028599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D-4CD4-8580-5078F1EA31AE}"/>
            </c:ext>
          </c:extLst>
        </c:ser>
        <c:ser>
          <c:idx val="1"/>
          <c:order val="2"/>
          <c:tx>
            <c:v>Escapement Goal</c:v>
          </c:tx>
          <c:spPr>
            <a:ln w="254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'Why Use EG Mgmt'!$AH$15:$AH$16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2509.1006548028599</c:v>
                </c:pt>
              </c:numCache>
            </c:numRef>
          </c:xVal>
          <c:yVal>
            <c:numRef>
              <c:f>'Why Use EG Mgmt'!$AI$15:$AI$16</c:f>
              <c:numCache>
                <c:formatCode>0</c:formatCode>
                <c:ptCount val="2"/>
                <c:pt idx="0">
                  <c:v>250</c:v>
                </c:pt>
                <c:pt idx="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DD-4CD4-8580-5078F1EA3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901904"/>
        <c:axId val="599902688"/>
      </c:scatterChart>
      <c:valAx>
        <c:axId val="59990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Recruits (R)</a:t>
                </a:r>
              </a:p>
            </c:rich>
          </c:tx>
          <c:layout>
            <c:manualLayout>
              <c:xMode val="edge"/>
              <c:yMode val="edge"/>
              <c:x val="0.44364804953351977"/>
              <c:y val="0.829201101928374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2688"/>
        <c:crosses val="autoZero"/>
        <c:crossBetween val="midCat"/>
      </c:valAx>
      <c:valAx>
        <c:axId val="59990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Spawners (S)</a:t>
                </a:r>
              </a:p>
            </c:rich>
          </c:tx>
          <c:layout>
            <c:manualLayout>
              <c:xMode val="edge"/>
              <c:yMode val="edge"/>
              <c:x val="1.0768156542075741E-2"/>
              <c:y val="0.286501377410468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90190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5.5994414018793875E-2"/>
          <c:y val="0.90633608815426925"/>
          <c:w val="0.75592458925371664"/>
          <c:h val="6.336088154269979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Escapemen</a:t>
            </a:r>
            <a:r>
              <a:rPr lang="en-US" sz="2000" baseline="0"/>
              <a:t>t over Time</a:t>
            </a:r>
            <a:endParaRPr lang="en-US" sz="20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7740578278188921E-2"/>
          <c:y val="0.11509842563937316"/>
          <c:w val="0.88283547776585181"/>
          <c:h val="0.74237198286258277"/>
        </c:manualLayout>
      </c:layout>
      <c:scatterChart>
        <c:scatterStyle val="lineMarker"/>
        <c:varyColors val="0"/>
        <c:ser>
          <c:idx val="1"/>
          <c:order val="0"/>
          <c:tx>
            <c:v>"Escapement"</c:v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'Why Use EG Mgmt'!$Q$19:$Q$118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'Why Use EG Mgmt'!$A$19:$A$118</c:f>
              <c:numCache>
                <c:formatCode>0</c:formatCode>
                <c:ptCount val="100"/>
                <c:pt idx="0">
                  <c:v>290.54951271122849</c:v>
                </c:pt>
                <c:pt idx="1">
                  <c:v>276.89036870981948</c:v>
                </c:pt>
                <c:pt idx="2">
                  <c:v>472.4794049527394</c:v>
                </c:pt>
                <c:pt idx="3">
                  <c:v>370.18296186574526</c:v>
                </c:pt>
                <c:pt idx="4">
                  <c:v>441.77954747701818</c:v>
                </c:pt>
                <c:pt idx="5">
                  <c:v>316.45106848629797</c:v>
                </c:pt>
                <c:pt idx="6">
                  <c:v>417.03352045762585</c:v>
                </c:pt>
                <c:pt idx="7">
                  <c:v>257.8859925306154</c:v>
                </c:pt>
                <c:pt idx="8">
                  <c:v>231.03749622360215</c:v>
                </c:pt>
                <c:pt idx="9">
                  <c:v>196.95527652386599</c:v>
                </c:pt>
                <c:pt idx="10">
                  <c:v>280.16751755743178</c:v>
                </c:pt>
                <c:pt idx="11">
                  <c:v>260.70036798543401</c:v>
                </c:pt>
                <c:pt idx="12">
                  <c:v>360.12032050896028</c:v>
                </c:pt>
                <c:pt idx="13">
                  <c:v>305.90816615190778</c:v>
                </c:pt>
                <c:pt idx="14">
                  <c:v>280.12388121384515</c:v>
                </c:pt>
                <c:pt idx="15">
                  <c:v>253.53942380278335</c:v>
                </c:pt>
                <c:pt idx="16">
                  <c:v>259.40322399280876</c:v>
                </c:pt>
                <c:pt idx="17">
                  <c:v>567.32952692550384</c:v>
                </c:pt>
                <c:pt idx="18">
                  <c:v>527.83299921134926</c:v>
                </c:pt>
                <c:pt idx="19">
                  <c:v>282.92159820550637</c:v>
                </c:pt>
                <c:pt idx="20">
                  <c:v>311.34827558385086</c:v>
                </c:pt>
                <c:pt idx="21">
                  <c:v>267.68055082695309</c:v>
                </c:pt>
                <c:pt idx="22">
                  <c:v>319.94093932188468</c:v>
                </c:pt>
                <c:pt idx="23">
                  <c:v>292.55044027467704</c:v>
                </c:pt>
                <c:pt idx="24">
                  <c:v>252.81178494285879</c:v>
                </c:pt>
                <c:pt idx="25">
                  <c:v>283.28813281144255</c:v>
                </c:pt>
                <c:pt idx="26">
                  <c:v>409.99071353180028</c:v>
                </c:pt>
                <c:pt idx="27">
                  <c:v>405.62574423870126</c:v>
                </c:pt>
                <c:pt idx="28">
                  <c:v>312.14655274367692</c:v>
                </c:pt>
                <c:pt idx="29">
                  <c:v>336.64302348038387</c:v>
                </c:pt>
                <c:pt idx="30">
                  <c:v>466.49365828091129</c:v>
                </c:pt>
                <c:pt idx="31">
                  <c:v>293.31540387199834</c:v>
                </c:pt>
                <c:pt idx="32">
                  <c:v>293.85160495459144</c:v>
                </c:pt>
                <c:pt idx="33">
                  <c:v>262.812529850695</c:v>
                </c:pt>
                <c:pt idx="34">
                  <c:v>262.7658373740494</c:v>
                </c:pt>
                <c:pt idx="35">
                  <c:v>256.93559828189393</c:v>
                </c:pt>
                <c:pt idx="36">
                  <c:v>250.00244826398767</c:v>
                </c:pt>
                <c:pt idx="37">
                  <c:v>399.44635355369041</c:v>
                </c:pt>
                <c:pt idx="38">
                  <c:v>204.89755016457212</c:v>
                </c:pt>
                <c:pt idx="39">
                  <c:v>423.456122103908</c:v>
                </c:pt>
                <c:pt idx="40">
                  <c:v>262.04201698429767</c:v>
                </c:pt>
                <c:pt idx="41">
                  <c:v>271.3287026849581</c:v>
                </c:pt>
                <c:pt idx="42">
                  <c:v>252.47461639232762</c:v>
                </c:pt>
                <c:pt idx="43">
                  <c:v>323.08780432572019</c:v>
                </c:pt>
                <c:pt idx="44">
                  <c:v>291.0639329037765</c:v>
                </c:pt>
                <c:pt idx="45">
                  <c:v>361.02925588111259</c:v>
                </c:pt>
                <c:pt idx="46">
                  <c:v>291.01147399200829</c:v>
                </c:pt>
                <c:pt idx="47">
                  <c:v>293.55238525366894</c:v>
                </c:pt>
                <c:pt idx="48">
                  <c:v>297.48078030575465</c:v>
                </c:pt>
                <c:pt idx="49">
                  <c:v>360.39867426104348</c:v>
                </c:pt>
                <c:pt idx="50">
                  <c:v>403.86418957725255</c:v>
                </c:pt>
                <c:pt idx="51">
                  <c:v>508.97798321095411</c:v>
                </c:pt>
                <c:pt idx="52">
                  <c:v>302.54775943670307</c:v>
                </c:pt>
                <c:pt idx="53">
                  <c:v>263.98067947756056</c:v>
                </c:pt>
                <c:pt idx="54">
                  <c:v>256.18372954643991</c:v>
                </c:pt>
                <c:pt idx="55">
                  <c:v>453.85373472131289</c:v>
                </c:pt>
                <c:pt idx="56">
                  <c:v>292.05904571042993</c:v>
                </c:pt>
                <c:pt idx="57">
                  <c:v>270.85430551117844</c:v>
                </c:pt>
                <c:pt idx="58">
                  <c:v>260.76149737170834</c:v>
                </c:pt>
                <c:pt idx="59">
                  <c:v>256.02270817450102</c:v>
                </c:pt>
                <c:pt idx="60">
                  <c:v>307.59532271354647</c:v>
                </c:pt>
                <c:pt idx="61">
                  <c:v>430.76651771287675</c:v>
                </c:pt>
                <c:pt idx="62">
                  <c:v>264.73654600642618</c:v>
                </c:pt>
                <c:pt idx="63">
                  <c:v>266.56593323277031</c:v>
                </c:pt>
                <c:pt idx="64">
                  <c:v>478.18366366162849</c:v>
                </c:pt>
                <c:pt idx="65">
                  <c:v>288.9581294488529</c:v>
                </c:pt>
                <c:pt idx="66">
                  <c:v>256.18003512815824</c:v>
                </c:pt>
                <c:pt idx="67">
                  <c:v>349.99447738012998</c:v>
                </c:pt>
                <c:pt idx="68">
                  <c:v>396.04362715987747</c:v>
                </c:pt>
                <c:pt idx="69">
                  <c:v>380.62593844861567</c:v>
                </c:pt>
                <c:pt idx="70">
                  <c:v>382.80858523583777</c:v>
                </c:pt>
                <c:pt idx="71">
                  <c:v>627.66418624528103</c:v>
                </c:pt>
                <c:pt idx="72">
                  <c:v>368.0099719472139</c:v>
                </c:pt>
                <c:pt idx="73">
                  <c:v>301.16256453601926</c:v>
                </c:pt>
                <c:pt idx="74">
                  <c:v>261.94559718210758</c:v>
                </c:pt>
                <c:pt idx="75">
                  <c:v>292.97755392729215</c:v>
                </c:pt>
                <c:pt idx="76">
                  <c:v>324.23343080979822</c:v>
                </c:pt>
                <c:pt idx="77">
                  <c:v>263.27062174530329</c:v>
                </c:pt>
                <c:pt idx="78">
                  <c:v>283.29982248452387</c:v>
                </c:pt>
                <c:pt idx="79">
                  <c:v>425.81298330160467</c:v>
                </c:pt>
                <c:pt idx="80">
                  <c:v>609.91307685605489</c:v>
                </c:pt>
                <c:pt idx="81">
                  <c:v>508.98295337294229</c:v>
                </c:pt>
                <c:pt idx="82">
                  <c:v>328.03514902807342</c:v>
                </c:pt>
                <c:pt idx="83">
                  <c:v>279.7443901869907</c:v>
                </c:pt>
                <c:pt idx="84">
                  <c:v>283.42063914350473</c:v>
                </c:pt>
                <c:pt idx="85">
                  <c:v>322.83083079040148</c:v>
                </c:pt>
                <c:pt idx="86">
                  <c:v>307.6187442160512</c:v>
                </c:pt>
                <c:pt idx="87">
                  <c:v>293.20139315741898</c:v>
                </c:pt>
                <c:pt idx="88">
                  <c:v>253.63783528506309</c:v>
                </c:pt>
                <c:pt idx="89">
                  <c:v>283.27061185909446</c:v>
                </c:pt>
                <c:pt idx="90">
                  <c:v>335.25539738529108</c:v>
                </c:pt>
                <c:pt idx="91">
                  <c:v>327.43459849124326</c:v>
                </c:pt>
                <c:pt idx="92">
                  <c:v>255.27821040138591</c:v>
                </c:pt>
                <c:pt idx="93">
                  <c:v>290.85003068050594</c:v>
                </c:pt>
                <c:pt idx="94">
                  <c:v>262.78797111770746</c:v>
                </c:pt>
                <c:pt idx="95">
                  <c:v>268.5008153165241</c:v>
                </c:pt>
                <c:pt idx="96">
                  <c:v>261.56877295884959</c:v>
                </c:pt>
                <c:pt idx="97">
                  <c:v>289.92692220583342</c:v>
                </c:pt>
                <c:pt idx="98">
                  <c:v>521.45685423218492</c:v>
                </c:pt>
                <c:pt idx="99">
                  <c:v>280.43670894986724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5-4919-9B4B-F075CDAC70F0}"/>
            </c:ext>
          </c:extLst>
        </c:ser>
        <c:ser>
          <c:idx val="2"/>
          <c:order val="1"/>
          <c:tx>
            <c:v>SGoal</c:v>
          </c:tx>
          <c:spPr>
            <a:ln>
              <a:solidFill>
                <a:srgbClr val="FF9900"/>
              </a:solidFill>
            </a:ln>
          </c:spPr>
          <c:marker>
            <c:symbol val="none"/>
          </c:marker>
          <c:xVal>
            <c:numRef>
              <c:f>'Why Use EG Mgmt'!$AK$12:$AK$13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'Why Use EG Mgmt'!$AM$12:$AM$13</c:f>
              <c:numCache>
                <c:formatCode>0</c:formatCode>
                <c:ptCount val="2"/>
                <c:pt idx="0">
                  <c:v>250</c:v>
                </c:pt>
                <c:pt idx="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D-4372-94AC-F1F086B7433E}"/>
            </c:ext>
          </c:extLst>
        </c:ser>
        <c:ser>
          <c:idx val="0"/>
          <c:order val="2"/>
          <c:tx>
            <c:v>Threshold</c:v>
          </c:tx>
          <c:spPr>
            <a:ln w="412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'Why Use EG Mgmt'!$AK$12:$AK$13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'Why Use EG Mgmt'!$AL$12:$AL$13</c:f>
              <c:numCache>
                <c:formatCode>0;[Red]0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6D-4372-94AC-F1F086B7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99944"/>
        <c:axId val="599898376"/>
      </c:scatterChart>
      <c:valAx>
        <c:axId val="599899944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Generation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8376"/>
        <c:crosses val="autoZero"/>
        <c:crossBetween val="midCat"/>
        <c:majorUnit val="10"/>
        <c:minorUnit val="1"/>
      </c:valAx>
      <c:valAx>
        <c:axId val="599898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Escapement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9944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698148308384544"/>
          <c:y val="0.12119685785608422"/>
          <c:w val="0.14454713593493121"/>
          <c:h val="0.2086387650968731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40578278188921E-2"/>
          <c:y val="0.11509842563937316"/>
          <c:w val="0.88283547776585181"/>
          <c:h val="0.84127318563346265"/>
        </c:manualLayout>
      </c:layout>
      <c:scatterChart>
        <c:scatterStyle val="lineMarker"/>
        <c:varyColors val="0"/>
        <c:ser>
          <c:idx val="1"/>
          <c:order val="0"/>
          <c:tx>
            <c:v>"Residual"</c:v>
          </c:tx>
          <c:spPr>
            <a:ln w="41275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'Why Use EG Mgmt'!$Q$19:$Q$118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'Why Use EG Mgmt'!$F$19:$F$118</c:f>
              <c:numCache>
                <c:formatCode>0.00;[Red]0.00</c:formatCode>
                <c:ptCount val="100"/>
                <c:pt idx="0">
                  <c:v>0.28632846103468962</c:v>
                </c:pt>
                <c:pt idx="1">
                  <c:v>0.50896012217836162</c:v>
                </c:pt>
                <c:pt idx="2">
                  <c:v>0.18432808513980842</c:v>
                </c:pt>
                <c:pt idx="3">
                  <c:v>-0.82233846640021768</c:v>
                </c:pt>
                <c:pt idx="4">
                  <c:v>0.47190066222946081</c:v>
                </c:pt>
                <c:pt idx="5">
                  <c:v>-0.4085007408957374</c:v>
                </c:pt>
                <c:pt idx="6">
                  <c:v>0.23437263943009515</c:v>
                </c:pt>
                <c:pt idx="7">
                  <c:v>-9.8567880263005225E-2</c:v>
                </c:pt>
                <c:pt idx="8">
                  <c:v>-1.1579879078720763</c:v>
                </c:pt>
                <c:pt idx="9">
                  <c:v>0.14246870472686204</c:v>
                </c:pt>
                <c:pt idx="10">
                  <c:v>0.18835313033902687</c:v>
                </c:pt>
                <c:pt idx="11">
                  <c:v>0.58931746373019822</c:v>
                </c:pt>
                <c:pt idx="12">
                  <c:v>0.48324564957149158</c:v>
                </c:pt>
                <c:pt idx="13">
                  <c:v>-4.8172105463677284E-2</c:v>
                </c:pt>
                <c:pt idx="14">
                  <c:v>0.11633548168645826</c:v>
                </c:pt>
                <c:pt idx="15">
                  <c:v>-0.68716627297466015</c:v>
                </c:pt>
                <c:pt idx="16">
                  <c:v>-0.29499260861868665</c:v>
                </c:pt>
                <c:pt idx="17">
                  <c:v>0.639093588516218</c:v>
                </c:pt>
                <c:pt idx="18">
                  <c:v>-0.23897707629379689</c:v>
                </c:pt>
                <c:pt idx="19">
                  <c:v>-1.1173427133454932</c:v>
                </c:pt>
                <c:pt idx="20">
                  <c:v>0.74476539808638553</c:v>
                </c:pt>
                <c:pt idx="21">
                  <c:v>-0.28688787678322347</c:v>
                </c:pt>
                <c:pt idx="22">
                  <c:v>-0.31320067262202433</c:v>
                </c:pt>
                <c:pt idx="23">
                  <c:v>0.40971622665973234</c:v>
                </c:pt>
                <c:pt idx="24">
                  <c:v>-0.21274032924113415</c:v>
                </c:pt>
                <c:pt idx="25">
                  <c:v>0.11791366487967875</c:v>
                </c:pt>
                <c:pt idx="26">
                  <c:v>0.41448229843518775</c:v>
                </c:pt>
                <c:pt idx="27">
                  <c:v>0.66893039978788937</c:v>
                </c:pt>
                <c:pt idx="28">
                  <c:v>7.7465323135568281E-2</c:v>
                </c:pt>
                <c:pt idx="29">
                  <c:v>-0.11172746336737499</c:v>
                </c:pt>
                <c:pt idx="30">
                  <c:v>-0.1370095792958968</c:v>
                </c:pt>
                <c:pt idx="31">
                  <c:v>-0.3934382698155765</c:v>
                </c:pt>
                <c:pt idx="32">
                  <c:v>9.9504541940542868E-2</c:v>
                </c:pt>
                <c:pt idx="33">
                  <c:v>5.0860409364749573E-2</c:v>
                </c:pt>
                <c:pt idx="34">
                  <c:v>6.023607230725566E-2</c:v>
                </c:pt>
                <c:pt idx="35">
                  <c:v>1.3947392599382651E-2</c:v>
                </c:pt>
                <c:pt idx="36">
                  <c:v>0.27123161820600578</c:v>
                </c:pt>
                <c:pt idx="37">
                  <c:v>3.1414841447535299E-2</c:v>
                </c:pt>
                <c:pt idx="38">
                  <c:v>-0.59787801084396885</c:v>
                </c:pt>
                <c:pt idx="39">
                  <c:v>0.25478834996314415</c:v>
                </c:pt>
                <c:pt idx="40">
                  <c:v>-8.6507983878101449E-2</c:v>
                </c:pt>
                <c:pt idx="41">
                  <c:v>-0.14291397558253857</c:v>
                </c:pt>
                <c:pt idx="42">
                  <c:v>-0.65090619242620595</c:v>
                </c:pt>
                <c:pt idx="43">
                  <c:v>-7.907172290626456E-2</c:v>
                </c:pt>
                <c:pt idx="44">
                  <c:v>-0.23778352293276855</c:v>
                </c:pt>
                <c:pt idx="45">
                  <c:v>1.8841085947518644E-2</c:v>
                </c:pt>
                <c:pt idx="46">
                  <c:v>0.49494212740690979</c:v>
                </c:pt>
                <c:pt idx="47">
                  <c:v>0.47123175740382661</c:v>
                </c:pt>
                <c:pt idx="48">
                  <c:v>-0.16227775687595622</c:v>
                </c:pt>
                <c:pt idx="49">
                  <c:v>-3.971363289538514E-2</c:v>
                </c:pt>
                <c:pt idx="50">
                  <c:v>0.10071620877354984</c:v>
                </c:pt>
                <c:pt idx="51">
                  <c:v>0.39566156250724049</c:v>
                </c:pt>
                <c:pt idx="52">
                  <c:v>-7.2602278981743457E-2</c:v>
                </c:pt>
                <c:pt idx="53">
                  <c:v>-0.69246675401872093</c:v>
                </c:pt>
                <c:pt idx="54">
                  <c:v>3.8817871885414745E-2</c:v>
                </c:pt>
                <c:pt idx="55">
                  <c:v>0.63095942366343161</c:v>
                </c:pt>
                <c:pt idx="56">
                  <c:v>-0.47297663419160524</c:v>
                </c:pt>
                <c:pt idx="57">
                  <c:v>-0.71555106880180197</c:v>
                </c:pt>
                <c:pt idx="58">
                  <c:v>1.9644686208201083E-2</c:v>
                </c:pt>
                <c:pt idx="59">
                  <c:v>0.62338322547615244</c:v>
                </c:pt>
                <c:pt idx="60">
                  <c:v>0.33783186308632684</c:v>
                </c:pt>
                <c:pt idx="61">
                  <c:v>-0.46512336589998121</c:v>
                </c:pt>
                <c:pt idx="62">
                  <c:v>-0.14929261003044247</c:v>
                </c:pt>
                <c:pt idx="63">
                  <c:v>0.19814966688138058</c:v>
                </c:pt>
                <c:pt idx="64">
                  <c:v>0.2451662865530643</c:v>
                </c:pt>
                <c:pt idx="65">
                  <c:v>-0.2073485197787506</c:v>
                </c:pt>
                <c:pt idx="66">
                  <c:v>0.44250293179373412</c:v>
                </c:pt>
                <c:pt idx="67">
                  <c:v>7.4352412092572567E-2</c:v>
                </c:pt>
                <c:pt idx="68">
                  <c:v>0.55475419014897198</c:v>
                </c:pt>
                <c:pt idx="69">
                  <c:v>-0.18042104361404801</c:v>
                </c:pt>
                <c:pt idx="70">
                  <c:v>-0.18163203520424887</c:v>
                </c:pt>
                <c:pt idx="71">
                  <c:v>0.41404451778299933</c:v>
                </c:pt>
                <c:pt idx="72">
                  <c:v>-0.32665561331042714</c:v>
                </c:pt>
                <c:pt idx="73">
                  <c:v>5.0248415140132022E-2</c:v>
                </c:pt>
                <c:pt idx="74">
                  <c:v>-0.66762030731469191</c:v>
                </c:pt>
                <c:pt idx="75">
                  <c:v>-0.23279052338263073</c:v>
                </c:pt>
                <c:pt idx="76">
                  <c:v>0.20415719142423744</c:v>
                </c:pt>
                <c:pt idx="77">
                  <c:v>-0.37268953013463707</c:v>
                </c:pt>
                <c:pt idx="78">
                  <c:v>-0.34723385430681625</c:v>
                </c:pt>
                <c:pt idx="79">
                  <c:v>6.1436856968364512E-2</c:v>
                </c:pt>
                <c:pt idx="80">
                  <c:v>0.69949240281787595</c:v>
                </c:pt>
                <c:pt idx="81">
                  <c:v>9.9547808669139981E-2</c:v>
                </c:pt>
                <c:pt idx="82">
                  <c:v>-0.14116703729326352</c:v>
                </c:pt>
                <c:pt idx="83">
                  <c:v>6.9045470180826005E-2</c:v>
                </c:pt>
                <c:pt idx="84">
                  <c:v>-8.6418113241014685E-2</c:v>
                </c:pt>
                <c:pt idx="85">
                  <c:v>-5.0371078216394576E-2</c:v>
                </c:pt>
                <c:pt idx="86">
                  <c:v>0.3633102644957007</c:v>
                </c:pt>
                <c:pt idx="87">
                  <c:v>0.23652928621835351</c:v>
                </c:pt>
                <c:pt idx="88">
                  <c:v>-0.56112038866198932</c:v>
                </c:pt>
                <c:pt idx="89">
                  <c:v>-0.28651329876778042</c:v>
                </c:pt>
                <c:pt idx="90">
                  <c:v>0.12719150124753881</c:v>
                </c:pt>
                <c:pt idx="91">
                  <c:v>-0.42257107313233816</c:v>
                </c:pt>
                <c:pt idx="92">
                  <c:v>-0.71164369962561302</c:v>
                </c:pt>
                <c:pt idx="93">
                  <c:v>-0.76931893679515861</c:v>
                </c:pt>
                <c:pt idx="94">
                  <c:v>-0.63384650963366573</c:v>
                </c:pt>
                <c:pt idx="95">
                  <c:v>-0.50670392358018745</c:v>
                </c:pt>
                <c:pt idx="96">
                  <c:v>-0.36188081897500562</c:v>
                </c:pt>
                <c:pt idx="97">
                  <c:v>-3.2986831379680878E-2</c:v>
                </c:pt>
                <c:pt idx="98">
                  <c:v>0.49050380781968445</c:v>
                </c:pt>
                <c:pt idx="99">
                  <c:v>-0.454578594234128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5-4919-9B4B-F075CDAC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98768"/>
        <c:axId val="599882696"/>
      </c:scatterChart>
      <c:valAx>
        <c:axId val="599898768"/>
        <c:scaling>
          <c:orientation val="minMax"/>
          <c:max val="100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82696"/>
        <c:crosses val="autoZero"/>
        <c:crossBetween val="midCat"/>
        <c:majorUnit val="10"/>
        <c:minorUnit val="1"/>
      </c:valAx>
      <c:valAx>
        <c:axId val="599882696"/>
        <c:scaling>
          <c:orientation val="minMax"/>
          <c:max val="2"/>
          <c:min val="-2"/>
        </c:scaling>
        <c:delete val="0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Escapement</a:t>
                </a:r>
              </a:p>
            </c:rich>
          </c:tx>
          <c:overlay val="0"/>
        </c:title>
        <c:numFmt formatCode="0.0;[Red]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99898768"/>
        <c:crosses val="autoZero"/>
        <c:crossBetween val="midCat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247598857835091"/>
          <c:y val="0.12119685785608422"/>
          <c:w val="0.13723230509647832"/>
          <c:h val="0.158328496708964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89" r="0.75000000000000089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https://hamachan.shinyapps.io/Spawner_Recruit/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526141</xdr:colOff>
      <xdr:row>5</xdr:row>
      <xdr:rowOff>99785</xdr:rowOff>
    </xdr:from>
    <xdr:to>
      <xdr:col>12</xdr:col>
      <xdr:colOff>344715</xdr:colOff>
      <xdr:row>18</xdr:row>
      <xdr:rowOff>145143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16070" y="1197428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sngStrike" baseline="0">
              <a:solidFill>
                <a:srgbClr val="FF0000"/>
              </a:solidFill>
            </a:rPr>
            <a:t>HARVEST RATE</a:t>
          </a:r>
          <a:r>
            <a:rPr lang="en-US" sz="1400" b="1" strike="noStrike" baseline="0">
              <a:solidFill>
                <a:srgbClr val="FF0000"/>
              </a:solidFill>
            </a:rPr>
            <a:t> (PROBABLY HIGH)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0</xdr:rowOff>
    </xdr:from>
    <xdr:to>
      <xdr:col>18</xdr:col>
      <xdr:colOff>492883</xdr:colOff>
      <xdr:row>16</xdr:row>
      <xdr:rowOff>139096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810750" y="973667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3</xdr:row>
      <xdr:rowOff>0</xdr:rowOff>
    </xdr:from>
    <xdr:to>
      <xdr:col>28</xdr:col>
      <xdr:colOff>450549</xdr:colOff>
      <xdr:row>15</xdr:row>
      <xdr:rowOff>139096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287750" y="730250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590550</xdr:colOff>
      <xdr:row>4</xdr:row>
      <xdr:rowOff>114300</xdr:rowOff>
    </xdr:from>
    <xdr:to>
      <xdr:col>26</xdr:col>
      <xdr:colOff>342599</xdr:colOff>
      <xdr:row>16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92FEB2E-5A83-4A24-A1D3-6BC1F432327B}"/>
            </a:ext>
          </a:extLst>
        </xdr:cNvPr>
        <xdr:cNvSpPr txBox="1"/>
      </xdr:nvSpPr>
      <xdr:spPr>
        <a:xfrm>
          <a:off x="13535025" y="1133475"/>
          <a:ext cx="2800049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</a:t>
          </a:r>
          <a:r>
            <a:rPr lang="en-US" sz="1400" b="1" baseline="0">
              <a:solidFill>
                <a:srgbClr val="FF0000"/>
              </a:solidFill>
            </a:rPr>
            <a:t>=</a:t>
          </a:r>
          <a:endParaRPr lang="en-US" sz="1400" b="1">
            <a:solidFill>
              <a:srgbClr val="FF0000"/>
            </a:solidFill>
          </a:endParaRP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5</xdr:row>
      <xdr:rowOff>0</xdr:rowOff>
    </xdr:from>
    <xdr:to>
      <xdr:col>22</xdr:col>
      <xdr:colOff>471716</xdr:colOff>
      <xdr:row>18</xdr:row>
      <xdr:rowOff>30617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564938" y="1119188"/>
          <a:ext cx="2948216" cy="240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CONTRAST=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25</xdr:row>
      <xdr:rowOff>1</xdr:rowOff>
    </xdr:from>
    <xdr:to>
      <xdr:col>20</xdr:col>
      <xdr:colOff>108857</xdr:colOff>
      <xdr:row>27</xdr:row>
      <xdr:rowOff>190501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729357" y="4699001"/>
          <a:ext cx="1986643" cy="607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</a:rPr>
            <a:t>TRY</a:t>
          </a:r>
          <a:r>
            <a:rPr lang="en-US" sz="1200" b="1" baseline="0">
              <a:solidFill>
                <a:srgbClr val="FF0000"/>
              </a:solidFill>
            </a:rPr>
            <a:t> OTHER VALUES OF DETECTABILITY</a:t>
          </a:r>
          <a:endParaRPr lang="en-US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180975</xdr:colOff>
      <xdr:row>3</xdr:row>
      <xdr:rowOff>28575</xdr:rowOff>
    </xdr:from>
    <xdr:to>
      <xdr:col>39</xdr:col>
      <xdr:colOff>542624</xdr:colOff>
      <xdr:row>14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3046FA-324A-49EA-A6C0-ECD5E44E0AF4}"/>
            </a:ext>
          </a:extLst>
        </xdr:cNvPr>
        <xdr:cNvSpPr txBox="1"/>
      </xdr:nvSpPr>
      <xdr:spPr>
        <a:xfrm>
          <a:off x="23745825" y="1200150"/>
          <a:ext cx="2800049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PERCENTILE</a:t>
          </a:r>
          <a:r>
            <a:rPr lang="en-US" sz="1400" b="1" baseline="0">
              <a:solidFill>
                <a:srgbClr val="FF0000"/>
              </a:solidFill>
            </a:rPr>
            <a:t> METHOD:</a:t>
          </a: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CONTRAST</a:t>
          </a:r>
          <a:r>
            <a:rPr lang="en-US" sz="1400" b="1" baseline="0">
              <a:solidFill>
                <a:srgbClr val="FF0000"/>
              </a:solidFill>
            </a:rPr>
            <a:t>=</a:t>
          </a:r>
          <a:endParaRPr lang="en-US" sz="1400" b="1">
            <a:solidFill>
              <a:srgbClr val="FF0000"/>
            </a:solidFill>
          </a:endParaRPr>
        </a:p>
        <a:p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FF0000"/>
              </a:solidFill>
            </a:rPr>
            <a:t>MEASUREMENT</a:t>
          </a:r>
          <a:r>
            <a:rPr lang="en-US" sz="1400" b="1" baseline="0">
              <a:solidFill>
                <a:srgbClr val="FF0000"/>
              </a:solidFill>
            </a:rPr>
            <a:t> ERROR=</a:t>
          </a:r>
        </a:p>
        <a:p>
          <a:endParaRPr lang="en-US" sz="1400" b="1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HARVEST RATE=</a:t>
          </a:r>
        </a:p>
        <a:p>
          <a:endParaRPr lang="en-US" sz="1400" b="1" strike="noStrike" baseline="0">
            <a:solidFill>
              <a:srgbClr val="FF0000"/>
            </a:solidFill>
          </a:endParaRPr>
        </a:p>
        <a:p>
          <a:r>
            <a:rPr lang="en-US" sz="1400" b="1" strike="noStrike" baseline="0">
              <a:solidFill>
                <a:srgbClr val="FF0000"/>
              </a:solidFill>
            </a:rPr>
            <a:t>TIER=</a:t>
          </a:r>
          <a:endParaRPr 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171450</xdr:colOff>
      <xdr:row>1</xdr:row>
      <xdr:rowOff>180976</xdr:rowOff>
    </xdr:from>
    <xdr:to>
      <xdr:col>42</xdr:col>
      <xdr:colOff>409575</xdr:colOff>
      <xdr:row>2</xdr:row>
      <xdr:rowOff>438151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05A87-356D-4961-8D04-C5E4D8EDC87A}"/>
            </a:ext>
          </a:extLst>
        </xdr:cNvPr>
        <xdr:cNvSpPr txBox="1"/>
      </xdr:nvSpPr>
      <xdr:spPr>
        <a:xfrm>
          <a:off x="23888700" y="381001"/>
          <a:ext cx="45053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To</a:t>
          </a:r>
          <a:r>
            <a:rPr lang="en-US" sz="1400" b="1" baseline="0">
              <a:solidFill>
                <a:srgbClr val="FF0000"/>
              </a:solidFill>
            </a:rPr>
            <a:t> fit an AR1 model, you can use Hamachan's shiny app:</a:t>
          </a:r>
          <a:endParaRPr lang="en-US" sz="1400" b="1">
            <a:solidFill>
              <a:srgbClr val="FF0000"/>
            </a:solidFill>
          </a:endParaRPr>
        </a:p>
        <a:p>
          <a:r>
            <a:rPr lang="en-US" sz="1400" b="1">
              <a:solidFill>
                <a:srgbClr val="00B0F0"/>
              </a:solidFill>
            </a:rPr>
            <a:t>https://hamachan.shinyapps.io/Spawner_Recruit/ 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18143</xdr:colOff>
      <xdr:row>40</xdr:row>
      <xdr:rowOff>158952</xdr:rowOff>
    </xdr:from>
    <xdr:to>
      <xdr:col>5</xdr:col>
      <xdr:colOff>290285</xdr:colOff>
      <xdr:row>58</xdr:row>
      <xdr:rowOff>143430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362857</xdr:colOff>
      <xdr:row>41</xdr:row>
      <xdr:rowOff>18143</xdr:rowOff>
    </xdr:from>
    <xdr:to>
      <xdr:col>9</xdr:col>
      <xdr:colOff>616858</xdr:colOff>
      <xdr:row>58</xdr:row>
      <xdr:rowOff>161370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707571</xdr:colOff>
      <xdr:row>41</xdr:row>
      <xdr:rowOff>18144</xdr:rowOff>
    </xdr:from>
    <xdr:to>
      <xdr:col>13</xdr:col>
      <xdr:colOff>471715</xdr:colOff>
      <xdr:row>58</xdr:row>
      <xdr:rowOff>161371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562429</xdr:colOff>
      <xdr:row>41</xdr:row>
      <xdr:rowOff>36286</xdr:rowOff>
    </xdr:from>
    <xdr:to>
      <xdr:col>18</xdr:col>
      <xdr:colOff>254000</xdr:colOff>
      <xdr:row>59</xdr:row>
      <xdr:rowOff>16228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1</xdr:rowOff>
    </xdr:from>
    <xdr:to>
      <xdr:col>24</xdr:col>
      <xdr:colOff>0</xdr:colOff>
      <xdr:row>14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14</xdr:row>
      <xdr:rowOff>85725</xdr:rowOff>
    </xdr:from>
    <xdr:to>
      <xdr:col>24</xdr:col>
      <xdr:colOff>0</xdr:colOff>
      <xdr:row>33</xdr:row>
      <xdr:rowOff>47625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18</xdr:row>
      <xdr:rowOff>88900</xdr:rowOff>
    </xdr:from>
    <xdr:to>
      <xdr:col>16</xdr:col>
      <xdr:colOff>304801</xdr:colOff>
      <xdr:row>39</xdr:row>
      <xdr:rowOff>65617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39</xdr:row>
      <xdr:rowOff>76201</xdr:rowOff>
    </xdr:from>
    <xdr:to>
      <xdr:col>16</xdr:col>
      <xdr:colOff>304800</xdr:colOff>
      <xdr:row>53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12700</xdr:colOff>
      <xdr:row>0</xdr:row>
      <xdr:rowOff>76200</xdr:rowOff>
    </xdr:from>
    <xdr:to>
      <xdr:col>36</xdr:col>
      <xdr:colOff>0</xdr:colOff>
      <xdr:row>34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9277350" y="76200"/>
          <a:ext cx="11912600" cy="686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solidFill>
                <a:srgbClr val="0000FF"/>
              </a:solidFill>
            </a:rPr>
            <a:t>WHY</a:t>
          </a:r>
          <a:r>
            <a:rPr lang="en-US" sz="1600" baseline="0">
              <a:solidFill>
                <a:srgbClr val="0000FF"/>
              </a:solidFill>
            </a:rPr>
            <a:t> WE USE ESCAPEMENT GOAL MANAGEMENT</a:t>
          </a:r>
        </a:p>
        <a:p>
          <a:endParaRPr lang="en-US" sz="1600">
            <a:solidFill>
              <a:srgbClr val="0000FF"/>
            </a:solidFill>
          </a:endParaRPr>
        </a:p>
        <a:p>
          <a:r>
            <a:rPr lang="en-US" sz="1600">
              <a:solidFill>
                <a:srgbClr val="0000FF"/>
              </a:solidFill>
            </a:rPr>
            <a:t>TAKE-HOME</a:t>
          </a:r>
          <a:r>
            <a:rPr lang="en-US" sz="1600" baseline="0">
              <a:solidFill>
                <a:srgbClr val="0000FF"/>
              </a:solidFill>
            </a:rPr>
            <a:t> MESSAGE FROM DEPENSATION DISCUSSION:  </a:t>
          </a:r>
          <a:r>
            <a:rPr lang="en-US" sz="1800" baseline="0">
              <a:solidFill>
                <a:srgbClr val="0000FF"/>
              </a:solidFill>
            </a:rPr>
            <a:t>"</a:t>
          </a:r>
          <a:r>
            <a:rPr lang="en-US" sz="1800" b="1" u="sng" baseline="0">
              <a:solidFill>
                <a:srgbClr val="0000FF"/>
              </a:solidFill>
            </a:rPr>
            <a:t>BAD THINGS COULD HAPPEN AT LOW ABUNDANCES"</a:t>
          </a:r>
        </a:p>
        <a:p>
          <a:endParaRPr lang="en-US" sz="1600">
            <a:solidFill>
              <a:srgbClr val="0000FF"/>
            </a:solidFill>
          </a:endParaRPr>
        </a:p>
        <a:p>
          <a:r>
            <a:rPr lang="en-US" sz="1600">
              <a:solidFill>
                <a:srgbClr val="0000FF"/>
              </a:solidFill>
            </a:rPr>
            <a:t>RECALL OUR</a:t>
          </a:r>
          <a:r>
            <a:rPr lang="en-US" sz="1600" baseline="0">
              <a:solidFill>
                <a:srgbClr val="0000FF"/>
              </a:solidFill>
            </a:rPr>
            <a:t> SIMPLE SIMULATION OF EGM:  WE HAVE 3 MAIN RSR PARAMETERS</a:t>
          </a:r>
        </a:p>
        <a:p>
          <a:r>
            <a:rPr lang="en-US" sz="1600" baseline="0">
              <a:solidFill>
                <a:srgbClr val="0000FF"/>
              </a:solidFill>
            </a:rPr>
            <a:t>	ESCAPEMENT THRESHOLD PLUS LOW AND HIGH RATES OF FISHING</a:t>
          </a:r>
        </a:p>
        <a:p>
          <a:r>
            <a:rPr lang="en-US" sz="1600" baseline="0">
              <a:solidFill>
                <a:srgbClr val="0000FF"/>
              </a:solidFill>
            </a:rPr>
            <a:t>	WHEN ALL IS WELL AND RUN EXCEEDS GOAL WE FISH AT HIGH RATE (SAY 80%)</a:t>
          </a:r>
        </a:p>
        <a:p>
          <a:r>
            <a:rPr lang="en-US" sz="1600" baseline="0">
              <a:solidFill>
                <a:srgbClr val="0000FF"/>
              </a:solidFill>
            </a:rPr>
            <a:t>	WHEN RUN IS SMALL AND MEETING GOAL IS IN JEOPARDY WE REDUCE FISHING TO LOWER RATE (SAY 33%)</a:t>
          </a:r>
        </a:p>
        <a:p>
          <a:r>
            <a:rPr lang="en-US" sz="1600" baseline="0">
              <a:solidFill>
                <a:srgbClr val="0000FF"/>
              </a:solidFill>
            </a:rPr>
            <a:t>	IDEALLY WE STOP FISHING ENTIRELY BUT WE ARE NOT PERFECT SO ON AVERAGE F1 IS SMALL BUT NOT ZERO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  <a:r>
            <a:rPr lang="en-US" sz="1600" b="1" i="1" u="sng" baseline="0">
              <a:solidFill>
                <a:srgbClr val="0000FF"/>
              </a:solidFill>
            </a:rPr>
            <a:t>SHOW</a:t>
          </a:r>
          <a:r>
            <a:rPr lang="en-US" sz="1600" baseline="0">
              <a:solidFill>
                <a:srgbClr val="0000FF"/>
              </a:solidFill>
            </a:rPr>
            <a:t> THAT ESCAPEMENT RARELY DIPS VERY FAR BELOW SGOAL = 500 (SEE "Escapement over Time" GRAPH)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</a:p>
        <a:p>
          <a:r>
            <a:rPr lang="en-US" sz="1600">
              <a:solidFill>
                <a:srgbClr val="0000FF"/>
              </a:solidFill>
            </a:rPr>
            <a:t>AN ALTERNATIVE IS</a:t>
          </a:r>
          <a:r>
            <a:rPr lang="en-US" sz="1600" baseline="0">
              <a:solidFill>
                <a:srgbClr val="0000FF"/>
              </a:solidFill>
            </a:rPr>
            <a:t> HARVEST RATE MANAGEMENT (HARVEST AT FIXED RATE)</a:t>
          </a:r>
        </a:p>
        <a:p>
          <a:r>
            <a:rPr lang="en-US" sz="1600" baseline="0">
              <a:solidFill>
                <a:srgbClr val="0000FF"/>
              </a:solidFill>
            </a:rPr>
            <a:t>	TO CONVERT TO HRM SIMPLY REDUCE SGOAL TO V SMALL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>
              <a:solidFill>
                <a:srgbClr val="0000FF"/>
              </a:solidFill>
            </a:rPr>
            <a:t>	(THIS TRICKS THE SIMULATOR TO </a:t>
          </a:r>
          <a:r>
            <a:rPr lang="en-US" sz="1600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ALWAYS FISH AT HIGH RATE BECAUSE RUN ALWAYS EXCEEDS SGOAL)</a:t>
          </a:r>
          <a:endParaRPr lang="en-US" sz="1600">
            <a:solidFill>
              <a:srgbClr val="0000FF"/>
            </a:solidFill>
            <a:effectLst/>
          </a:endParaRPr>
        </a:p>
        <a:p>
          <a:r>
            <a:rPr lang="en-US" sz="1600" baseline="0">
              <a:solidFill>
                <a:srgbClr val="0000FF"/>
              </a:solidFill>
            </a:rPr>
            <a:t>	 </a:t>
          </a:r>
          <a:r>
            <a:rPr lang="en-US" sz="1600" b="1" i="1" u="sng" baseline="0">
              <a:solidFill>
                <a:srgbClr val="0000FF"/>
              </a:solidFill>
            </a:rPr>
            <a:t>SET SGOAL TO 1 </a:t>
          </a:r>
          <a:r>
            <a:rPr lang="en-US" sz="1600" baseline="0">
              <a:solidFill>
                <a:srgbClr val="0000FF"/>
              </a:solidFill>
            </a:rPr>
            <a:t>- YIKES! (ESCAPEMENT NOSEDIVES AND STAYS LOW) </a:t>
          </a:r>
        </a:p>
        <a:p>
          <a:r>
            <a:rPr lang="en-US" sz="1600" baseline="0">
              <a:solidFill>
                <a:srgbClr val="0000FF"/>
              </a:solidFill>
            </a:rPr>
            <a:t>	OBVIOUSLY WE WANT TO AVOID THIS SO LET'S MAKE IT EASY TO FLAG LOW ABUND. </a:t>
          </a:r>
          <a:r>
            <a:rPr lang="en-US" sz="1600" b="1" i="1" u="sng" baseline="0">
              <a:solidFill>
                <a:srgbClr val="0000FF"/>
              </a:solidFill>
            </a:rPr>
            <a:t>SET A RED LINE AT S=100</a:t>
          </a:r>
          <a:r>
            <a:rPr lang="en-US" sz="1600" b="0" i="0" u="none" baseline="0">
              <a:solidFill>
                <a:srgbClr val="0000FF"/>
              </a:solidFill>
            </a:rPr>
            <a:t> </a:t>
          </a:r>
          <a:r>
            <a:rPr lang="en-US" sz="1600" b="1" i="1" u="sng" baseline="0">
              <a:solidFill>
                <a:srgbClr val="0000FF"/>
              </a:solidFill>
            </a:rPr>
            <a:t>(CELL T43)</a:t>
          </a:r>
        </a:p>
        <a:p>
          <a:r>
            <a:rPr lang="en-US" sz="1600" baseline="0">
              <a:solidFill>
                <a:srgbClr val="0000FF"/>
              </a:solidFill>
            </a:rPr>
            <a:t>	ADMITTEDLY 80% IS V HIGH HARV RATE (SUSTAINABLY KILLING 8 OF 10 FISH REQUIRES ALPHA&gt;&gt;5, BUT ALPHA=4.5)</a:t>
          </a:r>
        </a:p>
        <a:p>
          <a:r>
            <a:rPr lang="en-US" sz="1600" baseline="0">
              <a:solidFill>
                <a:srgbClr val="0000FF"/>
              </a:solidFill>
            </a:rPr>
            <a:t>	SO </a:t>
          </a:r>
          <a:r>
            <a:rPr lang="en-US" sz="1600" b="1" i="1" u="sng" baseline="0">
              <a:solidFill>
                <a:srgbClr val="0000FF"/>
              </a:solidFill>
            </a:rPr>
            <a:t>DIAL BACK F2 TO 1.0 </a:t>
          </a:r>
          <a:r>
            <a:rPr lang="en-US" sz="1600" baseline="0">
              <a:solidFill>
                <a:srgbClr val="0000FF"/>
              </a:solidFill>
            </a:rPr>
            <a:t>FOR RATE NEAR UMSY = 0.62 DESIGNED TO PROVIDE MAX YIELD</a:t>
          </a:r>
        </a:p>
        <a:p>
          <a:r>
            <a:rPr lang="en-US" sz="1600" baseline="0">
              <a:solidFill>
                <a:srgbClr val="0000FF"/>
              </a:solidFill>
            </a:rPr>
            <a:t>	RESULT:  STILL FLIRTING WITH VERY LOW ESCAPEMENTS, SOMETIMES FOR SEVERAL YEARS IN A ROW</a:t>
          </a:r>
        </a:p>
        <a:p>
          <a:r>
            <a:rPr lang="en-US" sz="1600" baseline="0">
              <a:solidFill>
                <a:srgbClr val="0000FF"/>
              </a:solidFill>
            </a:rPr>
            <a:t>	</a:t>
          </a:r>
        </a:p>
        <a:p>
          <a:r>
            <a:rPr lang="en-US" sz="1600" baseline="0">
              <a:solidFill>
                <a:srgbClr val="0000FF"/>
              </a:solidFill>
            </a:rPr>
            <a:t>AS REMINDER WHAT HAPPENS WHEN WE INSTITUTE EGM, </a:t>
          </a:r>
          <a:r>
            <a:rPr lang="en-US" sz="1600" b="1" i="1" u="sng" baseline="0">
              <a:solidFill>
                <a:srgbClr val="0000FF"/>
              </a:solidFill>
            </a:rPr>
            <a:t>SET SGOAL BACK TO 500</a:t>
          </a:r>
          <a:endParaRPr lang="en-US" sz="1600" b="1" i="1" u="none" baseline="0">
            <a:solidFill>
              <a:srgbClr val="0000FF"/>
            </a:solidFill>
          </a:endParaRPr>
        </a:p>
        <a:p>
          <a:r>
            <a:rPr lang="en-US" sz="1600" b="0" u="none" baseline="0">
              <a:solidFill>
                <a:srgbClr val="0000FF"/>
              </a:solidFill>
            </a:rPr>
            <a:t>	NOTE WITH MORE CONSERVATIVE MANAGEMENT (</a:t>
          </a:r>
          <a:r>
            <a:rPr lang="en-US" sz="1600" b="1" i="1" u="sng" baseline="0">
              <a:solidFill>
                <a:srgbClr val="0000FF"/>
              </a:solidFill>
            </a:rPr>
            <a:t>SET F1 TO 0.2</a:t>
          </a:r>
          <a:r>
            <a:rPr lang="en-US" sz="1600" b="0" u="none" baseline="0">
              <a:solidFill>
                <a:srgbClr val="0000FF"/>
              </a:solidFill>
            </a:rPr>
            <a:t>), WE MISS GOAL EVEN LESS OFTEN</a:t>
          </a:r>
        </a:p>
        <a:p>
          <a:r>
            <a:rPr lang="en-US" sz="1600" b="0" u="none" baseline="0">
              <a:solidFill>
                <a:srgbClr val="0000FF"/>
              </a:solidFill>
            </a:rPr>
            <a:t>	EVEN WHEN WE FISH VERY HARD ON LARGE RUNS (</a:t>
          </a:r>
          <a:r>
            <a:rPr lang="en-US" sz="1600" b="1" i="1" u="sng" baseline="0">
              <a:solidFill>
                <a:srgbClr val="0000FF"/>
              </a:solidFill>
            </a:rPr>
            <a:t>SET F2 TO 2.5 OR HIGHER</a:t>
          </a:r>
          <a:r>
            <a:rPr lang="en-US" sz="1600" b="0" u="none" baseline="0">
              <a:solidFill>
                <a:srgbClr val="0000FF"/>
              </a:solidFill>
            </a:rPr>
            <a:t>)</a:t>
          </a:r>
        </a:p>
        <a:p>
          <a:r>
            <a:rPr lang="en-US" sz="1600" b="0" u="none" baseline="0">
              <a:solidFill>
                <a:srgbClr val="0000FF"/>
              </a:solidFill>
            </a:rPr>
            <a:t>	OR WHEN WE SET A GOAL THAT WE NORMALLY WOULD CONSIDER TOO LOW </a:t>
          </a:r>
          <a:r>
            <a:rPr lang="en-US" sz="1600" b="1" i="1" u="sng" baseline="0">
              <a:solidFill>
                <a:srgbClr val="0000FF"/>
              </a:solidFill>
            </a:rPr>
            <a:t>(SET SGOAL TO 250, ABOUT 40% OF SMSY)</a:t>
          </a:r>
        </a:p>
        <a:p>
          <a:endParaRPr lang="en-US" sz="1600" b="1" u="sng">
            <a:solidFill>
              <a:srgbClr val="0000FF"/>
            </a:solidFill>
          </a:endParaRPr>
        </a:p>
        <a:p>
          <a:r>
            <a:rPr lang="en-US" sz="1600" b="0" u="none">
              <a:solidFill>
                <a:srgbClr val="0000FF"/>
              </a:solidFill>
            </a:rPr>
            <a:t>CONCLUDE:</a:t>
          </a:r>
          <a:r>
            <a:rPr lang="en-US" sz="1600" b="0" u="none" baseline="0">
              <a:solidFill>
                <a:srgbClr val="0000FF"/>
              </a:solidFill>
            </a:rPr>
            <a:t>  </a:t>
          </a:r>
          <a:r>
            <a:rPr lang="en-US" sz="1800" b="1" u="sng">
              <a:solidFill>
                <a:srgbClr val="0000FF"/>
              </a:solidFill>
            </a:rPr>
            <a:t>EGM PREVENTS LOW</a:t>
          </a:r>
          <a:r>
            <a:rPr lang="en-US" sz="1800" b="1" u="sng" baseline="0">
              <a:solidFill>
                <a:srgbClr val="0000FF"/>
              </a:solidFill>
            </a:rPr>
            <a:t> ABUNDANCE, EVEN WITH A SUBOPTIMAL GOAL</a:t>
          </a:r>
          <a:endParaRPr lang="en-US" sz="1800" b="1" u="sng">
            <a:solidFill>
              <a:srgbClr val="0000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9%20Kenai%20King\09LateRKingproj_Je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TADINFO\2001\CATCHES\TAKU\Catch01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home\stevef\My%20Documents\Comprehensive\Kenai%20Chinook\ER%20Stock%20Assessment%20Report%202002-2005\draft2\StockRecruit%20steve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f-anc1\USER\NICKYS\FMR2001_2003\LCIAMRTworking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PageSummary"/>
      <sheetName val="Summary"/>
      <sheetName val="Netting"/>
      <sheetName val="Creel"/>
      <sheetName val="CreelCPUE"/>
      <sheetName val="Inseason Guidelines"/>
      <sheetName val="Historic Mngmnt Actions"/>
      <sheetName val="Age vs week (historic)"/>
      <sheetName val="Sheet1"/>
      <sheetName val="MeanTimingErrESSN"/>
      <sheetName val="ESSNharv"/>
      <sheetName val="CumSnrChart"/>
      <sheetName val="TimingHndcastChrt"/>
      <sheetName val="RegressHndcastgraph"/>
      <sheetName val="NetTimesOnlyEst"/>
      <sheetName val="RunProjErrChrt"/>
      <sheetName val="MeanTimingErrSonar"/>
      <sheetName val="RegressHndcastErrSonar"/>
      <sheetName val="SnrNetChrt"/>
      <sheetName val="NetCPUEChrt"/>
      <sheetName val="JulyTiming"/>
      <sheetName val="Timing%Byday"/>
      <sheetName val="TotalrunHndcst"/>
      <sheetName val="CumSnr"/>
      <sheetName val="G Effort"/>
      <sheetName val="G catch"/>
      <sheetName val="G harv"/>
      <sheetName val="UG effort"/>
      <sheetName val="UG catch"/>
      <sheetName val="UG harv"/>
      <sheetName val="UpriverHarvParam"/>
      <sheetName val="G+UG harv"/>
      <sheetName val="netcpue"/>
    </sheetNames>
    <sheetDataSet>
      <sheetData sheetId="0"/>
      <sheetData sheetId="1">
        <row r="5">
          <cell r="D5">
            <v>507</v>
          </cell>
          <cell r="E5">
            <v>507</v>
          </cell>
          <cell r="G5">
            <v>526</v>
          </cell>
          <cell r="H5">
            <v>526</v>
          </cell>
          <cell r="J5">
            <v>769</v>
          </cell>
          <cell r="K5">
            <v>769</v>
          </cell>
          <cell r="M5">
            <v>578</v>
          </cell>
          <cell r="N5">
            <v>578</v>
          </cell>
          <cell r="P5">
            <v>267</v>
          </cell>
          <cell r="Q5">
            <v>267</v>
          </cell>
        </row>
        <row r="6">
          <cell r="D6">
            <v>429</v>
          </cell>
          <cell r="E6">
            <v>936</v>
          </cell>
          <cell r="G6">
            <v>404</v>
          </cell>
          <cell r="H6">
            <v>930</v>
          </cell>
          <cell r="J6">
            <v>489</v>
          </cell>
          <cell r="K6">
            <v>1258</v>
          </cell>
          <cell r="M6">
            <v>305</v>
          </cell>
          <cell r="N6">
            <v>883</v>
          </cell>
          <cell r="P6">
            <v>300</v>
          </cell>
          <cell r="Q6">
            <v>567</v>
          </cell>
        </row>
        <row r="7">
          <cell r="D7">
            <v>405</v>
          </cell>
          <cell r="E7">
            <v>1341</v>
          </cell>
          <cell r="G7">
            <v>398</v>
          </cell>
          <cell r="H7">
            <v>1328</v>
          </cell>
          <cell r="J7">
            <v>353</v>
          </cell>
          <cell r="K7">
            <v>1611</v>
          </cell>
          <cell r="M7">
            <v>486</v>
          </cell>
          <cell r="N7">
            <v>1369</v>
          </cell>
          <cell r="P7">
            <v>333</v>
          </cell>
          <cell r="Q7">
            <v>900</v>
          </cell>
        </row>
        <row r="8">
          <cell r="D8">
            <v>628</v>
          </cell>
          <cell r="E8">
            <v>1969</v>
          </cell>
          <cell r="G8">
            <v>292</v>
          </cell>
          <cell r="H8">
            <v>1620</v>
          </cell>
          <cell r="J8">
            <v>566</v>
          </cell>
          <cell r="K8">
            <v>2177</v>
          </cell>
          <cell r="M8">
            <v>436</v>
          </cell>
          <cell r="N8">
            <v>1805</v>
          </cell>
          <cell r="P8">
            <v>519</v>
          </cell>
          <cell r="Q8">
            <v>1419</v>
          </cell>
        </row>
        <row r="9">
          <cell r="D9">
            <v>596</v>
          </cell>
          <cell r="E9">
            <v>2565</v>
          </cell>
          <cell r="G9">
            <v>482</v>
          </cell>
          <cell r="H9">
            <v>2102</v>
          </cell>
          <cell r="J9">
            <v>1106</v>
          </cell>
          <cell r="K9">
            <v>3283</v>
          </cell>
          <cell r="M9">
            <v>853</v>
          </cell>
          <cell r="N9">
            <v>2658</v>
          </cell>
          <cell r="P9">
            <v>316</v>
          </cell>
          <cell r="Q9">
            <v>1735</v>
          </cell>
        </row>
        <row r="10">
          <cell r="D10">
            <v>523</v>
          </cell>
          <cell r="E10">
            <v>3088</v>
          </cell>
          <cell r="G10">
            <v>654</v>
          </cell>
          <cell r="H10">
            <v>2756</v>
          </cell>
          <cell r="J10">
            <v>879</v>
          </cell>
          <cell r="K10">
            <v>4162</v>
          </cell>
          <cell r="M10">
            <v>795</v>
          </cell>
          <cell r="N10">
            <v>3453</v>
          </cell>
          <cell r="P10">
            <v>242</v>
          </cell>
          <cell r="Q10">
            <v>1977</v>
          </cell>
        </row>
        <row r="11">
          <cell r="D11">
            <v>769</v>
          </cell>
          <cell r="E11">
            <v>3857</v>
          </cell>
          <cell r="G11">
            <v>379</v>
          </cell>
          <cell r="H11">
            <v>3135</v>
          </cell>
          <cell r="J11">
            <v>680</v>
          </cell>
          <cell r="K11">
            <v>4842</v>
          </cell>
          <cell r="M11">
            <v>929</v>
          </cell>
          <cell r="N11">
            <v>4382</v>
          </cell>
          <cell r="P11">
            <v>186</v>
          </cell>
          <cell r="Q11">
            <v>2163</v>
          </cell>
        </row>
        <row r="12">
          <cell r="D12">
            <v>483</v>
          </cell>
          <cell r="E12">
            <v>4340</v>
          </cell>
          <cell r="G12">
            <v>725</v>
          </cell>
          <cell r="H12">
            <v>3860</v>
          </cell>
          <cell r="J12">
            <v>776</v>
          </cell>
          <cell r="K12">
            <v>5618</v>
          </cell>
          <cell r="M12">
            <v>432</v>
          </cell>
          <cell r="N12">
            <v>4814</v>
          </cell>
          <cell r="P12">
            <v>139</v>
          </cell>
          <cell r="Q12">
            <v>2302</v>
          </cell>
        </row>
        <row r="13">
          <cell r="D13">
            <v>384</v>
          </cell>
          <cell r="E13">
            <v>4724</v>
          </cell>
          <cell r="G13">
            <v>471</v>
          </cell>
          <cell r="H13">
            <v>4331</v>
          </cell>
          <cell r="J13">
            <v>1404</v>
          </cell>
          <cell r="K13">
            <v>7022</v>
          </cell>
          <cell r="M13">
            <v>309</v>
          </cell>
          <cell r="N13">
            <v>5123</v>
          </cell>
          <cell r="P13">
            <v>393</v>
          </cell>
          <cell r="Q13">
            <v>2695</v>
          </cell>
        </row>
        <row r="14">
          <cell r="D14">
            <v>314</v>
          </cell>
          <cell r="E14">
            <v>5038</v>
          </cell>
          <cell r="G14">
            <v>1732</v>
          </cell>
          <cell r="H14">
            <v>6063</v>
          </cell>
          <cell r="J14">
            <v>560</v>
          </cell>
          <cell r="K14">
            <v>7582</v>
          </cell>
          <cell r="M14">
            <v>359</v>
          </cell>
          <cell r="N14">
            <v>5482</v>
          </cell>
          <cell r="P14">
            <v>481</v>
          </cell>
          <cell r="Q14">
            <v>3176</v>
          </cell>
        </row>
        <row r="15">
          <cell r="D15">
            <v>340</v>
          </cell>
          <cell r="E15">
            <v>5378</v>
          </cell>
          <cell r="G15">
            <v>1507</v>
          </cell>
          <cell r="H15">
            <v>7570</v>
          </cell>
          <cell r="J15">
            <v>2010</v>
          </cell>
          <cell r="K15">
            <v>9592</v>
          </cell>
          <cell r="M15">
            <v>778</v>
          </cell>
          <cell r="N15">
            <v>6260</v>
          </cell>
          <cell r="P15">
            <v>403</v>
          </cell>
          <cell r="Q15">
            <v>3579</v>
          </cell>
        </row>
        <row r="16">
          <cell r="D16">
            <v>751</v>
          </cell>
          <cell r="E16">
            <v>6129</v>
          </cell>
          <cell r="G16">
            <v>1087</v>
          </cell>
          <cell r="H16">
            <v>8657</v>
          </cell>
          <cell r="J16">
            <v>2763</v>
          </cell>
          <cell r="K16">
            <v>12355</v>
          </cell>
          <cell r="M16">
            <v>557</v>
          </cell>
          <cell r="N16">
            <v>6817</v>
          </cell>
          <cell r="P16">
            <v>330</v>
          </cell>
          <cell r="Q16">
            <v>3909</v>
          </cell>
        </row>
        <row r="17">
          <cell r="D17">
            <v>747</v>
          </cell>
          <cell r="E17">
            <v>6876</v>
          </cell>
          <cell r="G17">
            <v>2251</v>
          </cell>
          <cell r="H17">
            <v>10908</v>
          </cell>
          <cell r="J17">
            <v>910</v>
          </cell>
          <cell r="K17">
            <v>13265</v>
          </cell>
          <cell r="M17">
            <v>1175</v>
          </cell>
          <cell r="N17">
            <v>7992</v>
          </cell>
          <cell r="P17">
            <v>308</v>
          </cell>
          <cell r="Q17">
            <v>4217</v>
          </cell>
        </row>
        <row r="18">
          <cell r="D18">
            <v>761</v>
          </cell>
          <cell r="E18">
            <v>7637</v>
          </cell>
          <cell r="G18">
            <v>2370</v>
          </cell>
          <cell r="H18">
            <v>13278</v>
          </cell>
          <cell r="J18">
            <v>2284</v>
          </cell>
          <cell r="K18">
            <v>15549</v>
          </cell>
          <cell r="M18">
            <v>1481</v>
          </cell>
          <cell r="N18">
            <v>9473</v>
          </cell>
          <cell r="P18">
            <v>572</v>
          </cell>
          <cell r="Q18">
            <v>4789</v>
          </cell>
        </row>
        <row r="19">
          <cell r="D19">
            <v>913</v>
          </cell>
          <cell r="E19">
            <v>8550</v>
          </cell>
          <cell r="G19">
            <v>2405</v>
          </cell>
          <cell r="H19">
            <v>15683</v>
          </cell>
          <cell r="J19">
            <v>1111</v>
          </cell>
          <cell r="K19">
            <v>16660</v>
          </cell>
          <cell r="M19">
            <v>1149</v>
          </cell>
          <cell r="N19">
            <v>10622</v>
          </cell>
          <cell r="P19">
            <v>542</v>
          </cell>
          <cell r="Q19">
            <v>5331</v>
          </cell>
        </row>
        <row r="20">
          <cell r="D20">
            <v>1466</v>
          </cell>
          <cell r="E20">
            <v>10016</v>
          </cell>
          <cell r="G20">
            <v>1259</v>
          </cell>
          <cell r="H20">
            <v>16942</v>
          </cell>
          <cell r="J20">
            <v>1344</v>
          </cell>
          <cell r="K20">
            <v>18004</v>
          </cell>
          <cell r="M20">
            <v>1011</v>
          </cell>
          <cell r="N20">
            <v>11633</v>
          </cell>
          <cell r="P20">
            <v>1029</v>
          </cell>
          <cell r="Q20">
            <v>6360</v>
          </cell>
        </row>
        <row r="21">
          <cell r="D21">
            <v>1353</v>
          </cell>
          <cell r="E21">
            <v>11369</v>
          </cell>
          <cell r="G21">
            <v>1520</v>
          </cell>
          <cell r="H21">
            <v>18462</v>
          </cell>
          <cell r="J21">
            <v>963</v>
          </cell>
          <cell r="K21">
            <v>18967</v>
          </cell>
          <cell r="M21">
            <v>2395</v>
          </cell>
          <cell r="N21">
            <v>14028</v>
          </cell>
          <cell r="P21">
            <v>2052</v>
          </cell>
          <cell r="Q21">
            <v>8412</v>
          </cell>
        </row>
        <row r="22">
          <cell r="D22">
            <v>841</v>
          </cell>
          <cell r="E22">
            <v>12210</v>
          </cell>
          <cell r="G22">
            <v>2180</v>
          </cell>
          <cell r="H22">
            <v>20642</v>
          </cell>
          <cell r="J22">
            <v>1382</v>
          </cell>
          <cell r="K22">
            <v>20349</v>
          </cell>
          <cell r="M22">
            <v>2113</v>
          </cell>
          <cell r="N22">
            <v>16141</v>
          </cell>
          <cell r="P22">
            <v>3114</v>
          </cell>
          <cell r="Q22">
            <v>11526</v>
          </cell>
        </row>
        <row r="23">
          <cell r="D23">
            <v>2071</v>
          </cell>
          <cell r="E23">
            <v>14281</v>
          </cell>
          <cell r="G23">
            <v>1724</v>
          </cell>
          <cell r="H23">
            <v>22366</v>
          </cell>
          <cell r="J23">
            <v>425</v>
          </cell>
          <cell r="K23">
            <v>20774</v>
          </cell>
          <cell r="M23">
            <v>1363</v>
          </cell>
          <cell r="N23">
            <v>17504</v>
          </cell>
          <cell r="P23">
            <v>1999</v>
          </cell>
          <cell r="Q23">
            <v>13525</v>
          </cell>
        </row>
        <row r="24">
          <cell r="D24">
            <v>3709</v>
          </cell>
          <cell r="E24">
            <v>17990</v>
          </cell>
          <cell r="G24">
            <v>2670</v>
          </cell>
          <cell r="H24">
            <v>25036</v>
          </cell>
          <cell r="J24">
            <v>820</v>
          </cell>
          <cell r="K24">
            <v>21594</v>
          </cell>
          <cell r="M24">
            <v>1499</v>
          </cell>
          <cell r="N24">
            <v>19003</v>
          </cell>
          <cell r="P24">
            <v>1422</v>
          </cell>
          <cell r="Q24">
            <v>14947</v>
          </cell>
        </row>
        <row r="25">
          <cell r="D25">
            <v>3737</v>
          </cell>
          <cell r="E25">
            <v>21727</v>
          </cell>
          <cell r="G25">
            <v>3170</v>
          </cell>
          <cell r="H25">
            <v>28206</v>
          </cell>
          <cell r="J25">
            <v>916</v>
          </cell>
          <cell r="K25">
            <v>22510</v>
          </cell>
          <cell r="M25">
            <v>787</v>
          </cell>
          <cell r="N25">
            <v>19790</v>
          </cell>
          <cell r="P25">
            <v>1030</v>
          </cell>
          <cell r="Q25">
            <v>15977</v>
          </cell>
        </row>
        <row r="26">
          <cell r="D26">
            <v>1835</v>
          </cell>
          <cell r="E26">
            <v>23562</v>
          </cell>
          <cell r="G26">
            <v>1302</v>
          </cell>
          <cell r="H26">
            <v>29508</v>
          </cell>
          <cell r="J26">
            <v>583</v>
          </cell>
          <cell r="K26">
            <v>23093</v>
          </cell>
          <cell r="M26">
            <v>573</v>
          </cell>
          <cell r="N26">
            <v>20363</v>
          </cell>
          <cell r="P26">
            <v>1050</v>
          </cell>
          <cell r="Q26">
            <v>17027</v>
          </cell>
        </row>
        <row r="27">
          <cell r="D27">
            <v>1700</v>
          </cell>
          <cell r="E27">
            <v>25262</v>
          </cell>
          <cell r="G27">
            <v>1502</v>
          </cell>
          <cell r="H27">
            <v>31010</v>
          </cell>
          <cell r="J27">
            <v>756</v>
          </cell>
          <cell r="K27">
            <v>23849</v>
          </cell>
          <cell r="M27">
            <v>642</v>
          </cell>
          <cell r="N27">
            <v>21005</v>
          </cell>
          <cell r="P27">
            <v>2632</v>
          </cell>
          <cell r="Q27">
            <v>19659</v>
          </cell>
        </row>
        <row r="28">
          <cell r="D28">
            <v>2998</v>
          </cell>
          <cell r="E28">
            <v>28260</v>
          </cell>
          <cell r="G28">
            <v>1386</v>
          </cell>
          <cell r="H28">
            <v>32396</v>
          </cell>
          <cell r="J28">
            <v>783</v>
          </cell>
          <cell r="K28">
            <v>24632</v>
          </cell>
          <cell r="M28">
            <v>1106</v>
          </cell>
          <cell r="N28">
            <v>22111</v>
          </cell>
          <cell r="P28">
            <v>2204</v>
          </cell>
          <cell r="Q28">
            <v>21863</v>
          </cell>
        </row>
        <row r="29">
          <cell r="D29">
            <v>1915</v>
          </cell>
          <cell r="E29">
            <v>30175</v>
          </cell>
          <cell r="G29">
            <v>999</v>
          </cell>
          <cell r="H29">
            <v>33395</v>
          </cell>
          <cell r="J29">
            <v>495</v>
          </cell>
          <cell r="K29">
            <v>25127</v>
          </cell>
          <cell r="M29">
            <v>810</v>
          </cell>
          <cell r="N29">
            <v>22921</v>
          </cell>
          <cell r="P29">
            <v>1306</v>
          </cell>
          <cell r="Q29">
            <v>23169</v>
          </cell>
        </row>
        <row r="30">
          <cell r="D30">
            <v>1968</v>
          </cell>
          <cell r="E30">
            <v>32143</v>
          </cell>
          <cell r="G30">
            <v>924</v>
          </cell>
          <cell r="H30">
            <v>34319</v>
          </cell>
          <cell r="J30">
            <v>432</v>
          </cell>
          <cell r="K30">
            <v>25559</v>
          </cell>
          <cell r="M30">
            <v>671</v>
          </cell>
          <cell r="N30">
            <v>23592</v>
          </cell>
          <cell r="P30">
            <v>1216</v>
          </cell>
          <cell r="Q30">
            <v>24385</v>
          </cell>
        </row>
        <row r="31">
          <cell r="D31">
            <v>1523</v>
          </cell>
          <cell r="E31">
            <v>33666</v>
          </cell>
          <cell r="G31">
            <v>960</v>
          </cell>
          <cell r="H31">
            <v>35279</v>
          </cell>
          <cell r="J31">
            <v>618</v>
          </cell>
          <cell r="K31">
            <v>26177</v>
          </cell>
          <cell r="M31">
            <v>755</v>
          </cell>
          <cell r="N31">
            <v>24347</v>
          </cell>
          <cell r="P31">
            <v>1195</v>
          </cell>
          <cell r="Q31">
            <v>25580</v>
          </cell>
        </row>
        <row r="32">
          <cell r="D32">
            <v>2101</v>
          </cell>
          <cell r="E32">
            <v>35767</v>
          </cell>
          <cell r="G32">
            <v>1398</v>
          </cell>
          <cell r="H32">
            <v>36677</v>
          </cell>
          <cell r="J32">
            <v>538</v>
          </cell>
          <cell r="K32">
            <v>26715</v>
          </cell>
          <cell r="M32">
            <v>603</v>
          </cell>
          <cell r="N32">
            <v>24950</v>
          </cell>
          <cell r="P32">
            <v>1901</v>
          </cell>
          <cell r="Q32">
            <v>27481</v>
          </cell>
        </row>
        <row r="33">
          <cell r="D33">
            <v>1923</v>
          </cell>
          <cell r="E33">
            <v>37690</v>
          </cell>
          <cell r="G33">
            <v>1400</v>
          </cell>
          <cell r="H33">
            <v>38077</v>
          </cell>
          <cell r="J33">
            <v>441</v>
          </cell>
          <cell r="K33">
            <v>27156</v>
          </cell>
          <cell r="M33">
            <v>546</v>
          </cell>
          <cell r="N33">
            <v>25496</v>
          </cell>
          <cell r="P33">
            <v>1146</v>
          </cell>
          <cell r="Q33">
            <v>28627</v>
          </cell>
        </row>
        <row r="34">
          <cell r="D34">
            <v>2595</v>
          </cell>
          <cell r="E34">
            <v>40285</v>
          </cell>
          <cell r="G34">
            <v>1158</v>
          </cell>
          <cell r="H34">
            <v>39235</v>
          </cell>
          <cell r="J34">
            <v>391</v>
          </cell>
          <cell r="K34">
            <v>27547</v>
          </cell>
          <cell r="M34">
            <v>382</v>
          </cell>
          <cell r="N34">
            <v>25878</v>
          </cell>
          <cell r="P34">
            <v>791</v>
          </cell>
          <cell r="Q34">
            <v>29418</v>
          </cell>
        </row>
        <row r="35">
          <cell r="D35">
            <v>2372</v>
          </cell>
          <cell r="E35">
            <v>42657</v>
          </cell>
          <cell r="G35">
            <v>910</v>
          </cell>
          <cell r="H35">
            <v>40145</v>
          </cell>
          <cell r="J35">
            <v>383</v>
          </cell>
          <cell r="K35">
            <v>27930</v>
          </cell>
          <cell r="M35">
            <v>316</v>
          </cell>
          <cell r="N35">
            <v>26194</v>
          </cell>
          <cell r="P35">
            <v>974</v>
          </cell>
          <cell r="Q35">
            <v>30392</v>
          </cell>
        </row>
        <row r="36">
          <cell r="D36">
            <v>470</v>
          </cell>
          <cell r="E36">
            <v>43127</v>
          </cell>
          <cell r="G36">
            <v>925</v>
          </cell>
          <cell r="H36">
            <v>41070</v>
          </cell>
          <cell r="J36">
            <v>351</v>
          </cell>
          <cell r="K36">
            <v>28281</v>
          </cell>
          <cell r="M36">
            <v>393</v>
          </cell>
          <cell r="N36">
            <v>26587</v>
          </cell>
          <cell r="P36">
            <v>897</v>
          </cell>
          <cell r="Q36">
            <v>31289</v>
          </cell>
        </row>
        <row r="37">
          <cell r="D37">
            <v>314</v>
          </cell>
          <cell r="E37">
            <v>43441</v>
          </cell>
          <cell r="G37">
            <v>781</v>
          </cell>
          <cell r="H37">
            <v>41851</v>
          </cell>
          <cell r="J37">
            <v>201</v>
          </cell>
          <cell r="K37">
            <v>28482</v>
          </cell>
          <cell r="M37">
            <v>388</v>
          </cell>
          <cell r="N37">
            <v>26975</v>
          </cell>
          <cell r="P37">
            <v>867</v>
          </cell>
          <cell r="Q37">
            <v>32156</v>
          </cell>
        </row>
        <row r="38">
          <cell r="D38">
            <v>263</v>
          </cell>
          <cell r="E38">
            <v>43704</v>
          </cell>
          <cell r="G38">
            <v>989</v>
          </cell>
          <cell r="H38">
            <v>42840</v>
          </cell>
          <cell r="J38">
            <v>132</v>
          </cell>
          <cell r="K38">
            <v>28614</v>
          </cell>
          <cell r="M38">
            <v>533</v>
          </cell>
          <cell r="N38">
            <v>27508</v>
          </cell>
          <cell r="P38">
            <v>392</v>
          </cell>
          <cell r="Q38">
            <v>32548</v>
          </cell>
        </row>
        <row r="39">
          <cell r="D39">
            <v>835</v>
          </cell>
          <cell r="E39">
            <v>44539</v>
          </cell>
          <cell r="G39">
            <v>1524</v>
          </cell>
          <cell r="H39">
            <v>44364</v>
          </cell>
          <cell r="J39">
            <v>142</v>
          </cell>
          <cell r="K39">
            <v>28756</v>
          </cell>
          <cell r="M39">
            <v>717</v>
          </cell>
          <cell r="N39">
            <v>28225</v>
          </cell>
          <cell r="P39">
            <v>331</v>
          </cell>
          <cell r="Q39">
            <v>32879</v>
          </cell>
        </row>
        <row r="40">
          <cell r="D40">
            <v>904</v>
          </cell>
          <cell r="E40">
            <v>45443</v>
          </cell>
          <cell r="G40">
            <v>1091</v>
          </cell>
          <cell r="H40">
            <v>45455</v>
          </cell>
          <cell r="J40">
            <v>107</v>
          </cell>
          <cell r="K40">
            <v>28863</v>
          </cell>
          <cell r="M40">
            <v>723</v>
          </cell>
          <cell r="N40">
            <v>28948</v>
          </cell>
          <cell r="P40">
            <v>174</v>
          </cell>
          <cell r="Q40">
            <v>33053</v>
          </cell>
        </row>
        <row r="41">
          <cell r="D41">
            <v>648</v>
          </cell>
          <cell r="E41">
            <v>46091</v>
          </cell>
          <cell r="G41">
            <v>1333</v>
          </cell>
          <cell r="H41">
            <v>46788</v>
          </cell>
          <cell r="J41">
            <v>107</v>
          </cell>
          <cell r="K41">
            <v>28970</v>
          </cell>
          <cell r="M41">
            <v>552</v>
          </cell>
          <cell r="N41">
            <v>29500</v>
          </cell>
          <cell r="P41">
            <v>343</v>
          </cell>
          <cell r="Q41">
            <v>33396</v>
          </cell>
        </row>
        <row r="42">
          <cell r="D42">
            <v>694</v>
          </cell>
          <cell r="E42">
            <v>46785</v>
          </cell>
          <cell r="G42">
            <v>1186</v>
          </cell>
          <cell r="H42">
            <v>47974</v>
          </cell>
          <cell r="J42">
            <v>65</v>
          </cell>
          <cell r="K42">
            <v>29035</v>
          </cell>
          <cell r="M42">
            <v>516</v>
          </cell>
          <cell r="N42">
            <v>30016</v>
          </cell>
          <cell r="P42">
            <v>618</v>
          </cell>
          <cell r="Q42">
            <v>34014</v>
          </cell>
        </row>
        <row r="43">
          <cell r="D43">
            <v>658</v>
          </cell>
          <cell r="E43">
            <v>47443</v>
          </cell>
          <cell r="G43">
            <v>1449</v>
          </cell>
          <cell r="H43">
            <v>49423</v>
          </cell>
          <cell r="M43">
            <v>682</v>
          </cell>
          <cell r="N43">
            <v>30698</v>
          </cell>
          <cell r="P43">
            <v>600</v>
          </cell>
          <cell r="Q43">
            <v>34614</v>
          </cell>
        </row>
        <row r="44">
          <cell r="D44">
            <v>368</v>
          </cell>
          <cell r="E44">
            <v>47811</v>
          </cell>
          <cell r="G44">
            <v>1132</v>
          </cell>
          <cell r="H44">
            <v>50555</v>
          </cell>
          <cell r="M44">
            <v>679</v>
          </cell>
          <cell r="N44">
            <v>31377</v>
          </cell>
        </row>
        <row r="45">
          <cell r="D45">
            <v>312</v>
          </cell>
          <cell r="E45">
            <v>48123</v>
          </cell>
          <cell r="G45">
            <v>755</v>
          </cell>
          <cell r="H45">
            <v>51310</v>
          </cell>
          <cell r="M45">
            <v>678</v>
          </cell>
          <cell r="N45">
            <v>32055</v>
          </cell>
        </row>
        <row r="46">
          <cell r="G46">
            <v>698</v>
          </cell>
          <cell r="H46">
            <v>52008</v>
          </cell>
          <cell r="M46">
            <v>547</v>
          </cell>
          <cell r="N46">
            <v>32602</v>
          </cell>
        </row>
        <row r="47">
          <cell r="M47">
            <v>362</v>
          </cell>
          <cell r="N47">
            <v>32964</v>
          </cell>
        </row>
        <row r="48">
          <cell r="M48">
            <v>221</v>
          </cell>
          <cell r="N48">
            <v>33185</v>
          </cell>
        </row>
        <row r="49">
          <cell r="M49">
            <v>139</v>
          </cell>
          <cell r="N49">
            <v>33324</v>
          </cell>
        </row>
        <row r="50">
          <cell r="M50">
            <v>150</v>
          </cell>
          <cell r="N50">
            <v>33474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CATCH01T"/>
      <sheetName val="Mgt"/>
      <sheetName val="DailyCom"/>
      <sheetName val="Chronology"/>
      <sheetName val="Cdn cpue graphs"/>
      <sheetName val="US cpue graphs"/>
      <sheetName val="TestCk"/>
      <sheetName val="DailyA"/>
      <sheetName val="Combined Chinook CPUE"/>
      <sheetName val="CK  CPUE graphs"/>
      <sheetName val="CohoMgt"/>
    </sheetNames>
    <sheetDataSet>
      <sheetData sheetId="0"/>
      <sheetData sheetId="1">
        <row r="5">
          <cell r="A5" t="str">
            <v>CANADIAN TAKU RIVER COMMERCIAL GILLNET FISHERY: 2001 WEEKLY CATCH SUMMARY:</v>
          </cell>
        </row>
        <row r="10">
          <cell r="C10">
            <v>3</v>
          </cell>
          <cell r="G10">
            <v>2117</v>
          </cell>
        </row>
        <row r="11">
          <cell r="C11">
            <v>3</v>
          </cell>
          <cell r="G11">
            <v>4312</v>
          </cell>
        </row>
        <row r="12">
          <cell r="C12">
            <v>4</v>
          </cell>
          <cell r="G12">
            <v>3928</v>
          </cell>
        </row>
        <row r="13">
          <cell r="C13">
            <v>3</v>
          </cell>
          <cell r="G13">
            <v>3094</v>
          </cell>
          <cell r="M13">
            <v>1694</v>
          </cell>
        </row>
        <row r="14">
          <cell r="C14">
            <v>3.5</v>
          </cell>
          <cell r="G14">
            <v>9641</v>
          </cell>
          <cell r="M14">
            <v>692</v>
          </cell>
        </row>
        <row r="15">
          <cell r="C15">
            <v>5</v>
          </cell>
          <cell r="G15">
            <v>7401</v>
          </cell>
          <cell r="M15">
            <v>182</v>
          </cell>
        </row>
        <row r="16">
          <cell r="C16">
            <v>5</v>
          </cell>
          <cell r="G16">
            <v>8449</v>
          </cell>
        </row>
        <row r="17">
          <cell r="C17">
            <v>5</v>
          </cell>
          <cell r="G17">
            <v>5456</v>
          </cell>
        </row>
        <row r="18">
          <cell r="C18">
            <v>4</v>
          </cell>
          <cell r="G18">
            <v>2813</v>
          </cell>
        </row>
        <row r="19">
          <cell r="C19">
            <v>3</v>
          </cell>
          <cell r="G19">
            <v>449</v>
          </cell>
        </row>
        <row r="20">
          <cell r="C20">
            <v>0</v>
          </cell>
          <cell r="G20">
            <v>0</v>
          </cell>
        </row>
        <row r="21">
          <cell r="C21">
            <v>0</v>
          </cell>
          <cell r="G21">
            <v>0</v>
          </cell>
        </row>
        <row r="22">
          <cell r="C22">
            <v>0</v>
          </cell>
          <cell r="G22">
            <v>0</v>
          </cell>
          <cell r="M22">
            <v>874</v>
          </cell>
        </row>
        <row r="23">
          <cell r="C23">
            <v>0</v>
          </cell>
          <cell r="G23">
            <v>0</v>
          </cell>
        </row>
        <row r="24">
          <cell r="C24">
            <v>3</v>
          </cell>
          <cell r="G24">
            <v>0</v>
          </cell>
        </row>
        <row r="25">
          <cell r="C25">
            <v>0</v>
          </cell>
          <cell r="G25">
            <v>0</v>
          </cell>
        </row>
        <row r="26">
          <cell r="C26">
            <v>0</v>
          </cell>
          <cell r="G26">
            <v>0</v>
          </cell>
        </row>
        <row r="28">
          <cell r="C28">
            <v>41.5</v>
          </cell>
          <cell r="G28">
            <v>47660</v>
          </cell>
        </row>
        <row r="29">
          <cell r="G29">
            <v>210</v>
          </cell>
        </row>
        <row r="44">
          <cell r="M44">
            <v>464.72083629787915</v>
          </cell>
        </row>
        <row r="45">
          <cell r="M45">
            <v>579.90047302259063</v>
          </cell>
        </row>
        <row r="46">
          <cell r="M46">
            <v>681.92919046201598</v>
          </cell>
        </row>
        <row r="47">
          <cell r="M47">
            <v>737.53206465824735</v>
          </cell>
        </row>
        <row r="48">
          <cell r="M48">
            <v>781.61133894548573</v>
          </cell>
        </row>
        <row r="49">
          <cell r="M49">
            <v>810.76614034377781</v>
          </cell>
        </row>
        <row r="50">
          <cell r="M50">
            <v>826.82615845971998</v>
          </cell>
        </row>
        <row r="51">
          <cell r="M51">
            <v>834.17876501254523</v>
          </cell>
        </row>
        <row r="52">
          <cell r="M52">
            <v>836.35850707603731</v>
          </cell>
        </row>
        <row r="53">
          <cell r="M53">
            <v>837.14945945698969</v>
          </cell>
        </row>
        <row r="54">
          <cell r="M54">
            <v>837.4566023141324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ic SR"/>
      <sheetName val="BUGS Input"/>
      <sheetName val="PopSumm"/>
      <sheetName val="SpawnEsc"/>
      <sheetName val="SiblingRatios"/>
      <sheetName val="BroodYrRtn"/>
      <sheetName val="AgeCompRtn"/>
      <sheetName val="TotalRtnAges"/>
      <sheetName val="InriverRtnTable (Table 2)"/>
      <sheetName val="Harvest"/>
      <sheetName val="UpperHarv"/>
      <sheetName val="HarvestAges"/>
      <sheetName val="HookRel"/>
      <sheetName val="HookRelAges"/>
      <sheetName val="Ages1986"/>
      <sheetName val="Ages1987"/>
      <sheetName val="Ages1988"/>
      <sheetName val="Ages1989"/>
      <sheetName val="Ages1990"/>
      <sheetName val="Ages1991"/>
      <sheetName val="Ages1992"/>
      <sheetName val="Ages1993"/>
      <sheetName val="Ages1994"/>
      <sheetName val="Ages1995"/>
      <sheetName val="Ages1996"/>
      <sheetName val="Ages1997"/>
      <sheetName val="Ages1998"/>
      <sheetName val="Ages1999"/>
      <sheetName val="Ages2000"/>
      <sheetName val="Ages2001"/>
      <sheetName val="Ages2002"/>
      <sheetName val="Ages2003"/>
      <sheetName val="Ages2004"/>
      <sheetName val="Ages2005"/>
      <sheetName val="Ages2006"/>
      <sheetName val="Harv1976"/>
      <sheetName val="Harv1977"/>
      <sheetName val="Harv1978"/>
      <sheetName val="Harv1979"/>
      <sheetName val="Harv1980"/>
      <sheetName val="Harv1981"/>
      <sheetName val="Harv1982"/>
      <sheetName val="Harv1983"/>
      <sheetName val="Harv1984"/>
      <sheetName val="Harv1985"/>
      <sheetName val="Harv1986"/>
      <sheetName val="Harv1987"/>
      <sheetName val="Harv1988"/>
      <sheetName val="Harv1989"/>
      <sheetName val="Harv1990"/>
      <sheetName val="Harv1991"/>
      <sheetName val="Harv1992"/>
      <sheetName val="Harv1993"/>
      <sheetName val="Harv1994"/>
      <sheetName val="Harv1995"/>
      <sheetName val="Harv1996"/>
      <sheetName val="Harv1997"/>
      <sheetName val="Harv1998"/>
      <sheetName val="Harv1999"/>
      <sheetName val="Harv2001"/>
      <sheetName val="Harv2000"/>
      <sheetName val="Harv2002"/>
      <sheetName val="Harv2003"/>
      <sheetName val="Harv2004"/>
      <sheetName val="Harv2005"/>
      <sheetName val="Harv2006"/>
    </sheetNames>
    <sheetDataSet>
      <sheetData sheetId="0" refreshError="1"/>
      <sheetData sheetId="1">
        <row r="11">
          <cell r="B11">
            <v>18681.759999999998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Inriver Return</v>
          </cell>
        </row>
      </sheetData>
      <sheetData sheetId="9">
        <row r="4">
          <cell r="C4" t="str">
            <v>Harvest</v>
          </cell>
        </row>
        <row r="8">
          <cell r="A8">
            <v>1974</v>
          </cell>
          <cell r="K8">
            <v>1685</v>
          </cell>
        </row>
        <row r="9">
          <cell r="A9">
            <v>1975</v>
          </cell>
          <cell r="K9">
            <v>615</v>
          </cell>
        </row>
        <row r="10">
          <cell r="A10">
            <v>1976</v>
          </cell>
          <cell r="K10">
            <v>1554</v>
          </cell>
        </row>
        <row r="11">
          <cell r="A11">
            <v>1977</v>
          </cell>
          <cell r="K11">
            <v>2173</v>
          </cell>
        </row>
        <row r="12">
          <cell r="A12">
            <v>1978</v>
          </cell>
          <cell r="K12">
            <v>1542</v>
          </cell>
        </row>
        <row r="13">
          <cell r="A13">
            <v>1979</v>
          </cell>
          <cell r="K13">
            <v>2661</v>
          </cell>
        </row>
        <row r="14">
          <cell r="A14">
            <v>1980</v>
          </cell>
          <cell r="K14">
            <v>1946</v>
          </cell>
        </row>
        <row r="15">
          <cell r="A15">
            <v>1981</v>
          </cell>
          <cell r="K15" t="e">
            <v>#REF!</v>
          </cell>
        </row>
        <row r="16">
          <cell r="A16">
            <v>1982</v>
          </cell>
          <cell r="K16" t="e">
            <v>#REF!</v>
          </cell>
        </row>
        <row r="17">
          <cell r="A17">
            <v>1983</v>
          </cell>
          <cell r="K17" t="e">
            <v>#REF!</v>
          </cell>
        </row>
        <row r="18">
          <cell r="A18">
            <v>1984</v>
          </cell>
          <cell r="K18" t="e">
            <v>#REF!</v>
          </cell>
        </row>
        <row r="19">
          <cell r="A19">
            <v>1985</v>
          </cell>
          <cell r="K19" t="e">
            <v>#REF!</v>
          </cell>
        </row>
        <row r="20">
          <cell r="A20">
            <v>1986</v>
          </cell>
          <cell r="K20">
            <v>8156</v>
          </cell>
        </row>
        <row r="21">
          <cell r="A21">
            <v>1987</v>
          </cell>
          <cell r="K21">
            <v>13557</v>
          </cell>
        </row>
        <row r="22">
          <cell r="A22">
            <v>1988</v>
          </cell>
          <cell r="K22">
            <v>15208.5</v>
          </cell>
        </row>
        <row r="23">
          <cell r="A23">
            <v>1989</v>
          </cell>
          <cell r="K23">
            <v>8394</v>
          </cell>
        </row>
        <row r="24">
          <cell r="A24">
            <v>1990</v>
          </cell>
          <cell r="K24">
            <v>1807</v>
          </cell>
        </row>
        <row r="25">
          <cell r="A25">
            <v>1991</v>
          </cell>
          <cell r="K25">
            <v>1945</v>
          </cell>
        </row>
        <row r="26">
          <cell r="A26">
            <v>1992</v>
          </cell>
          <cell r="K26">
            <v>2241</v>
          </cell>
        </row>
        <row r="27">
          <cell r="A27">
            <v>1993</v>
          </cell>
          <cell r="K27">
            <v>9341.5</v>
          </cell>
        </row>
        <row r="28">
          <cell r="A28">
            <v>1994</v>
          </cell>
          <cell r="K28">
            <v>8171</v>
          </cell>
        </row>
        <row r="29">
          <cell r="A29">
            <v>1995</v>
          </cell>
          <cell r="K29">
            <v>10217</v>
          </cell>
        </row>
        <row r="30">
          <cell r="A30">
            <v>1996</v>
          </cell>
          <cell r="K30">
            <v>6623</v>
          </cell>
        </row>
        <row r="31">
          <cell r="A31">
            <v>1997</v>
          </cell>
          <cell r="K31">
            <v>6429</v>
          </cell>
        </row>
        <row r="32">
          <cell r="A32">
            <v>1998</v>
          </cell>
          <cell r="K32">
            <v>1170</v>
          </cell>
        </row>
        <row r="33">
          <cell r="A33">
            <v>1999</v>
          </cell>
          <cell r="K33">
            <v>8129</v>
          </cell>
        </row>
        <row r="34">
          <cell r="A34">
            <v>2000</v>
          </cell>
          <cell r="K34">
            <v>1818</v>
          </cell>
        </row>
        <row r="35">
          <cell r="A35">
            <v>2001</v>
          </cell>
          <cell r="K35">
            <v>2398.8253390191658</v>
          </cell>
        </row>
        <row r="36">
          <cell r="A36">
            <v>2002</v>
          </cell>
          <cell r="K36">
            <v>899</v>
          </cell>
        </row>
        <row r="37">
          <cell r="A37">
            <v>2003</v>
          </cell>
          <cell r="K37">
            <v>2839</v>
          </cell>
        </row>
        <row r="38">
          <cell r="A38">
            <v>2004</v>
          </cell>
          <cell r="K38">
            <v>3386</v>
          </cell>
        </row>
        <row r="39">
          <cell r="A39">
            <v>2005</v>
          </cell>
          <cell r="K39">
            <v>3810</v>
          </cell>
        </row>
        <row r="40">
          <cell r="A40">
            <v>2006</v>
          </cell>
          <cell r="K40">
            <v>4693</v>
          </cell>
        </row>
      </sheetData>
      <sheetData sheetId="10" refreshError="1"/>
      <sheetData sheetId="11">
        <row r="5">
          <cell r="F5" t="str">
            <v>Age Classa</v>
          </cell>
        </row>
      </sheetData>
      <sheetData sheetId="12">
        <row r="4">
          <cell r="J4" t="str">
            <v>Hook-and-</v>
          </cell>
        </row>
      </sheetData>
      <sheetData sheetId="13">
        <row r="6">
          <cell r="B6" t="str">
            <v>Age Class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5">
          <cell r="G5" t="str">
            <v>Age Classa</v>
          </cell>
        </row>
      </sheetData>
      <sheetData sheetId="26">
        <row r="5">
          <cell r="G5" t="str">
            <v>Age Classa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">
          <cell r="B5" t="str">
            <v>Age Class</v>
          </cell>
        </row>
      </sheetData>
      <sheetData sheetId="57">
        <row r="5">
          <cell r="B5" t="str">
            <v>Age Class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figure 2"/>
      <sheetName val="EffTb1"/>
      <sheetName val="HalibutT2"/>
      <sheetName val="KingsT3"/>
      <sheetName val="CohosT4"/>
      <sheetName val="DolliesT5"/>
      <sheetName val="Razor clamT6"/>
      <sheetName val="Shellfish kbT7"/>
      <sheetName val="ERchinookTb8"/>
      <sheetName val="LRchinookTb9"/>
      <sheetName val="ELguidechinTb10"/>
      <sheetName val="SWHS_logbkTb11"/>
      <sheetName val="LRcontrTable 12"/>
      <sheetName val="ERcontrTb13"/>
      <sheetName val="nonspnTb14"/>
      <sheetName val="orig_CWTTb15"/>
      <sheetName val="orig_unexplTb16"/>
      <sheetName val="charterT17"/>
      <sheetName val="CWT SBP T18"/>
      <sheetName val="Feeders SBPT19"/>
      <sheetName val="AnchorTb20"/>
      <sheetName val="DCTb21 "/>
      <sheetName val="NinTb22"/>
      <sheetName val="AerialsT23"/>
      <sheetName val="DC smoltTb24"/>
      <sheetName val="DC king weir Tb25"/>
      <sheetName val="Nin creel 26"/>
      <sheetName val="NinweirTb27"/>
      <sheetName val="NinSEG Tb28"/>
      <sheetName val="ARDVweir Tb29"/>
      <sheetName val="DCcoho Tb30"/>
      <sheetName val="StarTb31"/>
      <sheetName val="WCIcoho Tb32"/>
      <sheetName val="DVTb33"/>
      <sheetName val="SH Tb34"/>
      <sheetName val="RelTb35"/>
      <sheetName val="SpitTb36"/>
      <sheetName val="PUTb37"/>
      <sheetName val="PUcontribTb38"/>
      <sheetName val="HCL Tb39"/>
      <sheetName val="Seld Tb40"/>
      <sheetName val="Seldsubst Tb41"/>
      <sheetName val="RceffortTb42"/>
      <sheetName val="Rcabund Tb43"/>
      <sheetName val="RcavlenTb44"/>
      <sheetName val="CF HSC harvTb45"/>
      <sheetName val="PermitHSC harvTb46"/>
      <sheetName val="SHS_perm SFTb47"/>
      <sheetName val="Comm DC Tb48"/>
      <sheetName val="Crab perm Tb49"/>
      <sheetName val="DCpsurv Tb50"/>
      <sheetName val="DCtsurv Tb51"/>
      <sheetName val="TCharv52"/>
      <sheetName val="TCtsurv Tb53"/>
      <sheetName val="Ed fish Tb54"/>
      <sheetName val="AppA1"/>
      <sheetName val="AppC1"/>
      <sheetName val="AppC2"/>
      <sheetName val="AppC3"/>
      <sheetName val="AppC4"/>
      <sheetName val="AppC5"/>
      <sheetName val="SFpermSHScompare"/>
      <sheetName val="SpPUhsc SHSpermCompare"/>
      <sheetName val="Tanner crab for BOF02"/>
      <sheetName val="Charter coho"/>
      <sheetName val="Ninilchik chinook weir counts"/>
      <sheetName val="CharteroldT17"/>
    </sheetNames>
    <sheetDataSet>
      <sheetData sheetId="0"/>
      <sheetData sheetId="1"/>
      <sheetData sheetId="2">
        <row r="1">
          <cell r="A1" t="str">
            <v>Table 1.- Angler days of effort expended by recreational anglers fishing Lower Cook Inlet Management Area waters, 1977-2003.</v>
          </cell>
        </row>
        <row r="8">
          <cell r="A8" t="str">
            <v>1977</v>
          </cell>
        </row>
        <row r="9">
          <cell r="A9" t="str">
            <v>1978</v>
          </cell>
        </row>
        <row r="10">
          <cell r="A10" t="str">
            <v>1979</v>
          </cell>
        </row>
        <row r="11">
          <cell r="A11" t="str">
            <v>1980</v>
          </cell>
        </row>
        <row r="12">
          <cell r="A12" t="str">
            <v>1981</v>
          </cell>
        </row>
        <row r="13">
          <cell r="A13" t="str">
            <v>1982</v>
          </cell>
        </row>
        <row r="14">
          <cell r="A14" t="str">
            <v>1983</v>
          </cell>
        </row>
        <row r="15">
          <cell r="A15" t="str">
            <v>1984</v>
          </cell>
        </row>
        <row r="16">
          <cell r="A16" t="str">
            <v>1985</v>
          </cell>
        </row>
        <row r="17">
          <cell r="A17" t="str">
            <v>1986</v>
          </cell>
        </row>
        <row r="18">
          <cell r="A18" t="str">
            <v>1987</v>
          </cell>
        </row>
        <row r="19">
          <cell r="A19" t="str">
            <v>1988</v>
          </cell>
        </row>
        <row r="20">
          <cell r="A20" t="str">
            <v>1989</v>
          </cell>
        </row>
        <row r="21">
          <cell r="A21" t="str">
            <v>1990</v>
          </cell>
        </row>
        <row r="22">
          <cell r="A22" t="str">
            <v>1991</v>
          </cell>
        </row>
        <row r="23">
          <cell r="A23" t="str">
            <v>1992</v>
          </cell>
        </row>
        <row r="24">
          <cell r="A24" t="str">
            <v>1993</v>
          </cell>
        </row>
        <row r="25">
          <cell r="A25" t="str">
            <v>1994</v>
          </cell>
        </row>
        <row r="26">
          <cell r="A26" t="str">
            <v>1995</v>
          </cell>
        </row>
        <row r="27">
          <cell r="A27" t="str">
            <v>1996</v>
          </cell>
        </row>
        <row r="28">
          <cell r="A28" t="str">
            <v>1997</v>
          </cell>
        </row>
        <row r="29">
          <cell r="A29" t="str">
            <v>1998</v>
          </cell>
        </row>
        <row r="30">
          <cell r="A30" t="str">
            <v>1999</v>
          </cell>
        </row>
        <row r="31">
          <cell r="A31" t="str">
            <v>2000</v>
          </cell>
        </row>
        <row r="32">
          <cell r="A32" t="str">
            <v>2001</v>
          </cell>
        </row>
        <row r="33">
          <cell r="A33" t="str">
            <v>2002</v>
          </cell>
        </row>
        <row r="34">
          <cell r="A34" t="str">
            <v>2003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5"/>
  <sheetViews>
    <sheetView zoomScaleNormal="100" workbookViewId="0">
      <selection activeCell="O23" sqref="O23"/>
    </sheetView>
  </sheetViews>
  <sheetFormatPr defaultColWidth="8.85546875" defaultRowHeight="15" x14ac:dyDescent="0.25"/>
  <cols>
    <col min="1" max="1" width="8.85546875" style="38"/>
    <col min="2" max="2" width="13.42578125" style="38" customWidth="1"/>
    <col min="3" max="16384" width="8.85546875" style="38"/>
  </cols>
  <sheetData>
    <row r="1" spans="1:9" x14ac:dyDescent="0.25">
      <c r="A1" s="38" t="s">
        <v>30</v>
      </c>
    </row>
    <row r="2" spans="1:9" ht="29.1" customHeight="1" x14ac:dyDescent="0.3">
      <c r="A2" s="40"/>
      <c r="B2" s="250" t="s">
        <v>59</v>
      </c>
      <c r="C2" s="250" t="s">
        <v>109</v>
      </c>
      <c r="E2" s="249"/>
      <c r="H2" s="248"/>
      <c r="I2" s="248"/>
    </row>
    <row r="3" spans="1:9" x14ac:dyDescent="0.25">
      <c r="C3" s="42" t="s">
        <v>2</v>
      </c>
    </row>
    <row r="4" spans="1:9" x14ac:dyDescent="0.25">
      <c r="A4" s="41" t="s">
        <v>3</v>
      </c>
      <c r="B4" s="41" t="s">
        <v>7</v>
      </c>
      <c r="C4" s="41" t="s">
        <v>6</v>
      </c>
    </row>
    <row r="5" spans="1:9" x14ac:dyDescent="0.25">
      <c r="A5" s="38">
        <v>1959</v>
      </c>
      <c r="B5" s="54">
        <v>67553</v>
      </c>
      <c r="C5" s="54">
        <v>251110</v>
      </c>
    </row>
    <row r="6" spans="1:9" x14ac:dyDescent="0.25">
      <c r="A6" s="38">
        <v>1960</v>
      </c>
      <c r="B6" s="54">
        <v>201161</v>
      </c>
      <c r="C6" s="54">
        <v>554162</v>
      </c>
    </row>
    <row r="7" spans="1:9" x14ac:dyDescent="0.25">
      <c r="A7" s="38">
        <v>1961</v>
      </c>
      <c r="B7" s="54">
        <v>110369</v>
      </c>
      <c r="C7" s="54">
        <v>466173</v>
      </c>
    </row>
    <row r="8" spans="1:9" x14ac:dyDescent="0.25">
      <c r="A8" s="38">
        <v>1962</v>
      </c>
      <c r="B8" s="54">
        <v>51273</v>
      </c>
      <c r="C8" s="54">
        <v>152649</v>
      </c>
    </row>
    <row r="9" spans="1:9" x14ac:dyDescent="0.25">
      <c r="A9" s="38">
        <v>1963</v>
      </c>
      <c r="B9" s="54">
        <v>234821</v>
      </c>
      <c r="C9" s="54">
        <v>214841</v>
      </c>
    </row>
    <row r="10" spans="1:9" x14ac:dyDescent="0.25">
      <c r="A10" s="38">
        <v>1964</v>
      </c>
      <c r="B10" s="54">
        <v>134853</v>
      </c>
      <c r="C10" s="54">
        <v>93342</v>
      </c>
    </row>
    <row r="11" spans="1:9" x14ac:dyDescent="0.25">
      <c r="A11" s="38">
        <v>1965</v>
      </c>
      <c r="B11" s="54">
        <v>255794</v>
      </c>
      <c r="C11" s="54">
        <v>779754</v>
      </c>
    </row>
    <row r="12" spans="1:9" x14ac:dyDescent="0.25">
      <c r="A12" s="38">
        <v>1966</v>
      </c>
      <c r="B12" s="54">
        <v>233578</v>
      </c>
      <c r="C12" s="54">
        <v>701566</v>
      </c>
    </row>
    <row r="13" spans="1:9" x14ac:dyDescent="0.25">
      <c r="A13" s="38">
        <v>1967</v>
      </c>
      <c r="B13" s="54">
        <v>74003</v>
      </c>
      <c r="C13" s="54">
        <v>227033</v>
      </c>
    </row>
    <row r="14" spans="1:9" x14ac:dyDescent="0.25">
      <c r="A14" s="38">
        <v>1968</v>
      </c>
      <c r="B14" s="54">
        <v>142360</v>
      </c>
      <c r="C14" s="54">
        <v>344179</v>
      </c>
    </row>
    <row r="15" spans="1:9" x14ac:dyDescent="0.25">
      <c r="A15" s="38">
        <v>1969</v>
      </c>
      <c r="B15" s="54">
        <v>95805</v>
      </c>
      <c r="C15" s="54">
        <v>493692</v>
      </c>
    </row>
    <row r="16" spans="1:9" x14ac:dyDescent="0.25">
      <c r="A16" s="38">
        <v>1970</v>
      </c>
      <c r="B16" s="54">
        <v>452892</v>
      </c>
      <c r="C16" s="54">
        <v>988764</v>
      </c>
    </row>
    <row r="17" spans="1:3" x14ac:dyDescent="0.25">
      <c r="A17" s="38">
        <v>1971</v>
      </c>
      <c r="B17" s="54">
        <v>312699</v>
      </c>
      <c r="C17" s="54">
        <v>1010999</v>
      </c>
    </row>
    <row r="18" spans="1:3" x14ac:dyDescent="0.25">
      <c r="A18" s="38">
        <v>1972</v>
      </c>
      <c r="B18" s="54">
        <v>39851</v>
      </c>
      <c r="C18" s="54">
        <v>1147980</v>
      </c>
    </row>
    <row r="19" spans="1:3" x14ac:dyDescent="0.25">
      <c r="A19" s="38">
        <v>1973</v>
      </c>
      <c r="B19" s="54">
        <v>210601</v>
      </c>
      <c r="C19" s="54">
        <v>1380189</v>
      </c>
    </row>
    <row r="20" spans="1:3" x14ac:dyDescent="0.25">
      <c r="A20" s="38">
        <v>1974</v>
      </c>
      <c r="B20" s="54">
        <v>204190</v>
      </c>
      <c r="C20" s="54">
        <v>383623</v>
      </c>
    </row>
    <row r="21" spans="1:3" x14ac:dyDescent="0.25">
      <c r="A21" s="38">
        <v>1975</v>
      </c>
      <c r="B21" s="54">
        <v>832093</v>
      </c>
      <c r="C21" s="54">
        <v>5995149</v>
      </c>
    </row>
    <row r="22" spans="1:3" x14ac:dyDescent="0.25">
      <c r="A22" s="38">
        <v>1976</v>
      </c>
      <c r="B22" s="54">
        <v>520303</v>
      </c>
      <c r="C22" s="54">
        <v>4351924</v>
      </c>
    </row>
    <row r="23" spans="1:3" x14ac:dyDescent="0.25">
      <c r="A23" s="38">
        <v>1977</v>
      </c>
      <c r="B23" s="54">
        <v>611588</v>
      </c>
      <c r="C23" s="54">
        <v>3236089</v>
      </c>
    </row>
    <row r="24" spans="1:3" x14ac:dyDescent="0.25">
      <c r="A24" s="38">
        <v>1978</v>
      </c>
      <c r="B24" s="54">
        <v>734040</v>
      </c>
      <c r="C24" s="54">
        <v>1513725</v>
      </c>
    </row>
    <row r="25" spans="1:3" x14ac:dyDescent="0.25">
      <c r="A25" s="38">
        <v>1979</v>
      </c>
      <c r="B25" s="54">
        <v>551272</v>
      </c>
      <c r="C25" s="54">
        <v>1846153</v>
      </c>
    </row>
    <row r="26" spans="1:3" x14ac:dyDescent="0.25">
      <c r="A26" s="38">
        <v>1980</v>
      </c>
      <c r="B26" s="54">
        <v>3669136</v>
      </c>
      <c r="C26" s="54">
        <v>1210266</v>
      </c>
    </row>
    <row r="27" spans="1:3" x14ac:dyDescent="0.25">
      <c r="A27" s="38">
        <v>1981</v>
      </c>
      <c r="B27" s="54">
        <v>1118873</v>
      </c>
      <c r="C27" s="54">
        <v>1976757</v>
      </c>
    </row>
    <row r="28" spans="1:3" x14ac:dyDescent="0.25">
      <c r="A28" s="38">
        <v>1982</v>
      </c>
      <c r="B28" s="54">
        <v>664580</v>
      </c>
      <c r="C28" s="54">
        <v>1335148</v>
      </c>
    </row>
    <row r="29" spans="1:3" x14ac:dyDescent="0.25">
      <c r="A29" s="38">
        <v>1983</v>
      </c>
      <c r="B29" s="54">
        <v>446845</v>
      </c>
      <c r="C29" s="54">
        <v>1548738</v>
      </c>
    </row>
    <row r="30" spans="1:3" x14ac:dyDescent="0.25">
      <c r="A30" s="38">
        <v>1984</v>
      </c>
      <c r="B30" s="54">
        <v>655739</v>
      </c>
      <c r="C30" s="54">
        <v>761247</v>
      </c>
    </row>
    <row r="31" spans="1:3" x14ac:dyDescent="0.25">
      <c r="A31" s="38">
        <v>1985</v>
      </c>
      <c r="B31" s="54">
        <v>551319</v>
      </c>
      <c r="C31" s="54">
        <v>1416870</v>
      </c>
    </row>
    <row r="32" spans="1:3" x14ac:dyDescent="0.25">
      <c r="A32" s="38">
        <v>1986</v>
      </c>
      <c r="B32" s="54">
        <v>1095241</v>
      </c>
      <c r="C32" s="54">
        <v>2092574</v>
      </c>
    </row>
    <row r="33" spans="1:3" x14ac:dyDescent="0.25">
      <c r="A33" s="38">
        <v>1987</v>
      </c>
      <c r="B33" s="54">
        <v>429182</v>
      </c>
      <c r="C33" s="54">
        <v>1905456</v>
      </c>
    </row>
    <row r="34" spans="1:3" x14ac:dyDescent="0.25">
      <c r="A34" s="38">
        <v>1988</v>
      </c>
      <c r="B34" s="54">
        <v>534460</v>
      </c>
      <c r="C34" s="54">
        <v>2557339</v>
      </c>
    </row>
    <row r="35" spans="1:3" x14ac:dyDescent="0.25">
      <c r="A35" s="38">
        <v>1989</v>
      </c>
      <c r="B35" s="54">
        <v>567863</v>
      </c>
      <c r="C35" s="54">
        <v>1398722</v>
      </c>
    </row>
    <row r="36" spans="1:3" x14ac:dyDescent="0.25">
      <c r="A36" s="38">
        <v>1990</v>
      </c>
      <c r="B36" s="54">
        <v>752513</v>
      </c>
      <c r="C36" s="54">
        <v>1189247</v>
      </c>
    </row>
    <row r="37" spans="1:3" x14ac:dyDescent="0.25">
      <c r="A37" s="38">
        <v>1991</v>
      </c>
      <c r="B37" s="54">
        <v>544748</v>
      </c>
      <c r="C37" s="54">
        <v>1491482</v>
      </c>
    </row>
    <row r="38" spans="1:3" x14ac:dyDescent="0.25">
      <c r="A38" s="38">
        <v>1992</v>
      </c>
      <c r="B38" s="54">
        <v>768816</v>
      </c>
      <c r="C38" s="54">
        <v>1212574</v>
      </c>
    </row>
    <row r="39" spans="1:3" x14ac:dyDescent="0.25">
      <c r="A39" s="38">
        <v>1993</v>
      </c>
      <c r="B39" s="54">
        <v>790927</v>
      </c>
      <c r="C39" s="54">
        <v>1074278</v>
      </c>
    </row>
    <row r="40" spans="1:3" x14ac:dyDescent="0.25">
      <c r="A40" s="38">
        <v>1994</v>
      </c>
      <c r="B40" s="54">
        <v>563334</v>
      </c>
      <c r="C40" s="54">
        <v>425915</v>
      </c>
    </row>
    <row r="41" spans="1:3" x14ac:dyDescent="0.25">
      <c r="A41" s="38">
        <v>1995</v>
      </c>
      <c r="B41" s="54">
        <v>311136</v>
      </c>
      <c r="C41" s="54">
        <v>1198477</v>
      </c>
    </row>
    <row r="42" spans="1:3" x14ac:dyDescent="0.25">
      <c r="A42" s="38">
        <v>1996</v>
      </c>
      <c r="B42" s="54">
        <v>557057</v>
      </c>
      <c r="C42" s="54">
        <v>2335512</v>
      </c>
    </row>
    <row r="43" spans="1:3" x14ac:dyDescent="0.25">
      <c r="A43" s="38">
        <v>1997</v>
      </c>
      <c r="B43" s="54">
        <v>412591</v>
      </c>
      <c r="C43" s="54">
        <v>544302</v>
      </c>
    </row>
    <row r="44" spans="1:3" x14ac:dyDescent="0.25">
      <c r="A44" s="38">
        <v>1998</v>
      </c>
      <c r="B44" s="54">
        <v>507532</v>
      </c>
      <c r="C44" s="54">
        <v>2665496</v>
      </c>
    </row>
    <row r="45" spans="1:3" x14ac:dyDescent="0.25">
      <c r="A45" s="38">
        <v>1999</v>
      </c>
      <c r="B45" s="54">
        <v>344972</v>
      </c>
      <c r="C45" s="54">
        <v>1753716</v>
      </c>
    </row>
    <row r="46" spans="1:3" x14ac:dyDescent="0.25">
      <c r="A46" s="38">
        <v>2000</v>
      </c>
      <c r="B46" s="54">
        <v>446286</v>
      </c>
      <c r="C46" s="54">
        <v>3938655</v>
      </c>
    </row>
    <row r="47" spans="1:3" x14ac:dyDescent="0.25">
      <c r="A47" s="38">
        <v>2001</v>
      </c>
      <c r="B47" s="54">
        <v>897112</v>
      </c>
      <c r="C47" s="54">
        <v>2662843</v>
      </c>
    </row>
    <row r="48" spans="1:3" x14ac:dyDescent="0.25">
      <c r="A48" s="38">
        <v>2002</v>
      </c>
      <c r="B48" s="54">
        <v>349155</v>
      </c>
      <c r="C48" s="54">
        <v>2083211</v>
      </c>
    </row>
    <row r="49" spans="1:3" x14ac:dyDescent="0.25">
      <c r="A49" s="38">
        <v>2003</v>
      </c>
      <c r="B49" s="54">
        <v>642093</v>
      </c>
      <c r="C49" s="54">
        <v>2196683</v>
      </c>
    </row>
    <row r="50" spans="1:3" x14ac:dyDescent="0.25">
      <c r="A50" s="38">
        <v>2004</v>
      </c>
      <c r="B50" s="54">
        <v>543872</v>
      </c>
      <c r="C50" s="54">
        <v>1836096</v>
      </c>
    </row>
    <row r="51" spans="1:3" x14ac:dyDescent="0.25">
      <c r="A51" s="38">
        <v>2005</v>
      </c>
      <c r="B51" s="54">
        <v>1102833</v>
      </c>
      <c r="C51" s="54">
        <v>1418239</v>
      </c>
    </row>
    <row r="52" spans="1:3" x14ac:dyDescent="0.25">
      <c r="A52" s="38">
        <v>2006</v>
      </c>
      <c r="B52" s="54">
        <v>548410</v>
      </c>
      <c r="C52" s="54">
        <v>1237549</v>
      </c>
    </row>
    <row r="53" spans="1:3" x14ac:dyDescent="0.25">
      <c r="A53" s="38">
        <v>2007</v>
      </c>
      <c r="B53" s="54">
        <v>518041</v>
      </c>
      <c r="C53" s="54">
        <v>911789</v>
      </c>
    </row>
    <row r="54" spans="1:3" x14ac:dyDescent="0.25">
      <c r="A54" s="38">
        <v>2008</v>
      </c>
      <c r="B54" s="54">
        <v>492546</v>
      </c>
      <c r="C54" s="54">
        <v>2169246</v>
      </c>
    </row>
    <row r="55" spans="1:3" x14ac:dyDescent="0.25">
      <c r="A55" s="38">
        <v>2009</v>
      </c>
      <c r="B55" s="54">
        <v>484149</v>
      </c>
      <c r="C55" s="54">
        <v>1284511</v>
      </c>
    </row>
    <row r="56" spans="1:3" x14ac:dyDescent="0.25">
      <c r="A56" s="38">
        <v>2010</v>
      </c>
      <c r="B56" s="54">
        <v>468696</v>
      </c>
      <c r="C56" s="42" t="s">
        <v>8</v>
      </c>
    </row>
    <row r="57" spans="1:3" x14ac:dyDescent="0.25">
      <c r="A57" s="38">
        <v>2011</v>
      </c>
      <c r="B57" s="54">
        <v>428191</v>
      </c>
      <c r="C57" s="42" t="s">
        <v>8</v>
      </c>
    </row>
    <row r="58" spans="1:3" x14ac:dyDescent="0.25">
      <c r="A58" s="38">
        <v>2012</v>
      </c>
      <c r="B58" s="54">
        <v>432438</v>
      </c>
      <c r="C58" s="42" t="s">
        <v>8</v>
      </c>
    </row>
    <row r="59" spans="1:3" x14ac:dyDescent="0.25">
      <c r="A59" s="38">
        <v>2013</v>
      </c>
      <c r="B59" s="54">
        <v>894148</v>
      </c>
      <c r="C59" s="42" t="s">
        <v>8</v>
      </c>
    </row>
    <row r="60" spans="1:3" x14ac:dyDescent="0.25">
      <c r="A60" s="38">
        <v>2014</v>
      </c>
      <c r="B60" s="54">
        <v>618477</v>
      </c>
      <c r="C60" s="42" t="s">
        <v>8</v>
      </c>
    </row>
    <row r="61" spans="1:3" x14ac:dyDescent="0.25">
      <c r="A61" s="38">
        <v>2015</v>
      </c>
      <c r="B61" s="54">
        <v>796684</v>
      </c>
      <c r="C61" s="42" t="s">
        <v>8</v>
      </c>
    </row>
    <row r="62" spans="1:3" x14ac:dyDescent="0.25">
      <c r="A62" s="38">
        <v>2016</v>
      </c>
      <c r="B62" s="54">
        <v>680513</v>
      </c>
      <c r="C62" s="42" t="s">
        <v>8</v>
      </c>
    </row>
    <row r="63" spans="1:3" x14ac:dyDescent="0.25">
      <c r="A63" s="40">
        <v>2017</v>
      </c>
      <c r="B63" s="60">
        <v>2852306</v>
      </c>
      <c r="C63" s="41" t="s">
        <v>8</v>
      </c>
    </row>
    <row r="65" spans="1:1" x14ac:dyDescent="0.25">
      <c r="A65" s="38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4"/>
  <sheetViews>
    <sheetView zoomScaleNormal="100" workbookViewId="0">
      <selection activeCell="C53" sqref="C53"/>
    </sheetView>
  </sheetViews>
  <sheetFormatPr defaultRowHeight="15" x14ac:dyDescent="0.25"/>
  <cols>
    <col min="2" max="2" width="12.85546875" customWidth="1"/>
    <col min="8" max="8" width="16" customWidth="1"/>
    <col min="9" max="9" width="4.85546875" customWidth="1"/>
    <col min="10" max="10" width="13" customWidth="1"/>
    <col min="11" max="11" width="11.7109375" customWidth="1"/>
    <col min="12" max="12" width="11.5703125" customWidth="1"/>
  </cols>
  <sheetData>
    <row r="1" spans="1:15" x14ac:dyDescent="0.25">
      <c r="A1" t="s">
        <v>41</v>
      </c>
    </row>
    <row r="2" spans="1:15" x14ac:dyDescent="0.25">
      <c r="A2" s="1"/>
      <c r="B2" s="1"/>
      <c r="C2" s="1"/>
      <c r="D2" s="1"/>
      <c r="E2" s="1"/>
      <c r="F2" s="1"/>
      <c r="G2" s="1"/>
      <c r="H2" t="s">
        <v>122</v>
      </c>
      <c r="J2" t="s">
        <v>136</v>
      </c>
    </row>
    <row r="3" spans="1:15" x14ac:dyDescent="0.25">
      <c r="C3" s="293" t="s">
        <v>133</v>
      </c>
      <c r="D3" s="293"/>
      <c r="E3" s="293"/>
      <c r="F3" s="293"/>
      <c r="G3" s="293"/>
    </row>
    <row r="4" spans="1:15" ht="34.5" customHeight="1" x14ac:dyDescent="0.25">
      <c r="A4" s="1" t="s">
        <v>3</v>
      </c>
      <c r="B4" s="1" t="s">
        <v>7</v>
      </c>
      <c r="C4" s="1" t="s">
        <v>36</v>
      </c>
      <c r="D4" s="1" t="s">
        <v>37</v>
      </c>
      <c r="E4" s="1" t="s">
        <v>38</v>
      </c>
      <c r="F4" s="1" t="s">
        <v>39</v>
      </c>
      <c r="G4" s="2"/>
      <c r="H4" s="203" t="s">
        <v>134</v>
      </c>
      <c r="I4" s="204"/>
      <c r="J4" s="205" t="s">
        <v>137</v>
      </c>
      <c r="K4" s="205" t="s">
        <v>123</v>
      </c>
      <c r="L4" s="205" t="s">
        <v>124</v>
      </c>
      <c r="M4" s="204"/>
      <c r="N4" s="206"/>
      <c r="O4" s="206"/>
    </row>
    <row r="5" spans="1:15" ht="18.75" x14ac:dyDescent="0.3">
      <c r="A5">
        <v>1978</v>
      </c>
      <c r="B5" s="3">
        <v>1535690</v>
      </c>
      <c r="C5" s="3">
        <v>23791.1</v>
      </c>
      <c r="D5" s="3">
        <v>1410720</v>
      </c>
      <c r="E5" s="3">
        <v>997108</v>
      </c>
      <c r="F5" s="3">
        <v>11827</v>
      </c>
      <c r="G5" s="3"/>
      <c r="H5" s="245">
        <f>SUM(C5:F5)</f>
        <v>2443446.1</v>
      </c>
      <c r="J5" s="207"/>
      <c r="K5" s="207"/>
      <c r="L5" s="207"/>
    </row>
    <row r="6" spans="1:15" x14ac:dyDescent="0.25">
      <c r="A6">
        <v>1979</v>
      </c>
      <c r="B6" s="3">
        <v>1136990</v>
      </c>
      <c r="C6" s="3">
        <v>82893.8</v>
      </c>
      <c r="D6" s="3">
        <v>1319590</v>
      </c>
      <c r="E6" s="3">
        <v>711604</v>
      </c>
      <c r="F6" s="3">
        <v>23427.8</v>
      </c>
      <c r="G6" s="3"/>
      <c r="J6" s="207"/>
      <c r="K6" s="207"/>
      <c r="L6" s="207"/>
    </row>
    <row r="7" spans="1:15" x14ac:dyDescent="0.25">
      <c r="A7">
        <v>1980</v>
      </c>
      <c r="B7" s="3">
        <v>1812320</v>
      </c>
      <c r="C7" s="3">
        <v>56869.599999999999</v>
      </c>
      <c r="D7" s="3">
        <v>2475740</v>
      </c>
      <c r="E7" s="3">
        <v>1348410</v>
      </c>
      <c r="F7" s="3">
        <v>16695.3</v>
      </c>
      <c r="G7" s="3"/>
      <c r="J7" s="207"/>
      <c r="K7" s="207"/>
      <c r="L7" s="207"/>
    </row>
    <row r="8" spans="1:15" x14ac:dyDescent="0.25">
      <c r="A8">
        <v>1981</v>
      </c>
      <c r="B8" s="3">
        <v>2657730</v>
      </c>
      <c r="C8" s="3">
        <v>82358.899999999994</v>
      </c>
      <c r="D8" s="3">
        <v>2833010</v>
      </c>
      <c r="E8" s="3">
        <v>2603730</v>
      </c>
      <c r="F8" s="3">
        <v>69404.2</v>
      </c>
      <c r="G8" s="3"/>
      <c r="J8" s="207"/>
      <c r="K8" s="207"/>
      <c r="L8" s="207"/>
    </row>
    <row r="9" spans="1:15" x14ac:dyDescent="0.25">
      <c r="A9">
        <v>1982</v>
      </c>
      <c r="B9" s="3">
        <v>1368380</v>
      </c>
      <c r="C9" s="3">
        <v>83425.8</v>
      </c>
      <c r="D9" s="3">
        <v>1540540</v>
      </c>
      <c r="E9" s="3">
        <v>661772</v>
      </c>
      <c r="F9" s="3">
        <v>14933.4</v>
      </c>
      <c r="G9" s="3"/>
      <c r="J9" s="207"/>
      <c r="K9" s="207"/>
      <c r="L9" s="207"/>
    </row>
    <row r="10" spans="1:15" x14ac:dyDescent="0.25">
      <c r="A10">
        <v>1983</v>
      </c>
      <c r="B10" s="3">
        <v>1246140</v>
      </c>
      <c r="C10" s="3">
        <v>12945.2</v>
      </c>
      <c r="D10" s="3">
        <v>1092060</v>
      </c>
      <c r="E10" s="3">
        <v>1320780</v>
      </c>
      <c r="F10" s="3">
        <v>18982.7</v>
      </c>
      <c r="G10" s="3"/>
      <c r="J10" s="208"/>
      <c r="K10" s="207"/>
      <c r="L10" s="207"/>
    </row>
    <row r="11" spans="1:15" ht="18.75" x14ac:dyDescent="0.3">
      <c r="A11">
        <v>1984</v>
      </c>
      <c r="B11" s="3">
        <v>2294960</v>
      </c>
      <c r="C11" s="3">
        <v>38802.1</v>
      </c>
      <c r="D11" s="3">
        <v>2824220</v>
      </c>
      <c r="E11" s="3">
        <v>2163830</v>
      </c>
      <c r="F11" s="3">
        <v>22704.5</v>
      </c>
      <c r="G11" s="3"/>
      <c r="J11" s="245">
        <f>C8+D7+E6+F5</f>
        <v>3281529.9</v>
      </c>
    </row>
    <row r="12" spans="1:15" x14ac:dyDescent="0.25">
      <c r="A12">
        <v>1985</v>
      </c>
      <c r="B12" s="3">
        <v>3257830</v>
      </c>
      <c r="C12" s="3">
        <v>30502.400000000001</v>
      </c>
      <c r="D12" s="3">
        <v>1402040</v>
      </c>
      <c r="E12" s="3">
        <v>893277</v>
      </c>
      <c r="F12" s="3">
        <v>12284.9</v>
      </c>
      <c r="G12" s="3"/>
      <c r="J12" s="3"/>
    </row>
    <row r="13" spans="1:15" x14ac:dyDescent="0.25">
      <c r="A13">
        <v>1986</v>
      </c>
      <c r="B13" s="3">
        <v>2889930</v>
      </c>
      <c r="C13" s="3">
        <v>37335.599999999999</v>
      </c>
      <c r="D13" s="3">
        <v>884616</v>
      </c>
      <c r="E13" s="3">
        <v>1285640</v>
      </c>
      <c r="F13" s="3">
        <v>80397.399999999994</v>
      </c>
      <c r="G13" s="3"/>
      <c r="J13" s="3"/>
    </row>
    <row r="14" spans="1:15" x14ac:dyDescent="0.25">
      <c r="A14">
        <v>1987</v>
      </c>
      <c r="B14" s="3">
        <v>1027450</v>
      </c>
      <c r="C14" s="3">
        <v>23584.5</v>
      </c>
      <c r="D14" s="3">
        <v>1147660</v>
      </c>
      <c r="E14" s="3">
        <v>1626920</v>
      </c>
      <c r="F14" s="3">
        <v>47805.8</v>
      </c>
      <c r="G14" s="3"/>
      <c r="J14" s="3"/>
    </row>
    <row r="15" spans="1:15" x14ac:dyDescent="0.25">
      <c r="A15">
        <v>1988</v>
      </c>
      <c r="B15" s="3">
        <v>2556340</v>
      </c>
      <c r="C15" s="3">
        <v>31610</v>
      </c>
      <c r="D15" s="3">
        <v>823334</v>
      </c>
      <c r="E15" s="3">
        <v>668707</v>
      </c>
      <c r="F15" s="3">
        <v>20702.599999999999</v>
      </c>
      <c r="G15" s="3"/>
      <c r="J15" s="3"/>
    </row>
    <row r="16" spans="1:15" x14ac:dyDescent="0.25">
      <c r="A16">
        <v>1989</v>
      </c>
      <c r="B16" s="3">
        <v>2174760</v>
      </c>
      <c r="C16" s="3">
        <v>19397.3</v>
      </c>
      <c r="D16" s="3">
        <v>991100</v>
      </c>
      <c r="E16" s="3">
        <v>2080370</v>
      </c>
      <c r="F16" s="3">
        <v>87343.7</v>
      </c>
      <c r="G16" s="3"/>
      <c r="J16" s="3"/>
    </row>
    <row r="17" spans="1:19" x14ac:dyDescent="0.25">
      <c r="A17">
        <v>1990</v>
      </c>
      <c r="B17" s="3">
        <v>1278090</v>
      </c>
      <c r="C17" s="3">
        <v>33742.699999999997</v>
      </c>
      <c r="D17" s="3">
        <v>1327390</v>
      </c>
      <c r="E17" s="3">
        <v>1926840</v>
      </c>
      <c r="F17" s="3">
        <v>71926.8</v>
      </c>
      <c r="G17" s="3"/>
      <c r="J17" s="3"/>
    </row>
    <row r="18" spans="1:19" x14ac:dyDescent="0.25">
      <c r="A18">
        <v>1991</v>
      </c>
      <c r="B18" s="3">
        <v>1837260</v>
      </c>
      <c r="C18" s="3">
        <v>48469.1</v>
      </c>
      <c r="D18" s="3">
        <v>2259220</v>
      </c>
      <c r="E18" s="3">
        <v>1960660</v>
      </c>
      <c r="F18" s="3">
        <v>36401.9</v>
      </c>
      <c r="G18" s="3"/>
      <c r="J18" s="3"/>
    </row>
    <row r="19" spans="1:19" x14ac:dyDescent="0.25">
      <c r="A19">
        <v>1992</v>
      </c>
      <c r="B19" s="3">
        <v>1964950</v>
      </c>
      <c r="C19" s="3">
        <v>90032</v>
      </c>
      <c r="D19" s="3">
        <v>2179890</v>
      </c>
      <c r="E19" s="3">
        <v>1062100</v>
      </c>
      <c r="F19" s="3">
        <v>20929.5</v>
      </c>
      <c r="G19" s="3"/>
      <c r="J19" s="3"/>
    </row>
    <row r="20" spans="1:19" x14ac:dyDescent="0.25">
      <c r="A20">
        <v>1993</v>
      </c>
      <c r="B20" s="3">
        <v>1513060</v>
      </c>
      <c r="C20" s="3">
        <v>43512.9</v>
      </c>
      <c r="D20" s="3">
        <v>561968</v>
      </c>
      <c r="E20" s="3">
        <v>260312</v>
      </c>
      <c r="F20" s="3">
        <v>8963.93</v>
      </c>
      <c r="G20" s="3"/>
      <c r="J20" s="3"/>
    </row>
    <row r="21" spans="1:19" x14ac:dyDescent="0.25">
      <c r="A21">
        <v>1994</v>
      </c>
      <c r="B21" s="3">
        <v>3167320</v>
      </c>
      <c r="C21" s="3">
        <v>10257.4</v>
      </c>
      <c r="D21" s="3">
        <v>723350</v>
      </c>
      <c r="E21" s="3">
        <v>694285</v>
      </c>
      <c r="F21" s="3">
        <v>9444.25</v>
      </c>
      <c r="G21" s="3"/>
      <c r="J21" s="3"/>
    </row>
    <row r="22" spans="1:19" x14ac:dyDescent="0.25">
      <c r="A22">
        <v>1995</v>
      </c>
      <c r="B22" s="3">
        <v>3646620</v>
      </c>
      <c r="C22" s="3">
        <v>16211.3</v>
      </c>
      <c r="D22" s="3">
        <v>445324</v>
      </c>
      <c r="E22" s="3">
        <v>239053</v>
      </c>
      <c r="F22" s="3">
        <v>4594.01</v>
      </c>
      <c r="G22" s="3"/>
      <c r="J22" s="3"/>
    </row>
    <row r="23" spans="1:19" x14ac:dyDescent="0.25">
      <c r="A23">
        <v>1996</v>
      </c>
      <c r="B23" s="3">
        <v>3656790</v>
      </c>
      <c r="C23" s="3">
        <v>10195.4</v>
      </c>
      <c r="D23" s="3">
        <v>311251</v>
      </c>
      <c r="E23" s="3">
        <v>425834</v>
      </c>
      <c r="F23" s="3">
        <v>19316.7</v>
      </c>
      <c r="G23" s="3"/>
      <c r="J23" s="3"/>
    </row>
    <row r="24" spans="1:19" x14ac:dyDescent="0.25">
      <c r="A24">
        <v>1997</v>
      </c>
      <c r="B24" s="3">
        <v>1389210</v>
      </c>
      <c r="C24" s="3">
        <v>1853.11</v>
      </c>
      <c r="D24" s="3">
        <v>119187</v>
      </c>
      <c r="E24" s="3">
        <v>444707</v>
      </c>
      <c r="F24" s="3">
        <v>26942.400000000001</v>
      </c>
      <c r="G24" s="3"/>
      <c r="J24" s="3"/>
    </row>
    <row r="25" spans="1:19" x14ac:dyDescent="0.25">
      <c r="A25">
        <v>1998</v>
      </c>
      <c r="B25" s="3">
        <v>906001</v>
      </c>
      <c r="C25" s="3">
        <v>2667.18</v>
      </c>
      <c r="D25" s="3">
        <v>813293</v>
      </c>
      <c r="E25" s="3">
        <v>325409</v>
      </c>
      <c r="F25" s="3">
        <v>426.15</v>
      </c>
      <c r="G25" s="3"/>
      <c r="J25" s="3"/>
    </row>
    <row r="26" spans="1:19" x14ac:dyDescent="0.25">
      <c r="A26">
        <v>1999</v>
      </c>
      <c r="B26" s="3">
        <v>1059030</v>
      </c>
      <c r="C26" s="3">
        <v>17811.8</v>
      </c>
      <c r="D26" s="3">
        <v>899584</v>
      </c>
      <c r="E26" s="3">
        <v>615662</v>
      </c>
      <c r="F26" s="3">
        <v>8290.91</v>
      </c>
      <c r="J26" s="3"/>
    </row>
    <row r="27" spans="1:19" x14ac:dyDescent="0.25">
      <c r="A27">
        <v>2000</v>
      </c>
      <c r="B27" s="3">
        <v>490083</v>
      </c>
      <c r="C27" s="3">
        <v>16091.4</v>
      </c>
      <c r="D27" s="3">
        <v>758033</v>
      </c>
      <c r="E27" s="3">
        <v>221234</v>
      </c>
      <c r="F27" s="3">
        <v>1350.33</v>
      </c>
      <c r="G27" s="3"/>
      <c r="J27" s="3"/>
    </row>
    <row r="28" spans="1:19" x14ac:dyDescent="0.25">
      <c r="A28">
        <v>2001</v>
      </c>
      <c r="B28" s="3">
        <v>494043</v>
      </c>
      <c r="C28" s="3">
        <v>92552.1</v>
      </c>
      <c r="D28" s="3">
        <v>2461590</v>
      </c>
      <c r="E28" s="3">
        <v>2942250</v>
      </c>
      <c r="F28" s="3">
        <v>133202</v>
      </c>
      <c r="G28" s="3"/>
      <c r="J28" s="3"/>
    </row>
    <row r="29" spans="1:19" x14ac:dyDescent="0.25">
      <c r="A29">
        <v>2002</v>
      </c>
      <c r="B29" s="3">
        <v>1209290</v>
      </c>
      <c r="C29" s="3">
        <v>67432.600000000006</v>
      </c>
      <c r="D29" s="3">
        <v>1040400</v>
      </c>
      <c r="E29" s="3">
        <v>885875</v>
      </c>
      <c r="F29" s="3">
        <v>48423.4</v>
      </c>
      <c r="G29" s="3"/>
      <c r="J29" s="3"/>
      <c r="S29" t="s">
        <v>59</v>
      </c>
    </row>
    <row r="30" spans="1:19" x14ac:dyDescent="0.25">
      <c r="A30">
        <v>2003</v>
      </c>
      <c r="B30" s="3">
        <v>1189040</v>
      </c>
      <c r="C30" s="3">
        <v>37218.199999999997</v>
      </c>
      <c r="D30" s="3">
        <v>1126580</v>
      </c>
      <c r="E30" s="3">
        <v>1108010</v>
      </c>
      <c r="F30" s="3">
        <v>35981.9</v>
      </c>
      <c r="G30" s="3"/>
      <c r="J30" s="3"/>
    </row>
    <row r="31" spans="1:19" x14ac:dyDescent="0.25">
      <c r="A31">
        <v>2004</v>
      </c>
      <c r="B31" s="3">
        <v>1370590</v>
      </c>
      <c r="C31" s="3">
        <v>20280.8</v>
      </c>
      <c r="D31" s="3">
        <v>889988</v>
      </c>
      <c r="E31" s="3">
        <v>608397</v>
      </c>
      <c r="F31" s="3">
        <v>9409.57</v>
      </c>
      <c r="G31" s="3"/>
      <c r="J31" s="3"/>
    </row>
    <row r="32" spans="1:19" x14ac:dyDescent="0.25">
      <c r="A32">
        <v>2005</v>
      </c>
      <c r="B32" s="3">
        <v>2638440</v>
      </c>
      <c r="C32" s="3">
        <v>36445.800000000003</v>
      </c>
      <c r="D32" s="3">
        <v>1025360</v>
      </c>
      <c r="E32" s="3">
        <v>277701</v>
      </c>
      <c r="F32" s="3">
        <v>2605.7800000000002</v>
      </c>
      <c r="G32" s="3"/>
      <c r="J32" s="3"/>
    </row>
    <row r="33" spans="1:10" x14ac:dyDescent="0.25">
      <c r="A33">
        <v>2006</v>
      </c>
      <c r="B33" s="3">
        <v>3838210</v>
      </c>
      <c r="C33" s="3">
        <v>57603.7</v>
      </c>
      <c r="D33" s="3">
        <v>1242620</v>
      </c>
      <c r="E33" s="3">
        <v>1204610</v>
      </c>
      <c r="F33" s="3">
        <v>54057.5</v>
      </c>
      <c r="G33" s="3"/>
      <c r="J33" s="3"/>
    </row>
    <row r="34" spans="1:10" x14ac:dyDescent="0.25">
      <c r="A34">
        <v>2007</v>
      </c>
      <c r="B34" s="3">
        <v>1890930</v>
      </c>
      <c r="C34" s="3">
        <v>133712</v>
      </c>
      <c r="D34" s="3">
        <v>1148650</v>
      </c>
      <c r="E34" s="3">
        <v>679462</v>
      </c>
      <c r="F34" s="3">
        <v>44663.4</v>
      </c>
      <c r="G34" s="3"/>
      <c r="J34" s="3"/>
    </row>
    <row r="35" spans="1:10" x14ac:dyDescent="0.25">
      <c r="A35">
        <v>2008</v>
      </c>
      <c r="B35" s="3">
        <v>1863290</v>
      </c>
      <c r="C35" s="3">
        <v>65179.5</v>
      </c>
      <c r="D35" s="3">
        <v>1728480</v>
      </c>
      <c r="E35" s="3">
        <v>1958250</v>
      </c>
      <c r="F35" s="3">
        <v>84081</v>
      </c>
      <c r="G35" s="3"/>
      <c r="J35" s="3"/>
    </row>
    <row r="36" spans="1:10" x14ac:dyDescent="0.25">
      <c r="A36">
        <v>2009</v>
      </c>
      <c r="B36" s="3">
        <v>1489330</v>
      </c>
      <c r="C36" s="3">
        <v>22323.200000000001</v>
      </c>
      <c r="D36" s="3">
        <v>1342120</v>
      </c>
      <c r="E36" s="3">
        <v>1416490</v>
      </c>
      <c r="F36" s="3">
        <v>24888.6</v>
      </c>
      <c r="G36" s="3"/>
      <c r="J36" s="3"/>
    </row>
    <row r="37" spans="1:10" x14ac:dyDescent="0.25">
      <c r="A37">
        <v>2010</v>
      </c>
      <c r="B37" s="3">
        <v>1364600</v>
      </c>
      <c r="C37" s="3">
        <v>29117.9</v>
      </c>
      <c r="D37" s="3">
        <v>989220</v>
      </c>
      <c r="E37" s="3">
        <v>1181900</v>
      </c>
      <c r="F37" s="3">
        <v>41805.199999999997</v>
      </c>
      <c r="G37" s="3"/>
      <c r="J37" s="3"/>
    </row>
    <row r="38" spans="1:10" x14ac:dyDescent="0.25">
      <c r="A38">
        <v>2011</v>
      </c>
      <c r="B38" s="3">
        <v>2068170</v>
      </c>
      <c r="C38" s="3">
        <v>19538.599999999999</v>
      </c>
      <c r="D38" s="3">
        <v>765527</v>
      </c>
      <c r="E38" s="3">
        <v>988419</v>
      </c>
      <c r="F38" s="3">
        <v>32816.6</v>
      </c>
      <c r="G38" s="3"/>
      <c r="J38" s="3"/>
    </row>
    <row r="39" spans="1:10" x14ac:dyDescent="0.25">
      <c r="A39">
        <v>2012</v>
      </c>
      <c r="B39" s="3">
        <v>2061000</v>
      </c>
      <c r="C39" s="3">
        <v>39142.400000000001</v>
      </c>
      <c r="D39" s="3">
        <v>1562990</v>
      </c>
      <c r="E39" s="3">
        <v>1612540</v>
      </c>
      <c r="F39" s="3" t="s">
        <v>40</v>
      </c>
      <c r="G39" s="3"/>
      <c r="J39" s="3"/>
    </row>
    <row r="40" spans="1:10" x14ac:dyDescent="0.25">
      <c r="A40">
        <v>2013</v>
      </c>
      <c r="B40" s="3">
        <v>2796590</v>
      </c>
      <c r="C40" s="3">
        <v>25860</v>
      </c>
      <c r="D40" s="3">
        <v>1980710</v>
      </c>
      <c r="E40" s="3" t="s">
        <v>40</v>
      </c>
      <c r="F40" s="3" t="s">
        <v>40</v>
      </c>
      <c r="G40" s="3"/>
      <c r="J40" s="3"/>
    </row>
    <row r="41" spans="1:10" x14ac:dyDescent="0.25">
      <c r="A41">
        <v>2014</v>
      </c>
      <c r="B41" s="3">
        <v>1911090</v>
      </c>
      <c r="C41" s="3">
        <v>11875.7</v>
      </c>
      <c r="D41" s="3" t="s">
        <v>40</v>
      </c>
      <c r="E41" s="3" t="s">
        <v>40</v>
      </c>
      <c r="F41" s="3" t="s">
        <v>40</v>
      </c>
      <c r="G41" s="3"/>
      <c r="J41" s="3"/>
    </row>
    <row r="42" spans="1:10" x14ac:dyDescent="0.25">
      <c r="A42">
        <v>2015</v>
      </c>
      <c r="B42" s="3">
        <v>1586040</v>
      </c>
      <c r="C42" s="3" t="s">
        <v>40</v>
      </c>
      <c r="D42" s="3" t="s">
        <v>40</v>
      </c>
      <c r="E42" s="3" t="s">
        <v>40</v>
      </c>
      <c r="F42" s="3" t="s">
        <v>40</v>
      </c>
      <c r="G42" s="3"/>
      <c r="J42" s="3"/>
    </row>
    <row r="43" spans="1:10" x14ac:dyDescent="0.25">
      <c r="A43">
        <v>2016</v>
      </c>
      <c r="B43" s="3">
        <v>1907500</v>
      </c>
      <c r="C43" s="3" t="s">
        <v>40</v>
      </c>
      <c r="D43" s="3" t="s">
        <v>40</v>
      </c>
      <c r="E43" s="3" t="s">
        <v>40</v>
      </c>
      <c r="F43" s="3" t="s">
        <v>40</v>
      </c>
      <c r="G43" s="3"/>
      <c r="J43" s="3"/>
    </row>
    <row r="44" spans="1:10" x14ac:dyDescent="0.25">
      <c r="A44" s="1">
        <v>2017</v>
      </c>
      <c r="B44" s="4">
        <v>3009760</v>
      </c>
      <c r="C44" s="4" t="s">
        <v>40</v>
      </c>
      <c r="D44" s="4" t="s">
        <v>40</v>
      </c>
      <c r="E44" s="4" t="s">
        <v>40</v>
      </c>
      <c r="F44" s="4" t="s">
        <v>40</v>
      </c>
      <c r="G44" s="4"/>
      <c r="J44" s="3"/>
    </row>
  </sheetData>
  <mergeCells count="1">
    <mergeCell ref="C3:G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56"/>
  <sheetViews>
    <sheetView zoomScaleNormal="100" workbookViewId="0">
      <selection activeCell="T7" sqref="T7"/>
    </sheetView>
  </sheetViews>
  <sheetFormatPr defaultColWidth="8.85546875" defaultRowHeight="15" x14ac:dyDescent="0.25"/>
  <cols>
    <col min="1" max="1" width="8.85546875" style="82"/>
    <col min="2" max="2" width="13.5703125" style="82" customWidth="1"/>
    <col min="3" max="17" width="8.85546875" style="82"/>
    <col min="18" max="18" width="12.5703125" style="82" customWidth="1"/>
    <col min="19" max="19" width="11.42578125" style="82" customWidth="1"/>
    <col min="20" max="20" width="12.7109375" style="82" customWidth="1"/>
    <col min="21" max="21" width="8.85546875" style="82"/>
    <col min="22" max="22" width="13" style="82" customWidth="1"/>
    <col min="23" max="16384" width="8.85546875" style="82"/>
  </cols>
  <sheetData>
    <row r="1" spans="1:22" x14ac:dyDescent="0.25">
      <c r="A1" s="82" t="s">
        <v>0</v>
      </c>
      <c r="Q1" s="91"/>
    </row>
    <row r="2" spans="1:22" ht="18.75" x14ac:dyDescent="0.3">
      <c r="A2" s="83" t="s">
        <v>1</v>
      </c>
      <c r="B2" s="84"/>
      <c r="C2" s="251" t="s">
        <v>138</v>
      </c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91"/>
    </row>
    <row r="3" spans="1:22" ht="30" x14ac:dyDescent="0.25">
      <c r="A3" s="86" t="s">
        <v>3</v>
      </c>
      <c r="B3" s="87" t="s">
        <v>7</v>
      </c>
      <c r="C3" s="88">
        <v>0.2</v>
      </c>
      <c r="D3" s="88">
        <v>1.1000000000000001</v>
      </c>
      <c r="E3" s="88">
        <v>0.3</v>
      </c>
      <c r="F3" s="88">
        <v>1.2</v>
      </c>
      <c r="G3" s="88">
        <v>2.1</v>
      </c>
      <c r="H3" s="88">
        <v>0.4</v>
      </c>
      <c r="I3" s="88">
        <v>1.3</v>
      </c>
      <c r="J3" s="88">
        <v>2.2000000000000002</v>
      </c>
      <c r="K3" s="88">
        <v>3.1</v>
      </c>
      <c r="L3" s="88">
        <v>1.4</v>
      </c>
      <c r="M3" s="88">
        <v>2.2999999999999998</v>
      </c>
      <c r="N3" s="88">
        <v>3.2</v>
      </c>
      <c r="O3" s="88">
        <v>2.4</v>
      </c>
      <c r="P3" s="88">
        <v>3.3</v>
      </c>
      <c r="Q3" s="91"/>
      <c r="R3" s="205" t="s">
        <v>137</v>
      </c>
      <c r="S3" s="205" t="s">
        <v>123</v>
      </c>
      <c r="T3" s="205" t="s">
        <v>124</v>
      </c>
      <c r="V3" s="203" t="s">
        <v>121</v>
      </c>
    </row>
    <row r="4" spans="1:22" ht="18.75" x14ac:dyDescent="0.3">
      <c r="A4" s="89">
        <v>1968</v>
      </c>
      <c r="B4" s="90">
        <v>90958</v>
      </c>
      <c r="C4" s="97" t="s">
        <v>40</v>
      </c>
      <c r="D4" s="97" t="s">
        <v>40</v>
      </c>
      <c r="E4" s="97" t="s">
        <v>40</v>
      </c>
      <c r="F4" s="97" t="s">
        <v>40</v>
      </c>
      <c r="G4" s="97" t="s">
        <v>40</v>
      </c>
      <c r="H4" s="97" t="s">
        <v>40</v>
      </c>
      <c r="I4" s="97" t="s">
        <v>40</v>
      </c>
      <c r="J4" s="97" t="s">
        <v>40</v>
      </c>
      <c r="K4" s="97" t="s">
        <v>40</v>
      </c>
      <c r="L4" s="97" t="s">
        <v>40</v>
      </c>
      <c r="M4" s="97" t="s">
        <v>40</v>
      </c>
      <c r="N4" s="97" t="s">
        <v>40</v>
      </c>
      <c r="O4" s="97" t="s">
        <v>40</v>
      </c>
      <c r="P4" s="97" t="s">
        <v>40</v>
      </c>
      <c r="Q4" s="91"/>
      <c r="R4" s="209"/>
      <c r="S4" s="209"/>
      <c r="T4" s="209"/>
      <c r="V4" s="244">
        <f>SUM(C7:D7)+SUM(E8:G8)+SUM(H9:K9)+SUM(L10:N10)+SUM(O11:P11)</f>
        <v>145853</v>
      </c>
    </row>
    <row r="5" spans="1:22" x14ac:dyDescent="0.25">
      <c r="A5" s="89">
        <v>1969</v>
      </c>
      <c r="B5" s="92">
        <v>46964.264150943396</v>
      </c>
      <c r="C5" s="97" t="s">
        <v>40</v>
      </c>
      <c r="D5" s="97" t="s">
        <v>40</v>
      </c>
      <c r="E5" s="97" t="s">
        <v>40</v>
      </c>
      <c r="F5" s="97" t="s">
        <v>40</v>
      </c>
      <c r="G5" s="97" t="s">
        <v>40</v>
      </c>
      <c r="H5" s="97" t="s">
        <v>40</v>
      </c>
      <c r="I5" s="97" t="s">
        <v>40</v>
      </c>
      <c r="J5" s="97" t="s">
        <v>40</v>
      </c>
      <c r="K5" s="97" t="s">
        <v>40</v>
      </c>
      <c r="L5" s="97" t="s">
        <v>40</v>
      </c>
      <c r="M5" s="97" t="s">
        <v>40</v>
      </c>
      <c r="N5" s="97" t="s">
        <v>40</v>
      </c>
      <c r="O5" s="97" t="s">
        <v>40</v>
      </c>
      <c r="P5" s="97" t="s">
        <v>40</v>
      </c>
      <c r="Q5" s="91"/>
      <c r="R5" s="209"/>
      <c r="S5" s="209"/>
      <c r="T5" s="209"/>
    </row>
    <row r="6" spans="1:22" x14ac:dyDescent="0.25">
      <c r="A6" s="89">
        <v>1970</v>
      </c>
      <c r="B6" s="92">
        <v>38796.566037735851</v>
      </c>
      <c r="C6" s="97" t="s">
        <v>40</v>
      </c>
      <c r="D6" s="97" t="s">
        <v>40</v>
      </c>
      <c r="E6" s="97" t="s">
        <v>40</v>
      </c>
      <c r="F6" s="97" t="s">
        <v>40</v>
      </c>
      <c r="G6" s="97" t="s">
        <v>40</v>
      </c>
      <c r="H6" s="97" t="s">
        <v>40</v>
      </c>
      <c r="I6" s="97" t="s">
        <v>40</v>
      </c>
      <c r="J6" s="97" t="s">
        <v>40</v>
      </c>
      <c r="K6" s="97" t="s">
        <v>40</v>
      </c>
      <c r="L6" s="97" t="s">
        <v>40</v>
      </c>
      <c r="M6" s="97" t="s">
        <v>40</v>
      </c>
      <c r="N6" s="97" t="s">
        <v>40</v>
      </c>
      <c r="O6" s="97" t="s">
        <v>40</v>
      </c>
      <c r="P6" s="97" t="s">
        <v>40</v>
      </c>
      <c r="Q6" s="91"/>
      <c r="R6" s="209"/>
      <c r="S6" s="209"/>
      <c r="T6" s="209"/>
    </row>
    <row r="7" spans="1:22" x14ac:dyDescent="0.25">
      <c r="A7" s="89">
        <v>1971</v>
      </c>
      <c r="B7" s="92">
        <v>91886.603773584895</v>
      </c>
      <c r="C7" s="93">
        <v>0</v>
      </c>
      <c r="D7" s="93">
        <v>0</v>
      </c>
      <c r="E7" s="97" t="s">
        <v>40</v>
      </c>
      <c r="F7" s="97" t="s">
        <v>40</v>
      </c>
      <c r="G7" s="97" t="s">
        <v>40</v>
      </c>
      <c r="H7" s="97" t="s">
        <v>40</v>
      </c>
      <c r="I7" s="97" t="s">
        <v>40</v>
      </c>
      <c r="J7" s="97" t="s">
        <v>40</v>
      </c>
      <c r="K7" s="97" t="s">
        <v>40</v>
      </c>
      <c r="L7" s="97" t="s">
        <v>40</v>
      </c>
      <c r="M7" s="97" t="s">
        <v>40</v>
      </c>
      <c r="N7" s="97" t="s">
        <v>40</v>
      </c>
      <c r="O7" s="97" t="s">
        <v>40</v>
      </c>
      <c r="P7" s="97" t="s">
        <v>40</v>
      </c>
      <c r="Q7" s="91"/>
      <c r="R7" s="209"/>
      <c r="S7" s="209"/>
      <c r="T7" s="209"/>
    </row>
    <row r="8" spans="1:22" x14ac:dyDescent="0.25">
      <c r="A8" s="89">
        <v>1972</v>
      </c>
      <c r="B8" s="92">
        <v>115486</v>
      </c>
      <c r="C8" s="91">
        <v>0</v>
      </c>
      <c r="D8" s="91">
        <v>231</v>
      </c>
      <c r="E8" s="91">
        <v>0</v>
      </c>
      <c r="F8" s="91">
        <v>86418</v>
      </c>
      <c r="G8" s="91">
        <v>115</v>
      </c>
      <c r="H8" s="97" t="s">
        <v>40</v>
      </c>
      <c r="I8" s="97" t="s">
        <v>40</v>
      </c>
      <c r="J8" s="97" t="s">
        <v>40</v>
      </c>
      <c r="K8" s="97" t="s">
        <v>40</v>
      </c>
      <c r="L8" s="97" t="s">
        <v>40</v>
      </c>
      <c r="M8" s="97" t="s">
        <v>40</v>
      </c>
      <c r="N8" s="97" t="s">
        <v>40</v>
      </c>
      <c r="O8" s="97" t="s">
        <v>40</v>
      </c>
      <c r="P8" s="97" t="s">
        <v>40</v>
      </c>
      <c r="Q8" s="91"/>
      <c r="R8" s="209"/>
      <c r="S8" s="209"/>
      <c r="T8" s="209"/>
    </row>
    <row r="9" spans="1:22" x14ac:dyDescent="0.25">
      <c r="A9" s="89">
        <v>1973</v>
      </c>
      <c r="B9" s="92">
        <v>40880</v>
      </c>
      <c r="C9" s="91">
        <v>0</v>
      </c>
      <c r="D9" s="91">
        <v>0</v>
      </c>
      <c r="E9" s="91">
        <v>0</v>
      </c>
      <c r="F9" s="91">
        <v>12833</v>
      </c>
      <c r="G9" s="91">
        <v>204</v>
      </c>
      <c r="H9" s="91">
        <v>0</v>
      </c>
      <c r="I9" s="91">
        <v>42653</v>
      </c>
      <c r="J9" s="91">
        <v>14079</v>
      </c>
      <c r="K9" s="91">
        <v>0</v>
      </c>
      <c r="L9" s="97" t="s">
        <v>40</v>
      </c>
      <c r="M9" s="97" t="s">
        <v>40</v>
      </c>
      <c r="N9" s="97" t="s">
        <v>40</v>
      </c>
      <c r="O9" s="97" t="s">
        <v>40</v>
      </c>
      <c r="P9" s="97" t="s">
        <v>40</v>
      </c>
      <c r="Q9" s="91"/>
      <c r="R9" s="209"/>
      <c r="S9" s="209"/>
      <c r="T9" s="209"/>
    </row>
    <row r="10" spans="1:22" x14ac:dyDescent="0.25">
      <c r="A10" s="89">
        <v>1974</v>
      </c>
      <c r="B10" s="92">
        <v>71540</v>
      </c>
      <c r="C10" s="91">
        <v>0</v>
      </c>
      <c r="D10" s="91">
        <v>0</v>
      </c>
      <c r="E10" s="91">
        <v>0</v>
      </c>
      <c r="F10" s="91">
        <v>38507</v>
      </c>
      <c r="G10" s="91">
        <v>299</v>
      </c>
      <c r="H10" s="91">
        <v>0</v>
      </c>
      <c r="I10" s="91">
        <v>85255</v>
      </c>
      <c r="J10" s="91">
        <v>6389</v>
      </c>
      <c r="K10" s="91">
        <v>0</v>
      </c>
      <c r="L10" s="91">
        <v>0</v>
      </c>
      <c r="M10" s="91">
        <v>2588</v>
      </c>
      <c r="N10" s="91">
        <v>0</v>
      </c>
      <c r="O10" s="97" t="s">
        <v>40</v>
      </c>
      <c r="P10" s="97" t="s">
        <v>40</v>
      </c>
      <c r="Q10" s="91"/>
      <c r="R10" s="209"/>
      <c r="S10" s="209"/>
      <c r="T10" s="209"/>
    </row>
    <row r="11" spans="1:22" ht="18.75" x14ac:dyDescent="0.3">
      <c r="A11" s="89">
        <v>1975</v>
      </c>
      <c r="B11" s="92">
        <v>48884</v>
      </c>
      <c r="C11" s="91">
        <v>49</v>
      </c>
      <c r="D11" s="91">
        <v>494</v>
      </c>
      <c r="E11" s="91">
        <v>0</v>
      </c>
      <c r="F11" s="91">
        <v>36811</v>
      </c>
      <c r="G11" s="91">
        <v>268</v>
      </c>
      <c r="H11" s="91">
        <v>0</v>
      </c>
      <c r="I11" s="91">
        <v>8744</v>
      </c>
      <c r="J11" s="91">
        <v>69392</v>
      </c>
      <c r="K11" s="91">
        <v>0</v>
      </c>
      <c r="L11" s="91">
        <v>0</v>
      </c>
      <c r="M11" s="91">
        <v>5484</v>
      </c>
      <c r="N11" s="91">
        <v>0</v>
      </c>
      <c r="O11" s="91">
        <v>0</v>
      </c>
      <c r="P11" s="91">
        <v>0</v>
      </c>
      <c r="Q11" s="91"/>
      <c r="R11" s="244">
        <f>SUM(C11:P11)</f>
        <v>121242</v>
      </c>
      <c r="S11" s="91"/>
      <c r="T11" s="94"/>
    </row>
    <row r="12" spans="1:22" x14ac:dyDescent="0.25">
      <c r="A12" s="89">
        <v>1976</v>
      </c>
      <c r="B12" s="92">
        <v>142058</v>
      </c>
      <c r="C12" s="91">
        <v>0</v>
      </c>
      <c r="D12" s="91">
        <v>473</v>
      </c>
      <c r="E12" s="91">
        <v>0</v>
      </c>
      <c r="F12" s="91">
        <v>115995</v>
      </c>
      <c r="G12" s="91">
        <v>0</v>
      </c>
      <c r="H12" s="91">
        <v>0</v>
      </c>
      <c r="I12" s="91">
        <v>107438</v>
      </c>
      <c r="J12" s="91">
        <v>101308</v>
      </c>
      <c r="K12" s="91">
        <v>0</v>
      </c>
      <c r="L12" s="91">
        <v>0</v>
      </c>
      <c r="M12" s="91">
        <v>51297</v>
      </c>
      <c r="N12" s="91">
        <v>0</v>
      </c>
      <c r="O12" s="91">
        <v>522</v>
      </c>
      <c r="P12" s="91">
        <v>0</v>
      </c>
      <c r="Q12" s="91"/>
      <c r="R12" s="91"/>
      <c r="S12" s="91"/>
      <c r="T12" s="94"/>
    </row>
    <row r="13" spans="1:22" x14ac:dyDescent="0.25">
      <c r="A13" s="89">
        <v>1977</v>
      </c>
      <c r="B13" s="92">
        <v>158410</v>
      </c>
      <c r="C13" s="91">
        <v>0</v>
      </c>
      <c r="D13" s="91">
        <v>2753</v>
      </c>
      <c r="E13" s="91">
        <v>0</v>
      </c>
      <c r="F13" s="91">
        <v>119001</v>
      </c>
      <c r="G13" s="91">
        <v>2433</v>
      </c>
      <c r="H13" s="91">
        <v>0</v>
      </c>
      <c r="I13" s="91">
        <v>103393</v>
      </c>
      <c r="J13" s="91">
        <v>114377</v>
      </c>
      <c r="K13" s="91">
        <v>0</v>
      </c>
      <c r="L13" s="91">
        <v>0</v>
      </c>
      <c r="M13" s="91">
        <v>49258</v>
      </c>
      <c r="N13" s="91">
        <v>0</v>
      </c>
      <c r="O13" s="91">
        <v>0</v>
      </c>
      <c r="P13" s="91">
        <v>0</v>
      </c>
      <c r="Q13" s="91"/>
      <c r="R13" s="91"/>
      <c r="S13" s="91"/>
      <c r="T13" s="94"/>
    </row>
    <row r="14" spans="1:22" x14ac:dyDescent="0.25">
      <c r="A14" s="89">
        <v>1978</v>
      </c>
      <c r="B14" s="92">
        <v>119165</v>
      </c>
      <c r="C14" s="91">
        <v>0</v>
      </c>
      <c r="D14" s="91">
        <v>0</v>
      </c>
      <c r="E14" s="91">
        <v>0</v>
      </c>
      <c r="F14" s="91">
        <v>206299</v>
      </c>
      <c r="G14" s="91">
        <v>0</v>
      </c>
      <c r="H14" s="91">
        <v>0</v>
      </c>
      <c r="I14" s="91">
        <v>176558</v>
      </c>
      <c r="J14" s="91">
        <v>38748</v>
      </c>
      <c r="K14" s="91">
        <v>0</v>
      </c>
      <c r="L14" s="91">
        <v>0</v>
      </c>
      <c r="M14" s="91">
        <v>38332</v>
      </c>
      <c r="N14" s="91">
        <v>0</v>
      </c>
      <c r="O14" s="91">
        <v>0</v>
      </c>
      <c r="P14" s="91">
        <v>0</v>
      </c>
      <c r="Q14" s="91"/>
      <c r="R14" s="91"/>
      <c r="S14" s="91"/>
      <c r="T14" s="94"/>
    </row>
    <row r="15" spans="1:22" x14ac:dyDescent="0.25">
      <c r="A15" s="89">
        <v>1979</v>
      </c>
      <c r="B15" s="92">
        <v>155527</v>
      </c>
      <c r="C15" s="91">
        <v>440</v>
      </c>
      <c r="D15" s="91">
        <v>1801</v>
      </c>
      <c r="E15" s="91">
        <v>0</v>
      </c>
      <c r="F15" s="91">
        <v>180735</v>
      </c>
      <c r="G15" s="91">
        <v>0</v>
      </c>
      <c r="H15" s="91">
        <v>0</v>
      </c>
      <c r="I15" s="91">
        <v>80966</v>
      </c>
      <c r="J15" s="91">
        <v>34636</v>
      </c>
      <c r="K15" s="91">
        <v>0</v>
      </c>
      <c r="L15" s="91">
        <v>0</v>
      </c>
      <c r="M15" s="91">
        <v>4521</v>
      </c>
      <c r="N15" s="91">
        <v>0</v>
      </c>
      <c r="O15" s="91">
        <v>0</v>
      </c>
      <c r="P15" s="91">
        <v>0</v>
      </c>
      <c r="Q15" s="91"/>
      <c r="R15" s="91"/>
      <c r="S15" s="91"/>
      <c r="T15" s="94"/>
    </row>
    <row r="16" spans="1:22" x14ac:dyDescent="0.25">
      <c r="A16" s="89">
        <v>1980</v>
      </c>
      <c r="B16" s="92">
        <v>188314</v>
      </c>
      <c r="C16" s="91">
        <v>0</v>
      </c>
      <c r="D16" s="91">
        <v>4087</v>
      </c>
      <c r="E16" s="91">
        <v>0</v>
      </c>
      <c r="F16" s="91">
        <v>246019</v>
      </c>
      <c r="G16" s="91">
        <v>0</v>
      </c>
      <c r="H16" s="91">
        <v>0</v>
      </c>
      <c r="I16" s="91">
        <v>111456</v>
      </c>
      <c r="J16" s="91">
        <v>20631</v>
      </c>
      <c r="K16" s="91">
        <v>0</v>
      </c>
      <c r="L16" s="91">
        <v>1350</v>
      </c>
      <c r="M16" s="91">
        <v>16890</v>
      </c>
      <c r="N16" s="91">
        <v>0</v>
      </c>
      <c r="O16" s="91">
        <v>0</v>
      </c>
      <c r="P16" s="91">
        <v>0</v>
      </c>
      <c r="Q16" s="91"/>
      <c r="R16" s="91"/>
      <c r="S16" s="91"/>
      <c r="T16" s="94"/>
    </row>
    <row r="17" spans="1:20" x14ac:dyDescent="0.25">
      <c r="A17" s="89">
        <v>1981</v>
      </c>
      <c r="B17" s="92">
        <v>262271</v>
      </c>
      <c r="C17" s="91">
        <v>0</v>
      </c>
      <c r="D17" s="91">
        <v>0</v>
      </c>
      <c r="E17" s="91">
        <v>0</v>
      </c>
      <c r="F17" s="91">
        <v>149225</v>
      </c>
      <c r="G17" s="91">
        <v>0</v>
      </c>
      <c r="H17" s="91">
        <v>0</v>
      </c>
      <c r="I17" s="91">
        <v>368132</v>
      </c>
      <c r="J17" s="91">
        <v>33934</v>
      </c>
      <c r="K17" s="91">
        <v>0</v>
      </c>
      <c r="L17" s="91">
        <v>0</v>
      </c>
      <c r="M17" s="91">
        <v>8677</v>
      </c>
      <c r="N17" s="91">
        <v>0</v>
      </c>
      <c r="O17" s="91">
        <v>0</v>
      </c>
      <c r="P17" s="91">
        <v>0</v>
      </c>
      <c r="Q17" s="91"/>
      <c r="R17" s="91"/>
      <c r="S17" s="91"/>
      <c r="T17" s="94"/>
    </row>
    <row r="18" spans="1:20" x14ac:dyDescent="0.25">
      <c r="A18" s="89">
        <v>1982</v>
      </c>
      <c r="B18" s="92">
        <v>184204</v>
      </c>
      <c r="C18" s="91">
        <v>0</v>
      </c>
      <c r="D18" s="91">
        <v>2465</v>
      </c>
      <c r="E18" s="91">
        <v>0</v>
      </c>
      <c r="F18" s="91">
        <v>172123</v>
      </c>
      <c r="G18" s="91">
        <v>465</v>
      </c>
      <c r="H18" s="91">
        <v>0</v>
      </c>
      <c r="I18" s="91">
        <v>358492</v>
      </c>
      <c r="J18" s="91">
        <v>51558</v>
      </c>
      <c r="K18" s="91">
        <v>0</v>
      </c>
      <c r="L18" s="91">
        <v>0</v>
      </c>
      <c r="M18" s="91">
        <v>41369</v>
      </c>
      <c r="N18" s="91">
        <v>0</v>
      </c>
      <c r="O18" s="91">
        <v>0</v>
      </c>
      <c r="P18" s="91">
        <v>0</v>
      </c>
      <c r="Q18" s="91"/>
      <c r="R18" s="91"/>
      <c r="S18" s="91"/>
      <c r="T18" s="94"/>
    </row>
    <row r="19" spans="1:20" x14ac:dyDescent="0.25">
      <c r="A19" s="89">
        <v>1983</v>
      </c>
      <c r="B19" s="92">
        <v>215730</v>
      </c>
      <c r="C19" s="91">
        <v>0</v>
      </c>
      <c r="D19" s="91">
        <v>0</v>
      </c>
      <c r="E19" s="91">
        <v>0</v>
      </c>
      <c r="F19" s="91">
        <v>407690</v>
      </c>
      <c r="G19" s="91">
        <v>0</v>
      </c>
      <c r="H19" s="91">
        <v>0</v>
      </c>
      <c r="I19" s="91">
        <v>364997</v>
      </c>
      <c r="J19" s="91">
        <v>104687</v>
      </c>
      <c r="K19" s="91">
        <v>0</v>
      </c>
      <c r="L19" s="91">
        <v>0</v>
      </c>
      <c r="M19" s="91">
        <v>46809</v>
      </c>
      <c r="N19" s="91">
        <v>0</v>
      </c>
      <c r="O19" s="91">
        <v>0</v>
      </c>
      <c r="P19" s="91">
        <v>0</v>
      </c>
      <c r="Q19" s="91"/>
      <c r="R19" s="91"/>
      <c r="S19" s="91"/>
      <c r="T19" s="94"/>
    </row>
    <row r="20" spans="1:20" x14ac:dyDescent="0.25">
      <c r="A20" s="89">
        <v>1984</v>
      </c>
      <c r="B20" s="92">
        <v>238413</v>
      </c>
      <c r="C20" s="91">
        <v>0</v>
      </c>
      <c r="D20" s="91">
        <v>0</v>
      </c>
      <c r="E20" s="91">
        <v>0</v>
      </c>
      <c r="F20" s="91">
        <v>264207</v>
      </c>
      <c r="G20" s="91">
        <v>577</v>
      </c>
      <c r="H20" s="91">
        <v>0</v>
      </c>
      <c r="I20" s="91">
        <v>204991</v>
      </c>
      <c r="J20" s="91">
        <v>112060</v>
      </c>
      <c r="K20" s="91">
        <v>0</v>
      </c>
      <c r="L20" s="91">
        <v>0</v>
      </c>
      <c r="M20" s="91">
        <v>53408</v>
      </c>
      <c r="N20" s="91">
        <v>0</v>
      </c>
      <c r="O20" s="91">
        <v>0</v>
      </c>
      <c r="P20" s="91">
        <v>0</v>
      </c>
      <c r="Q20" s="91"/>
      <c r="R20" s="91"/>
      <c r="S20" s="91"/>
      <c r="T20" s="94"/>
    </row>
    <row r="21" spans="1:20" x14ac:dyDescent="0.25">
      <c r="A21" s="89">
        <v>1985</v>
      </c>
      <c r="B21" s="92">
        <v>512827</v>
      </c>
      <c r="C21" s="91">
        <v>0</v>
      </c>
      <c r="D21" s="91">
        <v>2187</v>
      </c>
      <c r="E21" s="91">
        <v>0</v>
      </c>
      <c r="F21" s="91">
        <v>854061</v>
      </c>
      <c r="G21" s="91">
        <v>1742</v>
      </c>
      <c r="H21" s="91">
        <v>0</v>
      </c>
      <c r="I21" s="91">
        <v>485118</v>
      </c>
      <c r="J21" s="91">
        <v>258171</v>
      </c>
      <c r="K21" s="91">
        <v>0</v>
      </c>
      <c r="L21" s="91">
        <v>2937</v>
      </c>
      <c r="M21" s="91">
        <v>52479</v>
      </c>
      <c r="N21" s="91">
        <v>0</v>
      </c>
      <c r="O21" s="91">
        <v>0</v>
      </c>
      <c r="P21" s="91">
        <v>0</v>
      </c>
      <c r="Q21" s="91"/>
      <c r="R21" s="91"/>
      <c r="S21" s="91"/>
      <c r="T21" s="94"/>
    </row>
    <row r="22" spans="1:20" x14ac:dyDescent="0.25">
      <c r="A22" s="89">
        <v>1986</v>
      </c>
      <c r="B22" s="92">
        <v>283054</v>
      </c>
      <c r="C22" s="91">
        <v>748</v>
      </c>
      <c r="D22" s="91">
        <v>0</v>
      </c>
      <c r="E22" s="91">
        <v>0</v>
      </c>
      <c r="F22" s="91">
        <v>529984</v>
      </c>
      <c r="G22" s="91">
        <v>267</v>
      </c>
      <c r="H22" s="91">
        <v>0</v>
      </c>
      <c r="I22" s="91">
        <v>679270</v>
      </c>
      <c r="J22" s="91">
        <v>220031</v>
      </c>
      <c r="K22" s="91">
        <v>0</v>
      </c>
      <c r="L22" s="91">
        <v>3504</v>
      </c>
      <c r="M22" s="91">
        <v>71144</v>
      </c>
      <c r="N22" s="91">
        <v>0</v>
      </c>
      <c r="O22" s="91">
        <v>1199</v>
      </c>
      <c r="P22" s="91">
        <v>0</v>
      </c>
      <c r="Q22" s="91"/>
      <c r="R22" s="91"/>
      <c r="S22" s="91"/>
      <c r="T22" s="94"/>
    </row>
    <row r="23" spans="1:20" x14ac:dyDescent="0.25">
      <c r="A23" s="89">
        <v>1987</v>
      </c>
      <c r="B23" s="92">
        <v>256707</v>
      </c>
      <c r="C23" s="91">
        <v>0</v>
      </c>
      <c r="D23" s="91">
        <v>709</v>
      </c>
      <c r="E23" s="91">
        <v>0</v>
      </c>
      <c r="F23" s="91">
        <v>348596</v>
      </c>
      <c r="G23" s="91">
        <v>484</v>
      </c>
      <c r="H23" s="91">
        <v>0</v>
      </c>
      <c r="I23" s="91">
        <v>345805</v>
      </c>
      <c r="J23" s="91">
        <v>266602</v>
      </c>
      <c r="K23" s="91">
        <v>0</v>
      </c>
      <c r="L23" s="91">
        <v>0</v>
      </c>
      <c r="M23" s="91">
        <v>95613</v>
      </c>
      <c r="N23" s="91">
        <v>236</v>
      </c>
      <c r="O23" s="91">
        <v>0</v>
      </c>
      <c r="P23" s="91">
        <v>0</v>
      </c>
      <c r="Q23" s="91"/>
      <c r="R23" s="91"/>
      <c r="S23" s="91"/>
      <c r="T23" s="94"/>
    </row>
    <row r="24" spans="1:20" x14ac:dyDescent="0.25">
      <c r="A24" s="89">
        <v>1988</v>
      </c>
      <c r="B24" s="92">
        <v>204336</v>
      </c>
      <c r="C24" s="91">
        <v>0</v>
      </c>
      <c r="D24" s="91">
        <v>143</v>
      </c>
      <c r="E24" s="91">
        <v>0</v>
      </c>
      <c r="F24" s="91">
        <v>255882</v>
      </c>
      <c r="G24" s="91">
        <v>382</v>
      </c>
      <c r="H24" s="91">
        <v>0</v>
      </c>
      <c r="I24" s="91">
        <v>353642</v>
      </c>
      <c r="J24" s="91">
        <v>239227</v>
      </c>
      <c r="K24" s="91">
        <v>0</v>
      </c>
      <c r="L24" s="91">
        <v>1718</v>
      </c>
      <c r="M24" s="91">
        <v>141028</v>
      </c>
      <c r="N24" s="91">
        <v>0</v>
      </c>
      <c r="O24" s="91">
        <v>2489</v>
      </c>
      <c r="P24" s="91">
        <v>0</v>
      </c>
      <c r="Q24" s="91"/>
      <c r="R24" s="91"/>
      <c r="S24" s="91"/>
      <c r="T24" s="94"/>
    </row>
    <row r="25" spans="1:20" x14ac:dyDescent="0.25">
      <c r="A25" s="89">
        <v>1989</v>
      </c>
      <c r="B25" s="92">
        <v>164952</v>
      </c>
      <c r="C25" s="91">
        <v>0</v>
      </c>
      <c r="D25" s="91">
        <v>0</v>
      </c>
      <c r="E25" s="91">
        <v>0</v>
      </c>
      <c r="F25" s="91">
        <v>62021</v>
      </c>
      <c r="G25" s="91">
        <v>129</v>
      </c>
      <c r="H25" s="91">
        <v>0</v>
      </c>
      <c r="I25" s="91">
        <v>163788</v>
      </c>
      <c r="J25" s="91">
        <v>252891</v>
      </c>
      <c r="K25" s="91">
        <v>0</v>
      </c>
      <c r="L25" s="91">
        <v>244</v>
      </c>
      <c r="M25" s="91">
        <v>65366</v>
      </c>
      <c r="N25" s="91">
        <v>0</v>
      </c>
      <c r="O25" s="91">
        <v>0</v>
      </c>
      <c r="P25" s="91">
        <v>0</v>
      </c>
      <c r="Q25" s="91"/>
      <c r="R25" s="91"/>
      <c r="S25" s="91"/>
      <c r="T25" s="94"/>
    </row>
    <row r="26" spans="1:20" x14ac:dyDescent="0.25">
      <c r="A26" s="89">
        <v>1990</v>
      </c>
      <c r="B26" s="92">
        <v>147663</v>
      </c>
      <c r="C26" s="91">
        <v>0</v>
      </c>
      <c r="D26" s="91">
        <v>656</v>
      </c>
      <c r="E26" s="91">
        <v>596</v>
      </c>
      <c r="F26" s="91">
        <v>101750</v>
      </c>
      <c r="G26" s="91">
        <v>0</v>
      </c>
      <c r="H26" s="91">
        <v>0</v>
      </c>
      <c r="I26" s="91">
        <v>133572</v>
      </c>
      <c r="J26" s="91">
        <v>123311</v>
      </c>
      <c r="K26" s="91">
        <v>0</v>
      </c>
      <c r="L26" s="91">
        <v>1476</v>
      </c>
      <c r="M26" s="91">
        <v>90632</v>
      </c>
      <c r="N26" s="91">
        <v>934</v>
      </c>
      <c r="O26" s="91">
        <v>0</v>
      </c>
      <c r="P26" s="91">
        <v>0</v>
      </c>
      <c r="Q26" s="91"/>
      <c r="R26" s="91"/>
      <c r="S26" s="91"/>
      <c r="T26" s="94"/>
    </row>
    <row r="27" spans="1:20" x14ac:dyDescent="0.25">
      <c r="A27" s="89">
        <v>1991</v>
      </c>
      <c r="B27" s="92">
        <v>233646</v>
      </c>
      <c r="C27" s="91">
        <v>214</v>
      </c>
      <c r="D27" s="91">
        <v>0</v>
      </c>
      <c r="E27" s="91">
        <v>775</v>
      </c>
      <c r="F27" s="91">
        <v>133031</v>
      </c>
      <c r="G27" s="91">
        <v>162</v>
      </c>
      <c r="H27" s="91">
        <v>0</v>
      </c>
      <c r="I27" s="91">
        <v>232645</v>
      </c>
      <c r="J27" s="91">
        <v>189244</v>
      </c>
      <c r="K27" s="91">
        <v>0</v>
      </c>
      <c r="L27" s="91">
        <v>769</v>
      </c>
      <c r="M27" s="91">
        <v>49795</v>
      </c>
      <c r="N27" s="91">
        <v>0</v>
      </c>
      <c r="O27" s="91">
        <v>0</v>
      </c>
      <c r="P27" s="91">
        <v>0</v>
      </c>
      <c r="Q27" s="91"/>
      <c r="R27" s="91"/>
      <c r="S27" s="91"/>
      <c r="T27" s="94"/>
    </row>
    <row r="28" spans="1:20" x14ac:dyDescent="0.25">
      <c r="A28" s="89">
        <v>1992</v>
      </c>
      <c r="B28" s="92">
        <v>188819</v>
      </c>
      <c r="C28" s="91">
        <v>0</v>
      </c>
      <c r="D28" s="91">
        <v>0</v>
      </c>
      <c r="E28" s="91">
        <v>0</v>
      </c>
      <c r="F28" s="91">
        <v>159892</v>
      </c>
      <c r="G28" s="91">
        <v>738</v>
      </c>
      <c r="H28" s="91">
        <v>0</v>
      </c>
      <c r="I28" s="91">
        <v>330225</v>
      </c>
      <c r="J28" s="91">
        <v>248546</v>
      </c>
      <c r="K28" s="91">
        <v>0</v>
      </c>
      <c r="L28" s="91">
        <v>0</v>
      </c>
      <c r="M28" s="91">
        <v>150016</v>
      </c>
      <c r="N28" s="91">
        <v>0</v>
      </c>
      <c r="O28" s="91">
        <v>0</v>
      </c>
      <c r="P28" s="91">
        <v>0</v>
      </c>
      <c r="Q28" s="91"/>
      <c r="R28" s="91"/>
      <c r="S28" s="91"/>
      <c r="T28" s="94"/>
    </row>
    <row r="29" spans="1:20" x14ac:dyDescent="0.25">
      <c r="A29" s="89">
        <v>1993</v>
      </c>
      <c r="B29" s="92">
        <v>151801</v>
      </c>
      <c r="C29" s="91">
        <v>0</v>
      </c>
      <c r="D29" s="91">
        <v>567</v>
      </c>
      <c r="E29" s="91">
        <v>0</v>
      </c>
      <c r="F29" s="91">
        <v>63863</v>
      </c>
      <c r="G29" s="91">
        <v>590</v>
      </c>
      <c r="H29" s="91">
        <v>0</v>
      </c>
      <c r="I29" s="91">
        <v>197694</v>
      </c>
      <c r="J29" s="91">
        <v>173302</v>
      </c>
      <c r="K29" s="91">
        <v>0</v>
      </c>
      <c r="L29" s="91">
        <v>0</v>
      </c>
      <c r="M29" s="91">
        <v>174387</v>
      </c>
      <c r="N29" s="91">
        <v>0</v>
      </c>
      <c r="O29" s="91">
        <v>0</v>
      </c>
      <c r="P29" s="91">
        <v>0</v>
      </c>
      <c r="Q29" s="91"/>
      <c r="R29" s="91"/>
      <c r="S29" s="91"/>
      <c r="T29" s="94"/>
    </row>
    <row r="30" spans="1:20" x14ac:dyDescent="0.25">
      <c r="A30" s="89">
        <v>1994</v>
      </c>
      <c r="B30" s="92">
        <v>218826</v>
      </c>
      <c r="C30" s="91">
        <v>0</v>
      </c>
      <c r="D30" s="91">
        <v>0</v>
      </c>
      <c r="E30" s="91">
        <v>0</v>
      </c>
      <c r="F30" s="91">
        <v>147703</v>
      </c>
      <c r="G30" s="91">
        <v>0</v>
      </c>
      <c r="H30" s="91">
        <v>0</v>
      </c>
      <c r="I30" s="91">
        <v>189085</v>
      </c>
      <c r="J30" s="91">
        <v>145680</v>
      </c>
      <c r="K30" s="91">
        <v>0</v>
      </c>
      <c r="L30" s="91">
        <v>0</v>
      </c>
      <c r="M30" s="91">
        <v>133336</v>
      </c>
      <c r="N30" s="91">
        <v>0</v>
      </c>
      <c r="O30" s="91">
        <v>0</v>
      </c>
      <c r="P30" s="91">
        <v>0</v>
      </c>
      <c r="Q30" s="91"/>
      <c r="R30" s="91"/>
      <c r="S30" s="91"/>
      <c r="T30" s="94"/>
    </row>
    <row r="31" spans="1:20" x14ac:dyDescent="0.25">
      <c r="A31" s="89">
        <v>1995</v>
      </c>
      <c r="B31" s="92">
        <v>202428</v>
      </c>
      <c r="C31" s="91">
        <v>0</v>
      </c>
      <c r="D31" s="91">
        <v>386</v>
      </c>
      <c r="E31" s="91">
        <v>0</v>
      </c>
      <c r="F31" s="91">
        <v>222798</v>
      </c>
      <c r="G31" s="91">
        <v>0</v>
      </c>
      <c r="H31" s="91">
        <v>0</v>
      </c>
      <c r="I31" s="91">
        <v>110369</v>
      </c>
      <c r="J31" s="91">
        <v>174950</v>
      </c>
      <c r="K31" s="91">
        <v>0</v>
      </c>
      <c r="L31" s="91">
        <v>0</v>
      </c>
      <c r="M31" s="91">
        <v>113166</v>
      </c>
      <c r="N31" s="91">
        <v>0</v>
      </c>
      <c r="O31" s="91">
        <v>0</v>
      </c>
      <c r="P31" s="91">
        <v>0</v>
      </c>
      <c r="Q31" s="91"/>
      <c r="R31" s="91"/>
      <c r="S31" s="91"/>
      <c r="T31" s="94"/>
    </row>
    <row r="32" spans="1:20" x14ac:dyDescent="0.25">
      <c r="A32" s="89">
        <v>1996</v>
      </c>
      <c r="B32" s="92">
        <v>264511</v>
      </c>
      <c r="C32" s="91">
        <v>0</v>
      </c>
      <c r="D32" s="91">
        <v>0</v>
      </c>
      <c r="E32" s="91">
        <v>0</v>
      </c>
      <c r="F32" s="91">
        <v>185940</v>
      </c>
      <c r="G32" s="91">
        <v>0</v>
      </c>
      <c r="H32" s="91">
        <v>0</v>
      </c>
      <c r="I32" s="91">
        <v>414977</v>
      </c>
      <c r="J32" s="91">
        <v>205588</v>
      </c>
      <c r="K32" s="91">
        <v>0</v>
      </c>
      <c r="L32" s="91">
        <v>0</v>
      </c>
      <c r="M32" s="91">
        <v>68223</v>
      </c>
      <c r="N32" s="91">
        <v>0</v>
      </c>
      <c r="O32" s="91">
        <v>0</v>
      </c>
      <c r="P32" s="91">
        <v>0</v>
      </c>
      <c r="Q32" s="91"/>
      <c r="R32" s="91"/>
      <c r="S32" s="91"/>
      <c r="T32" s="94"/>
    </row>
    <row r="33" spans="1:20" x14ac:dyDescent="0.25">
      <c r="A33" s="89">
        <v>1997</v>
      </c>
      <c r="B33" s="92">
        <v>263780</v>
      </c>
      <c r="C33" s="91">
        <v>0</v>
      </c>
      <c r="D33" s="91">
        <v>0</v>
      </c>
      <c r="E33" s="91">
        <v>0</v>
      </c>
      <c r="F33" s="91">
        <v>145659</v>
      </c>
      <c r="G33" s="91">
        <v>0</v>
      </c>
      <c r="H33" s="91">
        <v>0</v>
      </c>
      <c r="I33" s="91">
        <v>453802</v>
      </c>
      <c r="J33" s="91">
        <v>122402</v>
      </c>
      <c r="K33" s="91">
        <v>0</v>
      </c>
      <c r="L33" s="91">
        <v>0</v>
      </c>
      <c r="M33" s="91">
        <v>102874</v>
      </c>
      <c r="N33" s="91">
        <v>0</v>
      </c>
      <c r="O33" s="91">
        <v>0</v>
      </c>
      <c r="P33" s="91">
        <v>0</v>
      </c>
      <c r="Q33" s="91"/>
      <c r="R33" s="91"/>
      <c r="S33" s="91"/>
      <c r="T33" s="94"/>
    </row>
    <row r="34" spans="1:20" x14ac:dyDescent="0.25">
      <c r="A34" s="89">
        <v>1998</v>
      </c>
      <c r="B34" s="92">
        <v>259045</v>
      </c>
      <c r="C34" s="91">
        <v>682</v>
      </c>
      <c r="D34" s="91">
        <v>388</v>
      </c>
      <c r="E34" s="91">
        <v>0</v>
      </c>
      <c r="F34" s="91">
        <v>195201</v>
      </c>
      <c r="G34" s="91">
        <v>1883</v>
      </c>
      <c r="H34" s="91">
        <v>0</v>
      </c>
      <c r="I34" s="91">
        <v>155518</v>
      </c>
      <c r="J34" s="91">
        <v>125775</v>
      </c>
      <c r="K34" s="91">
        <v>0</v>
      </c>
      <c r="L34" s="91">
        <v>1496</v>
      </c>
      <c r="M34" s="91">
        <v>51892</v>
      </c>
      <c r="N34" s="91">
        <v>0</v>
      </c>
      <c r="O34" s="91">
        <v>0</v>
      </c>
      <c r="P34" s="91">
        <v>0</v>
      </c>
      <c r="Q34" s="91"/>
      <c r="R34" s="91"/>
      <c r="S34" s="91"/>
      <c r="T34" s="94"/>
    </row>
    <row r="35" spans="1:20" x14ac:dyDescent="0.25">
      <c r="A35" s="89">
        <v>1999</v>
      </c>
      <c r="B35" s="92">
        <v>312481</v>
      </c>
      <c r="C35" s="91">
        <v>0</v>
      </c>
      <c r="D35" s="91">
        <v>0</v>
      </c>
      <c r="E35" s="91">
        <v>0</v>
      </c>
      <c r="F35" s="91">
        <v>237182</v>
      </c>
      <c r="G35" s="91">
        <v>373</v>
      </c>
      <c r="H35" s="91">
        <v>0</v>
      </c>
      <c r="I35" s="91">
        <v>297531</v>
      </c>
      <c r="J35" s="91">
        <v>196873</v>
      </c>
      <c r="K35" s="91">
        <v>0</v>
      </c>
      <c r="L35" s="91">
        <v>1801</v>
      </c>
      <c r="M35" s="91">
        <v>92168</v>
      </c>
      <c r="N35" s="91">
        <v>441</v>
      </c>
      <c r="O35" s="91">
        <v>0</v>
      </c>
      <c r="P35" s="91">
        <v>0</v>
      </c>
      <c r="Q35" s="91"/>
      <c r="R35" s="91"/>
      <c r="S35" s="91"/>
      <c r="T35" s="94"/>
    </row>
    <row r="36" spans="1:20" x14ac:dyDescent="0.25">
      <c r="A36" s="89">
        <v>2000</v>
      </c>
      <c r="B36" s="92">
        <v>263631</v>
      </c>
      <c r="C36" s="91">
        <v>0</v>
      </c>
      <c r="D36" s="91">
        <v>403</v>
      </c>
      <c r="E36" s="91">
        <v>0</v>
      </c>
      <c r="F36" s="91">
        <v>208276</v>
      </c>
      <c r="G36" s="91">
        <v>1202</v>
      </c>
      <c r="H36" s="91">
        <v>0</v>
      </c>
      <c r="I36" s="91">
        <v>190926</v>
      </c>
      <c r="J36" s="91">
        <v>56162</v>
      </c>
      <c r="K36" s="91">
        <v>0</v>
      </c>
      <c r="L36" s="91">
        <v>0</v>
      </c>
      <c r="M36" s="91">
        <v>74041</v>
      </c>
      <c r="N36" s="91">
        <v>0</v>
      </c>
      <c r="O36" s="91">
        <v>0</v>
      </c>
      <c r="P36" s="91">
        <v>0</v>
      </c>
      <c r="Q36" s="91"/>
      <c r="R36" s="91"/>
      <c r="S36" s="91"/>
      <c r="T36" s="94"/>
    </row>
    <row r="37" spans="1:20" x14ac:dyDescent="0.25">
      <c r="A37" s="89">
        <v>2001</v>
      </c>
      <c r="B37" s="92">
        <v>318735</v>
      </c>
      <c r="C37" s="91">
        <v>0</v>
      </c>
      <c r="D37" s="91">
        <v>1386</v>
      </c>
      <c r="E37" s="91">
        <v>0</v>
      </c>
      <c r="F37" s="91">
        <v>217593</v>
      </c>
      <c r="G37" s="91">
        <v>707</v>
      </c>
      <c r="H37" s="91">
        <v>0</v>
      </c>
      <c r="I37" s="91">
        <v>377605</v>
      </c>
      <c r="J37" s="91">
        <v>109373</v>
      </c>
      <c r="K37" s="91">
        <v>0</v>
      </c>
      <c r="L37" s="91">
        <v>1141</v>
      </c>
      <c r="M37" s="91">
        <v>42235</v>
      </c>
      <c r="N37" s="91">
        <v>1019</v>
      </c>
      <c r="O37" s="91">
        <v>0</v>
      </c>
      <c r="P37" s="91">
        <v>0</v>
      </c>
      <c r="Q37" s="91"/>
      <c r="R37" s="91"/>
      <c r="S37" s="91"/>
      <c r="T37" s="94"/>
    </row>
    <row r="38" spans="1:20" x14ac:dyDescent="0.25">
      <c r="A38" s="89">
        <v>2002</v>
      </c>
      <c r="B38" s="92">
        <v>235732</v>
      </c>
      <c r="C38" s="91">
        <v>0</v>
      </c>
      <c r="D38" s="91">
        <v>1542</v>
      </c>
      <c r="E38" s="91">
        <v>0</v>
      </c>
      <c r="F38" s="91">
        <v>206816</v>
      </c>
      <c r="G38" s="91">
        <v>4941</v>
      </c>
      <c r="H38" s="91">
        <v>0</v>
      </c>
      <c r="I38" s="91">
        <v>279338</v>
      </c>
      <c r="J38" s="91">
        <v>118996</v>
      </c>
      <c r="K38" s="91">
        <v>0</v>
      </c>
      <c r="L38" s="91">
        <v>1958</v>
      </c>
      <c r="M38" s="91">
        <v>53153</v>
      </c>
      <c r="N38" s="91">
        <v>0</v>
      </c>
      <c r="O38" s="91">
        <v>491</v>
      </c>
      <c r="P38" s="91">
        <v>0</v>
      </c>
      <c r="Q38" s="91"/>
      <c r="R38" s="91"/>
      <c r="S38" s="91"/>
      <c r="T38" s="94"/>
    </row>
    <row r="39" spans="1:20" x14ac:dyDescent="0.25">
      <c r="A39" s="89">
        <v>2003</v>
      </c>
      <c r="B39" s="92">
        <v>353526</v>
      </c>
      <c r="C39" s="91">
        <v>0</v>
      </c>
      <c r="D39" s="91">
        <v>2972</v>
      </c>
      <c r="E39" s="91">
        <v>0</v>
      </c>
      <c r="F39" s="91">
        <v>279767</v>
      </c>
      <c r="G39" s="91">
        <v>1343</v>
      </c>
      <c r="H39" s="91">
        <v>0</v>
      </c>
      <c r="I39" s="91">
        <v>264189</v>
      </c>
      <c r="J39" s="91">
        <v>248417</v>
      </c>
      <c r="K39" s="91">
        <v>0</v>
      </c>
      <c r="L39" s="91">
        <v>0</v>
      </c>
      <c r="M39" s="91">
        <v>65542</v>
      </c>
      <c r="N39" s="91">
        <v>0</v>
      </c>
      <c r="O39" s="91">
        <v>0</v>
      </c>
      <c r="P39" s="91">
        <v>0</v>
      </c>
      <c r="Q39" s="91"/>
      <c r="R39" s="91"/>
      <c r="S39" s="91"/>
      <c r="T39" s="94"/>
    </row>
    <row r="40" spans="1:20" x14ac:dyDescent="0.25">
      <c r="A40" s="89">
        <v>2004</v>
      </c>
      <c r="B40" s="92">
        <v>523653</v>
      </c>
      <c r="C40" s="91">
        <v>966</v>
      </c>
      <c r="D40" s="91">
        <v>1287</v>
      </c>
      <c r="E40" s="91">
        <v>0</v>
      </c>
      <c r="F40" s="91">
        <v>614279</v>
      </c>
      <c r="G40" s="91">
        <v>1272</v>
      </c>
      <c r="H40" s="91">
        <v>0</v>
      </c>
      <c r="I40" s="91">
        <v>224666</v>
      </c>
      <c r="J40" s="91">
        <v>511584</v>
      </c>
      <c r="K40" s="91">
        <v>0</v>
      </c>
      <c r="L40" s="91">
        <v>1194</v>
      </c>
      <c r="M40" s="91">
        <v>65365</v>
      </c>
      <c r="N40" s="91">
        <v>0</v>
      </c>
      <c r="O40" s="91">
        <v>0</v>
      </c>
      <c r="P40" s="91">
        <v>0</v>
      </c>
      <c r="Q40" s="91"/>
      <c r="R40" s="91"/>
      <c r="S40" s="91"/>
      <c r="T40" s="94"/>
    </row>
    <row r="41" spans="1:20" x14ac:dyDescent="0.25">
      <c r="A41" s="89">
        <v>2005</v>
      </c>
      <c r="B41" s="92">
        <v>360065</v>
      </c>
      <c r="C41" s="91">
        <v>0</v>
      </c>
      <c r="D41" s="91">
        <v>4747</v>
      </c>
      <c r="E41" s="91">
        <v>0</v>
      </c>
      <c r="F41" s="91">
        <v>420057</v>
      </c>
      <c r="G41" s="91">
        <v>1918</v>
      </c>
      <c r="H41" s="91">
        <v>0</v>
      </c>
      <c r="I41" s="91">
        <v>468763</v>
      </c>
      <c r="J41" s="91">
        <v>191547</v>
      </c>
      <c r="K41" s="91">
        <v>0</v>
      </c>
      <c r="L41" s="91">
        <v>0</v>
      </c>
      <c r="M41" s="91">
        <v>139448</v>
      </c>
      <c r="N41" s="91">
        <v>538</v>
      </c>
      <c r="O41" s="91">
        <v>0</v>
      </c>
      <c r="P41" s="91">
        <v>0</v>
      </c>
      <c r="Q41" s="91"/>
      <c r="R41" s="91"/>
      <c r="S41" s="91"/>
      <c r="T41" s="94"/>
    </row>
    <row r="42" spans="1:20" x14ac:dyDescent="0.25">
      <c r="A42" s="89">
        <v>2006</v>
      </c>
      <c r="B42" s="92">
        <v>389645</v>
      </c>
      <c r="C42" s="92">
        <v>0</v>
      </c>
      <c r="D42" s="92">
        <v>10151.553749492066</v>
      </c>
      <c r="E42" s="92">
        <v>0</v>
      </c>
      <c r="F42" s="92">
        <v>663234.84496681497</v>
      </c>
      <c r="G42" s="92">
        <v>7707.6611801699028</v>
      </c>
      <c r="H42" s="92">
        <v>0</v>
      </c>
      <c r="I42" s="92">
        <v>573938.77031850512</v>
      </c>
      <c r="J42" s="92">
        <v>515285.3486547732</v>
      </c>
      <c r="K42" s="92">
        <v>0</v>
      </c>
      <c r="L42" s="92">
        <v>0</v>
      </c>
      <c r="M42" s="92">
        <v>109599.18214729396</v>
      </c>
      <c r="N42" s="92">
        <v>0</v>
      </c>
      <c r="O42" s="92">
        <v>0</v>
      </c>
      <c r="P42" s="92">
        <v>0</v>
      </c>
      <c r="Q42" s="91"/>
      <c r="R42" s="91"/>
      <c r="S42" s="91"/>
      <c r="T42" s="94"/>
    </row>
    <row r="43" spans="1:20" x14ac:dyDescent="0.25">
      <c r="A43" s="89">
        <v>2007</v>
      </c>
      <c r="B43" s="92">
        <v>365184</v>
      </c>
      <c r="C43" s="92">
        <v>0</v>
      </c>
      <c r="D43" s="92">
        <v>7406.1356357801324</v>
      </c>
      <c r="E43" s="92">
        <v>0</v>
      </c>
      <c r="F43" s="92">
        <v>517850.89015806391</v>
      </c>
      <c r="G43" s="92">
        <v>1851.5339089450331</v>
      </c>
      <c r="H43" s="92">
        <v>0</v>
      </c>
      <c r="I43" s="92">
        <v>292889.52022124239</v>
      </c>
      <c r="J43" s="92">
        <v>222994.11515856741</v>
      </c>
      <c r="K43" s="92">
        <v>0</v>
      </c>
      <c r="L43" s="92">
        <v>0</v>
      </c>
      <c r="M43" s="92">
        <v>114216.49800804672</v>
      </c>
      <c r="N43" s="92">
        <v>0</v>
      </c>
      <c r="O43" s="92">
        <v>0</v>
      </c>
      <c r="P43" s="92">
        <v>0</v>
      </c>
      <c r="Q43" s="91"/>
      <c r="R43" s="91"/>
      <c r="S43" s="91"/>
      <c r="T43" s="94"/>
    </row>
    <row r="44" spans="1:20" x14ac:dyDescent="0.25">
      <c r="A44" s="89">
        <v>2008</v>
      </c>
      <c r="B44" s="92">
        <v>327018</v>
      </c>
      <c r="C44" s="92">
        <v>0</v>
      </c>
      <c r="D44" s="92">
        <v>5671.6011690919149</v>
      </c>
      <c r="E44" s="92">
        <v>0</v>
      </c>
      <c r="F44" s="92">
        <v>622458.22830783762</v>
      </c>
      <c r="G44" s="92">
        <v>2835.8005845459575</v>
      </c>
      <c r="H44" s="92">
        <v>0</v>
      </c>
      <c r="I44" s="92">
        <v>603710.43555445049</v>
      </c>
      <c r="J44" s="92">
        <v>282319.70263924199</v>
      </c>
      <c r="K44" s="92">
        <v>0</v>
      </c>
      <c r="L44" s="92">
        <v>0</v>
      </c>
      <c r="M44" s="92">
        <v>58449.000937030563</v>
      </c>
      <c r="N44" s="92">
        <v>0</v>
      </c>
      <c r="O44" s="92">
        <v>0</v>
      </c>
      <c r="P44" s="92">
        <v>0</v>
      </c>
      <c r="Q44" s="91"/>
      <c r="R44" s="91"/>
      <c r="S44" s="91"/>
      <c r="T44" s="94"/>
    </row>
    <row r="45" spans="1:20" x14ac:dyDescent="0.25">
      <c r="A45" s="89">
        <v>2009</v>
      </c>
      <c r="B45" s="92">
        <v>326283</v>
      </c>
      <c r="C45" s="92">
        <v>0</v>
      </c>
      <c r="D45" s="92">
        <v>8066.2985941441839</v>
      </c>
      <c r="E45" s="92">
        <v>0</v>
      </c>
      <c r="F45" s="92">
        <v>128287.29681919722</v>
      </c>
      <c r="G45" s="92">
        <v>24088.398541416878</v>
      </c>
      <c r="H45" s="92">
        <v>0</v>
      </c>
      <c r="I45" s="92">
        <v>501436.47972912749</v>
      </c>
      <c r="J45" s="92">
        <v>298674.04246536613</v>
      </c>
      <c r="K45" s="92">
        <v>0</v>
      </c>
      <c r="L45" s="92">
        <v>1988.9503382821276</v>
      </c>
      <c r="M45" s="92">
        <v>142430.94366920347</v>
      </c>
      <c r="N45" s="92">
        <v>0</v>
      </c>
      <c r="O45" s="92">
        <v>0</v>
      </c>
      <c r="P45" s="92">
        <v>0</v>
      </c>
      <c r="Q45" s="91"/>
      <c r="R45" s="91"/>
      <c r="S45" s="91"/>
      <c r="T45" s="94"/>
    </row>
    <row r="46" spans="1:20" x14ac:dyDescent="0.25">
      <c r="A46" s="89">
        <f t="shared" ref="A46:A51" si="0">A45+1</f>
        <v>2010</v>
      </c>
      <c r="B46" s="92">
        <v>295265</v>
      </c>
      <c r="C46" s="92">
        <v>1719.1092637399313</v>
      </c>
      <c r="D46" s="92">
        <v>8595.5463186996585</v>
      </c>
      <c r="E46" s="92">
        <v>0</v>
      </c>
      <c r="F46" s="92">
        <v>226513.11108420906</v>
      </c>
      <c r="G46" s="92">
        <v>12033.76484617952</v>
      </c>
      <c r="H46" s="92">
        <v>0</v>
      </c>
      <c r="I46" s="92">
        <v>255737.9685677879</v>
      </c>
      <c r="J46" s="92">
        <v>255737.9685677879</v>
      </c>
      <c r="K46" s="92">
        <v>0</v>
      </c>
      <c r="L46" s="92">
        <v>0</v>
      </c>
      <c r="M46" s="92">
        <v>58285.990275372911</v>
      </c>
      <c r="N46" s="92">
        <v>0</v>
      </c>
      <c r="O46" s="92">
        <v>0</v>
      </c>
      <c r="P46" s="92">
        <v>0</v>
      </c>
      <c r="Q46" s="91"/>
      <c r="R46" s="91"/>
      <c r="S46" s="91"/>
      <c r="T46" s="94"/>
    </row>
    <row r="47" spans="1:20" x14ac:dyDescent="0.25">
      <c r="A47" s="89">
        <f t="shared" si="0"/>
        <v>2011</v>
      </c>
      <c r="B47" s="92">
        <v>245721</v>
      </c>
      <c r="C47" s="92">
        <v>0</v>
      </c>
      <c r="D47" s="92">
        <v>11741.177927602817</v>
      </c>
      <c r="E47" s="92">
        <v>0</v>
      </c>
      <c r="F47" s="92">
        <v>110448.04616034649</v>
      </c>
      <c r="G47" s="92">
        <v>21781.909396725227</v>
      </c>
      <c r="H47" s="92">
        <v>0</v>
      </c>
      <c r="I47" s="92">
        <v>249074.91934693974</v>
      </c>
      <c r="J47" s="92">
        <v>207535.44157548976</v>
      </c>
      <c r="K47" s="92">
        <v>0</v>
      </c>
      <c r="L47" s="92">
        <v>0</v>
      </c>
      <c r="M47" s="92">
        <v>209154.91439309015</v>
      </c>
      <c r="N47" s="92">
        <v>0</v>
      </c>
      <c r="O47" s="92">
        <v>0</v>
      </c>
      <c r="P47" s="92">
        <v>0</v>
      </c>
      <c r="Q47" s="91"/>
      <c r="R47" s="91"/>
      <c r="S47" s="91"/>
      <c r="T47" s="94"/>
    </row>
    <row r="48" spans="1:20" x14ac:dyDescent="0.25">
      <c r="A48" s="89">
        <f t="shared" si="0"/>
        <v>2012</v>
      </c>
      <c r="B48" s="92">
        <v>374523</v>
      </c>
      <c r="C48" s="92">
        <v>0</v>
      </c>
      <c r="D48" s="92">
        <v>42815.25640527995</v>
      </c>
      <c r="E48" s="92">
        <v>0</v>
      </c>
      <c r="F48" s="92">
        <v>215277.89188120081</v>
      </c>
      <c r="G48" s="92">
        <v>28079.725027982717</v>
      </c>
      <c r="H48" s="92">
        <v>0</v>
      </c>
      <c r="I48" s="92">
        <v>66847.453501301192</v>
      </c>
      <c r="J48" s="92">
        <v>237981.99387454722</v>
      </c>
      <c r="K48" s="92">
        <v>0</v>
      </c>
      <c r="L48" s="92">
        <v>0</v>
      </c>
      <c r="M48" s="92">
        <v>41423.918678668197</v>
      </c>
      <c r="N48" s="92">
        <v>0</v>
      </c>
      <c r="O48" s="92">
        <v>0</v>
      </c>
      <c r="P48" s="92">
        <v>0</v>
      </c>
      <c r="Q48" s="91"/>
      <c r="R48" s="91"/>
      <c r="S48" s="91"/>
      <c r="T48" s="94"/>
    </row>
    <row r="49" spans="1:20" x14ac:dyDescent="0.25">
      <c r="A49" s="89">
        <f t="shared" si="0"/>
        <v>2013</v>
      </c>
      <c r="B49" s="92">
        <v>489654</v>
      </c>
      <c r="C49" s="92">
        <v>1905.8349895980134</v>
      </c>
      <c r="D49" s="92">
        <v>19459.578314842875</v>
      </c>
      <c r="E49" s="92">
        <v>0</v>
      </c>
      <c r="F49" s="92">
        <v>346059.51126911293</v>
      </c>
      <c r="G49" s="92">
        <v>11635.624147019449</v>
      </c>
      <c r="H49" s="92">
        <v>0</v>
      </c>
      <c r="I49" s="92">
        <v>268221.19800974149</v>
      </c>
      <c r="J49" s="92">
        <v>318775.97878644668</v>
      </c>
      <c r="K49" s="92">
        <v>0</v>
      </c>
      <c r="L49" s="92">
        <v>0</v>
      </c>
      <c r="M49" s="92">
        <v>37013.321640087735</v>
      </c>
      <c r="N49" s="92">
        <v>0</v>
      </c>
      <c r="O49" s="92">
        <v>0</v>
      </c>
      <c r="P49" s="92">
        <v>0</v>
      </c>
      <c r="Q49" s="91"/>
      <c r="R49" s="91"/>
      <c r="S49" s="91"/>
      <c r="T49" s="94"/>
    </row>
    <row r="50" spans="1:20" x14ac:dyDescent="0.25">
      <c r="A50" s="89">
        <f t="shared" si="0"/>
        <v>2014</v>
      </c>
      <c r="B50" s="92">
        <v>440192</v>
      </c>
      <c r="C50" s="92">
        <v>4191.1476732887177</v>
      </c>
      <c r="D50" s="92">
        <v>18970.457889622616</v>
      </c>
      <c r="E50" s="92">
        <v>0</v>
      </c>
      <c r="F50" s="92">
        <v>467312.96557169204</v>
      </c>
      <c r="G50" s="92">
        <v>29448.327072844411</v>
      </c>
      <c r="H50" s="92">
        <v>0</v>
      </c>
      <c r="I50" s="92">
        <v>324152.18452093529</v>
      </c>
      <c r="J50" s="92">
        <v>227314.61459600122</v>
      </c>
      <c r="K50" s="92">
        <v>0</v>
      </c>
      <c r="L50" s="92">
        <v>0</v>
      </c>
      <c r="M50" s="92">
        <v>31543.90090948877</v>
      </c>
      <c r="N50" s="92">
        <v>0</v>
      </c>
      <c r="O50" s="92">
        <v>0</v>
      </c>
      <c r="P50" s="92">
        <v>0</v>
      </c>
      <c r="Q50" s="91"/>
      <c r="R50" s="91"/>
      <c r="S50" s="91"/>
      <c r="T50" s="94"/>
    </row>
    <row r="51" spans="1:20" x14ac:dyDescent="0.25">
      <c r="A51" s="89">
        <f t="shared" si="0"/>
        <v>2015</v>
      </c>
      <c r="B51" s="92">
        <v>470677</v>
      </c>
      <c r="C51" s="92">
        <v>2232.3076383620182</v>
      </c>
      <c r="D51" s="92">
        <v>5522.0241580534139</v>
      </c>
      <c r="E51" s="92">
        <v>0</v>
      </c>
      <c r="F51" s="92">
        <v>246611.24910115139</v>
      </c>
      <c r="G51" s="92">
        <v>12218.947073139469</v>
      </c>
      <c r="H51" s="92">
        <v>0</v>
      </c>
      <c r="I51" s="92">
        <v>409452.21682587545</v>
      </c>
      <c r="J51" s="92">
        <v>415209.22073533537</v>
      </c>
      <c r="K51" s="92">
        <v>0</v>
      </c>
      <c r="L51" s="92">
        <v>0</v>
      </c>
      <c r="M51" s="92">
        <v>83652.791500724052</v>
      </c>
      <c r="N51" s="92">
        <v>0</v>
      </c>
      <c r="O51" s="92">
        <v>0</v>
      </c>
      <c r="P51" s="92">
        <v>0</v>
      </c>
      <c r="Q51" s="91"/>
      <c r="R51" s="91"/>
      <c r="S51" s="91"/>
      <c r="T51" s="94"/>
    </row>
    <row r="52" spans="1:20" x14ac:dyDescent="0.25">
      <c r="A52" s="89">
        <v>2016</v>
      </c>
      <c r="B52" s="92">
        <v>239981</v>
      </c>
      <c r="C52" s="92">
        <v>0</v>
      </c>
      <c r="D52" s="92">
        <v>7664.0974406954465</v>
      </c>
      <c r="E52" s="92">
        <v>0</v>
      </c>
      <c r="F52" s="92">
        <v>143497.01820703465</v>
      </c>
      <c r="G52" s="92">
        <v>9406.1020196721911</v>
      </c>
      <c r="H52" s="92">
        <v>0</v>
      </c>
      <c r="I52" s="92">
        <v>97688.404891731989</v>
      </c>
      <c r="J52" s="92">
        <v>188641.0346146427</v>
      </c>
      <c r="K52" s="92">
        <v>0</v>
      </c>
      <c r="L52" s="92">
        <v>719.75335638900765</v>
      </c>
      <c r="M52" s="92">
        <v>32517.750247606</v>
      </c>
      <c r="N52" s="92">
        <v>639.36020153678305</v>
      </c>
      <c r="O52" s="92">
        <v>0</v>
      </c>
      <c r="P52" s="92">
        <v>0</v>
      </c>
      <c r="Q52" s="91"/>
      <c r="R52" s="91"/>
      <c r="S52" s="91"/>
      <c r="T52" s="94"/>
    </row>
    <row r="53" spans="1:20" x14ac:dyDescent="0.25">
      <c r="A53" s="89">
        <v>2017</v>
      </c>
      <c r="B53" s="92">
        <v>358724</v>
      </c>
      <c r="C53" s="92">
        <v>0</v>
      </c>
      <c r="D53" s="92">
        <v>22034</v>
      </c>
      <c r="E53" s="92">
        <v>0</v>
      </c>
      <c r="F53" s="92">
        <v>284613</v>
      </c>
      <c r="G53" s="92">
        <v>32073</v>
      </c>
      <c r="H53" s="92">
        <v>0</v>
      </c>
      <c r="I53" s="92">
        <v>152743</v>
      </c>
      <c r="J53" s="92">
        <v>191458</v>
      </c>
      <c r="K53" s="92">
        <v>0</v>
      </c>
      <c r="L53" s="92">
        <v>954</v>
      </c>
      <c r="M53" s="92">
        <v>117098</v>
      </c>
      <c r="N53" s="92">
        <v>0</v>
      </c>
      <c r="O53" s="92">
        <v>929</v>
      </c>
      <c r="P53" s="92">
        <v>0</v>
      </c>
      <c r="Q53" s="91"/>
      <c r="R53" s="91"/>
      <c r="S53" s="91"/>
      <c r="T53" s="94"/>
    </row>
    <row r="54" spans="1:20" x14ac:dyDescent="0.25">
      <c r="A54" s="89">
        <v>2018</v>
      </c>
      <c r="B54" s="92">
        <v>388009</v>
      </c>
      <c r="C54" s="92">
        <v>0</v>
      </c>
      <c r="D54" s="92">
        <v>4649</v>
      </c>
      <c r="E54" s="92">
        <v>0</v>
      </c>
      <c r="F54" s="92">
        <v>368806</v>
      </c>
      <c r="G54" s="92">
        <v>9001</v>
      </c>
      <c r="H54" s="92">
        <v>0</v>
      </c>
      <c r="I54" s="92">
        <v>73061</v>
      </c>
      <c r="J54" s="92">
        <v>242906</v>
      </c>
      <c r="K54" s="92">
        <v>0</v>
      </c>
      <c r="L54" s="92">
        <v>0</v>
      </c>
      <c r="M54" s="92">
        <v>4579</v>
      </c>
      <c r="N54" s="92">
        <v>0</v>
      </c>
      <c r="O54" s="92">
        <v>0</v>
      </c>
      <c r="P54" s="92">
        <v>0</v>
      </c>
      <c r="Q54" s="91"/>
      <c r="R54" s="91"/>
      <c r="S54" s="91"/>
      <c r="T54" s="94"/>
    </row>
    <row r="56" spans="1:20" x14ac:dyDescent="0.25">
      <c r="A56" s="86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5"/>
      <c r="S56" s="95"/>
      <c r="T56" s="9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CCF8-2C12-4D91-BFE2-F41D36C25590}">
  <sheetPr codeName="Sheet5"/>
  <dimension ref="A1:U45"/>
  <sheetViews>
    <sheetView zoomScaleNormal="100" workbookViewId="0">
      <selection activeCell="E4" sqref="E4"/>
    </sheetView>
  </sheetViews>
  <sheetFormatPr defaultRowHeight="15" x14ac:dyDescent="0.25"/>
  <cols>
    <col min="1" max="4" width="9.140625" style="270"/>
    <col min="5" max="5" width="12.7109375" bestFit="1" customWidth="1"/>
    <col min="6" max="6" width="7.7109375" bestFit="1" customWidth="1"/>
  </cols>
  <sheetData>
    <row r="1" spans="1:21" ht="15.75" thickBot="1" x14ac:dyDescent="0.3">
      <c r="A1" s="271"/>
      <c r="B1" s="271"/>
      <c r="C1" s="271"/>
      <c r="D1" s="271"/>
      <c r="H1" s="271"/>
      <c r="I1" s="271"/>
      <c r="J1" s="271"/>
      <c r="K1" s="271"/>
      <c r="L1" s="271"/>
      <c r="N1" s="271"/>
      <c r="O1" s="271"/>
      <c r="R1" s="271"/>
      <c r="S1" s="271"/>
      <c r="T1" s="271"/>
    </row>
    <row r="2" spans="1:21" ht="15.75" thickBot="1" x14ac:dyDescent="0.3">
      <c r="B2" s="297" t="s">
        <v>7</v>
      </c>
      <c r="C2" s="297"/>
      <c r="H2" s="270"/>
      <c r="I2" s="269" t="s">
        <v>158</v>
      </c>
      <c r="J2" s="269"/>
      <c r="K2" s="269"/>
      <c r="L2" s="269"/>
      <c r="N2" s="296" t="s">
        <v>162</v>
      </c>
      <c r="O2" s="296"/>
      <c r="R2" s="296" t="s">
        <v>163</v>
      </c>
      <c r="S2" s="296"/>
      <c r="T2" s="296"/>
    </row>
    <row r="3" spans="1:21" ht="33.75" customHeight="1" thickBot="1" x14ac:dyDescent="0.3">
      <c r="A3" s="102" t="s">
        <v>3</v>
      </c>
      <c r="B3" s="102" t="s">
        <v>150</v>
      </c>
      <c r="C3" s="271" t="s">
        <v>151</v>
      </c>
      <c r="D3" s="271" t="s">
        <v>5</v>
      </c>
      <c r="E3" s="215" t="s">
        <v>152</v>
      </c>
      <c r="F3" s="215" t="s">
        <v>153</v>
      </c>
      <c r="H3" s="102" t="s">
        <v>3</v>
      </c>
      <c r="I3" s="102" t="s">
        <v>154</v>
      </c>
      <c r="J3" s="271" t="s">
        <v>156</v>
      </c>
      <c r="K3" s="271" t="s">
        <v>155</v>
      </c>
      <c r="L3" s="102" t="s">
        <v>157</v>
      </c>
      <c r="N3" s="271" t="s">
        <v>159</v>
      </c>
      <c r="O3" s="271" t="s">
        <v>161</v>
      </c>
      <c r="P3" s="214" t="s">
        <v>167</v>
      </c>
      <c r="R3" s="271" t="s">
        <v>160</v>
      </c>
      <c r="S3" s="271" t="s">
        <v>159</v>
      </c>
      <c r="T3" s="271" t="s">
        <v>161</v>
      </c>
      <c r="U3" s="214" t="s">
        <v>167</v>
      </c>
    </row>
    <row r="4" spans="1:21" x14ac:dyDescent="0.25">
      <c r="A4" s="263">
        <v>1980</v>
      </c>
      <c r="B4" s="264">
        <v>227</v>
      </c>
      <c r="C4" s="264">
        <v>566</v>
      </c>
      <c r="D4" s="264">
        <v>70</v>
      </c>
      <c r="E4" s="213">
        <f>SUM(C4,D4)</f>
        <v>636</v>
      </c>
      <c r="F4" s="275"/>
      <c r="H4" s="263">
        <v>1980</v>
      </c>
      <c r="I4" s="264">
        <v>4</v>
      </c>
      <c r="J4" s="264">
        <v>42</v>
      </c>
      <c r="K4" s="264">
        <v>52</v>
      </c>
      <c r="L4" s="263">
        <v>36</v>
      </c>
      <c r="N4" s="273">
        <f>K4/SUM($K4:$L4)*$E4</f>
        <v>375.81818181818181</v>
      </c>
      <c r="O4" s="273">
        <f>L4/SUM($K4:$L4)*$E4</f>
        <v>260.18181818181819</v>
      </c>
      <c r="P4" s="272">
        <f>O8+N7</f>
        <v>0</v>
      </c>
      <c r="R4" s="273">
        <f>IFERROR(I4/SUM($I4:$J4)*$B4,$I$44/SUM($I$44:$J$44)*$B4)</f>
        <v>19.739130434782609</v>
      </c>
      <c r="S4" s="273">
        <f>N4+IFERROR(J4/SUM($I4:$J4)*$B4,$J$44/SUM($I$44:$J$44)*$B4)</f>
        <v>583.07905138339925</v>
      </c>
      <c r="T4" s="273">
        <f>O4</f>
        <v>260.18181818181819</v>
      </c>
      <c r="U4" s="272">
        <f>T8+S7+R6</f>
        <v>0</v>
      </c>
    </row>
    <row r="5" spans="1:21" x14ac:dyDescent="0.25">
      <c r="A5" s="263">
        <v>1981</v>
      </c>
      <c r="B5" s="264">
        <v>189</v>
      </c>
      <c r="C5" s="264">
        <v>592</v>
      </c>
      <c r="D5" s="264">
        <v>299.71447999999981</v>
      </c>
      <c r="E5" s="213"/>
      <c r="F5" s="275"/>
      <c r="H5" s="263">
        <v>1981</v>
      </c>
      <c r="I5" s="294" t="s">
        <v>180</v>
      </c>
      <c r="J5" s="294"/>
      <c r="K5" s="264">
        <v>108</v>
      </c>
      <c r="L5" s="263">
        <v>82</v>
      </c>
      <c r="N5" s="273"/>
      <c r="O5" s="273"/>
      <c r="P5" s="272"/>
      <c r="R5" s="273"/>
      <c r="S5" s="273"/>
      <c r="T5" s="273"/>
      <c r="U5" s="272"/>
    </row>
    <row r="6" spans="1:21" x14ac:dyDescent="0.25">
      <c r="A6" s="263">
        <v>1982</v>
      </c>
      <c r="B6" s="264">
        <v>335</v>
      </c>
      <c r="C6" s="264">
        <v>417</v>
      </c>
      <c r="D6" s="264">
        <v>290.42914000000007</v>
      </c>
      <c r="E6" s="213"/>
      <c r="F6" s="275"/>
      <c r="H6" s="263">
        <v>1982</v>
      </c>
      <c r="I6" s="264">
        <v>2</v>
      </c>
      <c r="J6" s="264">
        <v>22</v>
      </c>
      <c r="K6" s="264">
        <v>75</v>
      </c>
      <c r="L6" s="263">
        <v>128</v>
      </c>
      <c r="N6" s="273"/>
      <c r="O6" s="273"/>
      <c r="P6" s="272"/>
      <c r="R6" s="273"/>
      <c r="S6" s="273"/>
      <c r="T6" s="273"/>
      <c r="U6" s="272"/>
    </row>
    <row r="7" spans="1:21" x14ac:dyDescent="0.25">
      <c r="A7" s="263">
        <v>1983</v>
      </c>
      <c r="B7" s="264">
        <v>224</v>
      </c>
      <c r="C7" s="264">
        <v>630</v>
      </c>
      <c r="D7" s="264">
        <v>473.22467999999941</v>
      </c>
      <c r="E7" s="213"/>
      <c r="F7" s="275"/>
      <c r="H7" s="263">
        <v>1983</v>
      </c>
      <c r="I7" s="264">
        <v>1</v>
      </c>
      <c r="J7" s="264">
        <v>35</v>
      </c>
      <c r="K7" s="264">
        <v>186</v>
      </c>
      <c r="L7" s="263">
        <v>208</v>
      </c>
      <c r="N7" s="273"/>
      <c r="O7" s="273"/>
      <c r="P7" s="272"/>
      <c r="R7" s="273"/>
      <c r="S7" s="273"/>
      <c r="T7" s="273"/>
      <c r="U7" s="272"/>
    </row>
    <row r="8" spans="1:21" x14ac:dyDescent="0.25">
      <c r="A8" s="263">
        <v>1984</v>
      </c>
      <c r="B8" s="264">
        <v>304</v>
      </c>
      <c r="C8" s="264">
        <v>614</v>
      </c>
      <c r="D8" s="264">
        <v>487.2879300000003</v>
      </c>
      <c r="E8" s="213"/>
      <c r="F8" s="275"/>
      <c r="H8" s="263">
        <v>1984</v>
      </c>
      <c r="I8" s="264">
        <v>3</v>
      </c>
      <c r="J8" s="264">
        <v>129</v>
      </c>
      <c r="K8" s="264">
        <v>148</v>
      </c>
      <c r="L8" s="263">
        <v>269</v>
      </c>
      <c r="N8" s="273"/>
      <c r="O8" s="273"/>
      <c r="P8" s="272"/>
      <c r="R8" s="273"/>
      <c r="S8" s="273"/>
      <c r="T8" s="273"/>
      <c r="U8" s="272"/>
    </row>
    <row r="9" spans="1:21" x14ac:dyDescent="0.25">
      <c r="A9" s="263">
        <v>1985</v>
      </c>
      <c r="B9" s="264">
        <v>119</v>
      </c>
      <c r="C9" s="264">
        <v>937</v>
      </c>
      <c r="D9" s="264">
        <v>709.8476600000015</v>
      </c>
      <c r="E9" s="213"/>
      <c r="F9" s="275"/>
      <c r="H9" s="263">
        <v>1985</v>
      </c>
      <c r="I9" s="294" t="s">
        <v>180</v>
      </c>
      <c r="J9" s="294"/>
      <c r="K9" s="264">
        <v>72</v>
      </c>
      <c r="L9" s="263">
        <v>94</v>
      </c>
      <c r="N9" s="273"/>
      <c r="O9" s="273"/>
      <c r="P9" s="272"/>
      <c r="R9" s="273"/>
      <c r="S9" s="273"/>
      <c r="T9" s="273"/>
      <c r="U9" s="272"/>
    </row>
    <row r="10" spans="1:21" x14ac:dyDescent="0.25">
      <c r="A10" s="263">
        <v>1986</v>
      </c>
      <c r="B10" s="264">
        <v>288</v>
      </c>
      <c r="C10" s="264">
        <v>428</v>
      </c>
      <c r="D10" s="264">
        <v>497.78054999999978</v>
      </c>
      <c r="E10" s="213"/>
      <c r="F10" s="275"/>
      <c r="H10" s="263">
        <v>1986</v>
      </c>
      <c r="I10" s="264">
        <v>5</v>
      </c>
      <c r="J10" s="264">
        <v>30</v>
      </c>
      <c r="K10" s="264">
        <v>126</v>
      </c>
      <c r="L10" s="263">
        <v>112</v>
      </c>
      <c r="N10" s="273"/>
      <c r="O10" s="273"/>
      <c r="P10" s="272"/>
      <c r="R10" s="273"/>
      <c r="S10" s="273"/>
      <c r="T10" s="273"/>
      <c r="U10" s="272"/>
    </row>
    <row r="11" spans="1:21" x14ac:dyDescent="0.25">
      <c r="A11" s="263">
        <v>1987</v>
      </c>
      <c r="B11" s="264">
        <v>206</v>
      </c>
      <c r="C11" s="264">
        <v>660</v>
      </c>
      <c r="D11" s="264">
        <v>531.02193999999929</v>
      </c>
      <c r="E11" s="213"/>
      <c r="F11" s="275"/>
      <c r="H11" s="263">
        <v>1987</v>
      </c>
      <c r="I11" s="294" t="s">
        <v>180</v>
      </c>
      <c r="J11" s="294"/>
      <c r="K11" s="264">
        <v>56</v>
      </c>
      <c r="L11" s="263">
        <v>66</v>
      </c>
      <c r="N11" s="273"/>
      <c r="O11" s="273"/>
      <c r="P11" s="272"/>
      <c r="R11" s="273"/>
      <c r="S11" s="273"/>
      <c r="T11" s="273"/>
      <c r="U11" s="272"/>
    </row>
    <row r="12" spans="1:21" x14ac:dyDescent="0.25">
      <c r="A12" s="263">
        <v>1988</v>
      </c>
      <c r="B12" s="264">
        <v>425</v>
      </c>
      <c r="C12" s="264">
        <v>736</v>
      </c>
      <c r="D12" s="264">
        <v>432.60441999999989</v>
      </c>
      <c r="E12" s="213"/>
      <c r="F12" s="275"/>
      <c r="H12" s="263">
        <v>1988</v>
      </c>
      <c r="I12" s="264">
        <v>7</v>
      </c>
      <c r="J12" s="264">
        <v>57</v>
      </c>
      <c r="K12" s="264">
        <v>118</v>
      </c>
      <c r="L12" s="263">
        <v>214</v>
      </c>
      <c r="N12" s="273"/>
      <c r="O12" s="273"/>
      <c r="P12" s="272"/>
      <c r="R12" s="273"/>
      <c r="S12" s="273"/>
      <c r="T12" s="273"/>
      <c r="U12" s="272"/>
    </row>
    <row r="13" spans="1:21" x14ac:dyDescent="0.25">
      <c r="A13" s="263">
        <v>1989</v>
      </c>
      <c r="B13" s="264">
        <v>311</v>
      </c>
      <c r="C13" s="264">
        <v>504</v>
      </c>
      <c r="D13" s="264">
        <v>615.73624000000018</v>
      </c>
      <c r="E13" s="213"/>
      <c r="F13" s="275"/>
      <c r="H13" s="263">
        <v>1989</v>
      </c>
      <c r="I13" s="294" t="s">
        <v>180</v>
      </c>
      <c r="J13" s="294"/>
      <c r="K13" s="264">
        <v>149</v>
      </c>
      <c r="L13" s="263">
        <v>268</v>
      </c>
      <c r="N13" s="273"/>
      <c r="O13" s="273"/>
      <c r="P13" s="272"/>
      <c r="R13" s="273"/>
      <c r="S13" s="273"/>
      <c r="T13" s="273"/>
      <c r="U13" s="272"/>
    </row>
    <row r="14" spans="1:21" x14ac:dyDescent="0.25">
      <c r="A14" s="263">
        <v>1990</v>
      </c>
      <c r="B14" s="264">
        <v>165</v>
      </c>
      <c r="C14" s="264">
        <v>678</v>
      </c>
      <c r="D14" s="264">
        <v>749.88875000000019</v>
      </c>
      <c r="E14" s="213"/>
      <c r="F14" s="275"/>
      <c r="H14" s="263">
        <v>1990</v>
      </c>
      <c r="I14" s="264">
        <v>0</v>
      </c>
      <c r="J14" s="264">
        <v>24</v>
      </c>
      <c r="K14" s="264">
        <v>62</v>
      </c>
      <c r="L14" s="263">
        <v>109</v>
      </c>
      <c r="N14" s="273"/>
      <c r="O14" s="273"/>
      <c r="P14" s="272"/>
      <c r="R14" s="273"/>
      <c r="S14" s="273"/>
      <c r="T14" s="273"/>
      <c r="U14" s="272"/>
    </row>
    <row r="15" spans="1:21" x14ac:dyDescent="0.25">
      <c r="A15" s="263">
        <v>1991</v>
      </c>
      <c r="B15" s="264">
        <v>314</v>
      </c>
      <c r="C15" s="264">
        <v>812</v>
      </c>
      <c r="D15" s="264">
        <v>183.14251000000007</v>
      </c>
      <c r="E15" s="213"/>
      <c r="F15" s="275"/>
      <c r="H15" s="263">
        <v>1991</v>
      </c>
      <c r="I15" s="264">
        <v>0</v>
      </c>
      <c r="J15" s="264">
        <v>29</v>
      </c>
      <c r="K15" s="264">
        <v>60</v>
      </c>
      <c r="L15" s="263">
        <v>153</v>
      </c>
      <c r="N15" s="273"/>
      <c r="O15" s="273"/>
      <c r="P15" s="272"/>
      <c r="R15" s="273"/>
      <c r="S15" s="273"/>
      <c r="T15" s="273"/>
      <c r="U15" s="272"/>
    </row>
    <row r="16" spans="1:21" x14ac:dyDescent="0.25">
      <c r="A16" s="263">
        <v>1992</v>
      </c>
      <c r="B16" s="264">
        <v>271</v>
      </c>
      <c r="C16" s="264">
        <v>1020</v>
      </c>
      <c r="D16" s="264">
        <v>295.41258000000016</v>
      </c>
      <c r="E16" s="213"/>
      <c r="F16" s="275"/>
      <c r="H16" s="263">
        <v>1992</v>
      </c>
      <c r="I16" s="264">
        <v>19</v>
      </c>
      <c r="J16" s="264">
        <v>70</v>
      </c>
      <c r="K16" s="264">
        <v>106</v>
      </c>
      <c r="L16" s="263">
        <v>164</v>
      </c>
      <c r="N16" s="273"/>
      <c r="O16" s="273"/>
      <c r="P16" s="272"/>
      <c r="R16" s="273"/>
      <c r="S16" s="273"/>
      <c r="T16" s="273"/>
      <c r="U16" s="272"/>
    </row>
    <row r="17" spans="1:21" x14ac:dyDescent="0.25">
      <c r="A17" s="263">
        <v>1993</v>
      </c>
      <c r="B17" s="264">
        <v>876</v>
      </c>
      <c r="C17" s="264">
        <v>774</v>
      </c>
      <c r="D17" s="264">
        <v>653.64895000000104</v>
      </c>
      <c r="E17" s="213"/>
      <c r="F17" s="275"/>
      <c r="H17" s="263">
        <v>1993</v>
      </c>
      <c r="I17" s="264">
        <v>53</v>
      </c>
      <c r="J17" s="264">
        <v>242</v>
      </c>
      <c r="K17" s="264">
        <v>135</v>
      </c>
      <c r="L17" s="263">
        <v>314</v>
      </c>
      <c r="N17" s="273"/>
      <c r="O17" s="273"/>
      <c r="P17" s="272"/>
      <c r="R17" s="273"/>
      <c r="S17" s="273"/>
      <c r="T17" s="273"/>
      <c r="U17" s="272"/>
    </row>
    <row r="18" spans="1:21" x14ac:dyDescent="0.25">
      <c r="A18" s="263">
        <v>1994</v>
      </c>
      <c r="B18" s="264">
        <v>212</v>
      </c>
      <c r="C18" s="264">
        <v>1253</v>
      </c>
      <c r="D18" s="264">
        <v>1402.3549300000036</v>
      </c>
      <c r="E18" s="213"/>
      <c r="F18" s="275"/>
      <c r="H18" s="263">
        <v>1994</v>
      </c>
      <c r="I18" s="264">
        <v>7</v>
      </c>
      <c r="J18" s="264">
        <v>79</v>
      </c>
      <c r="K18" s="264">
        <v>59</v>
      </c>
      <c r="L18" s="263">
        <v>191</v>
      </c>
      <c r="N18" s="273"/>
      <c r="O18" s="273"/>
      <c r="P18" s="272"/>
      <c r="R18" s="273"/>
      <c r="S18" s="273"/>
      <c r="T18" s="273"/>
      <c r="U18" s="272"/>
    </row>
    <row r="19" spans="1:21" x14ac:dyDescent="0.25">
      <c r="A19" s="263">
        <v>1995</v>
      </c>
      <c r="B19" s="264">
        <v>269</v>
      </c>
      <c r="C19" s="264">
        <v>455</v>
      </c>
      <c r="D19" s="264">
        <v>368.08043999999978</v>
      </c>
      <c r="E19" s="213"/>
      <c r="F19" s="275"/>
      <c r="H19" s="263">
        <v>1995</v>
      </c>
      <c r="I19" s="264">
        <v>7</v>
      </c>
      <c r="J19" s="264">
        <v>87</v>
      </c>
      <c r="K19" s="264">
        <v>107</v>
      </c>
      <c r="L19" s="263">
        <v>268</v>
      </c>
      <c r="N19" s="273"/>
      <c r="O19" s="273"/>
      <c r="P19" s="272"/>
      <c r="R19" s="273"/>
      <c r="S19" s="273"/>
      <c r="T19" s="273"/>
      <c r="U19" s="272"/>
    </row>
    <row r="20" spans="1:21" x14ac:dyDescent="0.25">
      <c r="A20" s="263">
        <v>1996</v>
      </c>
      <c r="B20" s="264">
        <v>168</v>
      </c>
      <c r="C20" s="264">
        <v>515</v>
      </c>
      <c r="D20" s="264">
        <v>637.19233000000099</v>
      </c>
      <c r="E20" s="213"/>
      <c r="F20" s="275"/>
      <c r="H20" s="263">
        <v>1996</v>
      </c>
      <c r="I20" s="264">
        <v>8</v>
      </c>
      <c r="J20" s="264">
        <v>54</v>
      </c>
      <c r="K20" s="264">
        <v>41</v>
      </c>
      <c r="L20" s="263">
        <v>140</v>
      </c>
      <c r="N20" s="273"/>
      <c r="O20" s="273"/>
      <c r="P20" s="272"/>
      <c r="R20" s="273"/>
      <c r="S20" s="273"/>
      <c r="T20" s="273"/>
      <c r="U20" s="272"/>
    </row>
    <row r="21" spans="1:21" x14ac:dyDescent="0.25">
      <c r="A21" s="263">
        <v>1997</v>
      </c>
      <c r="B21" s="264">
        <v>376</v>
      </c>
      <c r="C21" s="264">
        <v>606</v>
      </c>
      <c r="D21" s="264">
        <v>162.07450000000006</v>
      </c>
      <c r="E21" s="213"/>
      <c r="F21" s="275"/>
      <c r="H21" s="263">
        <v>1997</v>
      </c>
      <c r="I21" s="264">
        <v>5</v>
      </c>
      <c r="J21" s="264">
        <v>109</v>
      </c>
      <c r="K21" s="264">
        <v>132</v>
      </c>
      <c r="L21" s="263">
        <v>153</v>
      </c>
      <c r="N21" s="273"/>
      <c r="O21" s="273"/>
      <c r="P21" s="272"/>
      <c r="R21" s="273"/>
      <c r="S21" s="273"/>
      <c r="T21" s="273"/>
      <c r="U21" s="272"/>
    </row>
    <row r="22" spans="1:21" x14ac:dyDescent="0.25">
      <c r="A22" s="263">
        <v>1998</v>
      </c>
      <c r="B22" s="264">
        <v>442</v>
      </c>
      <c r="C22" s="264">
        <v>861</v>
      </c>
      <c r="D22" s="264">
        <v>532.80531999999971</v>
      </c>
      <c r="E22" s="213"/>
      <c r="F22" s="275"/>
      <c r="H22" s="263">
        <v>1998</v>
      </c>
      <c r="I22" s="264">
        <v>4</v>
      </c>
      <c r="J22" s="264">
        <v>58</v>
      </c>
      <c r="K22" s="264">
        <v>76</v>
      </c>
      <c r="L22" s="263">
        <v>123</v>
      </c>
      <c r="N22" s="273"/>
      <c r="O22" s="273"/>
      <c r="P22" s="272"/>
      <c r="R22" s="273"/>
      <c r="S22" s="273"/>
      <c r="T22" s="273"/>
      <c r="U22" s="272"/>
    </row>
    <row r="23" spans="1:21" x14ac:dyDescent="0.25">
      <c r="A23" s="263">
        <v>1999</v>
      </c>
      <c r="B23" s="264">
        <v>150</v>
      </c>
      <c r="C23" s="264">
        <v>844</v>
      </c>
      <c r="D23" s="264">
        <v>599.31523000000107</v>
      </c>
      <c r="E23" s="213"/>
      <c r="F23" s="275"/>
      <c r="H23" s="263">
        <v>1999</v>
      </c>
      <c r="I23" s="264">
        <v>3</v>
      </c>
      <c r="J23" s="264">
        <v>33</v>
      </c>
      <c r="K23" s="264">
        <v>74</v>
      </c>
      <c r="L23" s="263">
        <v>121</v>
      </c>
      <c r="N23" s="273"/>
      <c r="O23" s="273"/>
      <c r="P23" s="272"/>
      <c r="R23" s="273"/>
      <c r="S23" s="273"/>
      <c r="T23" s="273"/>
      <c r="U23" s="272"/>
    </row>
    <row r="24" spans="1:21" x14ac:dyDescent="0.25">
      <c r="A24" s="263">
        <v>2000</v>
      </c>
      <c r="B24" s="264">
        <v>206</v>
      </c>
      <c r="C24" s="264">
        <v>666</v>
      </c>
      <c r="D24" s="264">
        <v>334.50180000000017</v>
      </c>
      <c r="E24" s="213"/>
      <c r="F24" s="275"/>
      <c r="H24" s="263">
        <v>2000</v>
      </c>
      <c r="I24" s="264">
        <v>6</v>
      </c>
      <c r="J24" s="264">
        <v>26</v>
      </c>
      <c r="K24" s="264">
        <v>77</v>
      </c>
      <c r="L24" s="263">
        <v>229</v>
      </c>
      <c r="N24" s="273"/>
      <c r="O24" s="273"/>
      <c r="P24" s="272"/>
      <c r="R24" s="273"/>
      <c r="S24" s="273"/>
      <c r="T24" s="273"/>
      <c r="U24" s="272"/>
    </row>
    <row r="25" spans="1:21" x14ac:dyDescent="0.25">
      <c r="A25" s="263">
        <v>2001</v>
      </c>
      <c r="B25" s="264">
        <v>144</v>
      </c>
      <c r="C25" s="264">
        <v>844</v>
      </c>
      <c r="D25" s="264">
        <v>552.76404999999932</v>
      </c>
      <c r="E25" s="213"/>
      <c r="F25" s="275"/>
      <c r="H25" s="263">
        <v>2001</v>
      </c>
      <c r="I25" s="264">
        <v>4</v>
      </c>
      <c r="J25" s="264">
        <v>33</v>
      </c>
      <c r="K25" s="264">
        <v>156</v>
      </c>
      <c r="L25" s="263">
        <v>137</v>
      </c>
      <c r="N25" s="273"/>
      <c r="O25" s="273"/>
      <c r="P25" s="272"/>
      <c r="R25" s="273"/>
      <c r="S25" s="273"/>
      <c r="T25" s="273"/>
      <c r="U25" s="272"/>
    </row>
    <row r="26" spans="1:21" x14ac:dyDescent="0.25">
      <c r="A26" s="263">
        <v>2002</v>
      </c>
      <c r="B26" s="264">
        <v>97</v>
      </c>
      <c r="C26" s="264">
        <v>1112</v>
      </c>
      <c r="D26" s="264">
        <v>425.65190000000024</v>
      </c>
      <c r="E26" s="213"/>
      <c r="F26" s="275"/>
      <c r="H26" s="263">
        <v>2002</v>
      </c>
      <c r="I26" s="264">
        <v>4</v>
      </c>
      <c r="J26" s="264">
        <v>27</v>
      </c>
      <c r="K26" s="264">
        <v>157</v>
      </c>
      <c r="L26" s="263">
        <v>137</v>
      </c>
      <c r="N26" s="273"/>
      <c r="O26" s="273"/>
      <c r="P26" s="272"/>
      <c r="R26" s="273"/>
      <c r="S26" s="273"/>
      <c r="T26" s="273"/>
      <c r="U26" s="272"/>
    </row>
    <row r="27" spans="1:21" x14ac:dyDescent="0.25">
      <c r="A27" s="263">
        <v>2003</v>
      </c>
      <c r="B27" s="264">
        <v>219</v>
      </c>
      <c r="C27" s="264">
        <v>551</v>
      </c>
      <c r="D27" s="264">
        <v>301.79431000000022</v>
      </c>
      <c r="E27" s="213"/>
      <c r="F27" s="275"/>
      <c r="H27" s="263">
        <v>2003</v>
      </c>
      <c r="I27" s="264">
        <v>0</v>
      </c>
      <c r="J27" s="264">
        <v>60</v>
      </c>
      <c r="K27" s="264">
        <v>274</v>
      </c>
      <c r="L27" s="263">
        <v>226</v>
      </c>
      <c r="N27" s="273"/>
      <c r="O27" s="273"/>
      <c r="P27" s="272"/>
      <c r="R27" s="273"/>
      <c r="S27" s="273"/>
      <c r="T27" s="273"/>
      <c r="U27" s="272"/>
    </row>
    <row r="28" spans="1:21" x14ac:dyDescent="0.25">
      <c r="A28" s="263">
        <v>2004</v>
      </c>
      <c r="B28" s="264">
        <v>210</v>
      </c>
      <c r="C28" s="264">
        <v>412</v>
      </c>
      <c r="D28" s="264">
        <v>314.83476999999999</v>
      </c>
      <c r="E28" s="213"/>
      <c r="F28" s="275"/>
      <c r="H28" s="263">
        <v>2004</v>
      </c>
      <c r="I28" s="264">
        <v>3</v>
      </c>
      <c r="J28" s="264">
        <v>42</v>
      </c>
      <c r="K28" s="264">
        <v>105</v>
      </c>
      <c r="L28" s="263">
        <v>110</v>
      </c>
      <c r="N28" s="273"/>
      <c r="O28" s="273"/>
      <c r="P28" s="272"/>
      <c r="R28" s="273"/>
      <c r="S28" s="273"/>
      <c r="T28" s="273"/>
      <c r="U28" s="272"/>
    </row>
    <row r="29" spans="1:21" x14ac:dyDescent="0.25">
      <c r="A29" s="263">
        <v>2005</v>
      </c>
      <c r="B29" s="264">
        <v>253</v>
      </c>
      <c r="C29" s="264">
        <v>446</v>
      </c>
      <c r="D29" s="264">
        <v>299.40492000000006</v>
      </c>
      <c r="E29" s="213"/>
      <c r="F29" s="275"/>
      <c r="H29" s="263">
        <v>2005</v>
      </c>
      <c r="I29" s="264">
        <v>4</v>
      </c>
      <c r="J29" s="264">
        <v>66</v>
      </c>
      <c r="K29" s="264">
        <v>94</v>
      </c>
      <c r="L29" s="263">
        <v>108</v>
      </c>
      <c r="N29" s="273"/>
      <c r="O29" s="273"/>
      <c r="P29" s="272"/>
      <c r="R29" s="273"/>
      <c r="S29" s="273"/>
      <c r="T29" s="273"/>
      <c r="U29" s="272"/>
    </row>
    <row r="30" spans="1:21" x14ac:dyDescent="0.25">
      <c r="A30" s="263">
        <v>2006</v>
      </c>
      <c r="B30" s="264">
        <v>140</v>
      </c>
      <c r="C30" s="264">
        <v>580</v>
      </c>
      <c r="D30" s="264">
        <v>298.89670000000024</v>
      </c>
      <c r="E30" s="213"/>
      <c r="F30" s="275"/>
      <c r="H30" s="263">
        <v>2006</v>
      </c>
      <c r="I30" s="264">
        <v>4</v>
      </c>
      <c r="J30" s="264">
        <v>42</v>
      </c>
      <c r="K30" s="264">
        <v>153</v>
      </c>
      <c r="L30" s="263">
        <v>158</v>
      </c>
      <c r="N30" s="273"/>
      <c r="O30" s="273"/>
      <c r="P30" s="272"/>
      <c r="R30" s="273"/>
      <c r="S30" s="273"/>
      <c r="T30" s="273"/>
      <c r="U30" s="272"/>
    </row>
    <row r="31" spans="1:21" x14ac:dyDescent="0.25">
      <c r="A31" s="263">
        <v>2007</v>
      </c>
      <c r="B31" s="264">
        <v>106</v>
      </c>
      <c r="C31" s="264">
        <v>352</v>
      </c>
      <c r="D31" s="264">
        <v>184.25434000000007</v>
      </c>
      <c r="E31" s="213"/>
      <c r="F31" s="275"/>
      <c r="H31" s="263">
        <v>2007</v>
      </c>
      <c r="I31" s="264">
        <v>1</v>
      </c>
      <c r="J31" s="264">
        <v>27</v>
      </c>
      <c r="K31" s="264">
        <v>112</v>
      </c>
      <c r="L31" s="263">
        <v>86</v>
      </c>
      <c r="N31" s="273"/>
      <c r="O31" s="273"/>
      <c r="P31" s="272"/>
      <c r="R31" s="273"/>
      <c r="S31" s="273"/>
      <c r="T31" s="273"/>
      <c r="U31" s="272"/>
    </row>
    <row r="32" spans="1:21" x14ac:dyDescent="0.25">
      <c r="A32" s="263">
        <v>2008</v>
      </c>
      <c r="B32" s="264">
        <v>110</v>
      </c>
      <c r="C32" s="264">
        <v>600</v>
      </c>
      <c r="D32" s="264">
        <v>394.67338000000012</v>
      </c>
      <c r="E32" s="213"/>
      <c r="F32" s="275"/>
      <c r="H32" s="263">
        <v>2008</v>
      </c>
      <c r="I32" s="264">
        <v>5</v>
      </c>
      <c r="J32" s="264">
        <v>16</v>
      </c>
      <c r="K32" s="264">
        <v>88</v>
      </c>
      <c r="L32" s="263">
        <v>162</v>
      </c>
      <c r="N32" s="273"/>
      <c r="O32" s="273"/>
      <c r="P32" s="272"/>
      <c r="R32" s="273"/>
      <c r="S32" s="273"/>
      <c r="T32" s="273"/>
      <c r="U32" s="272"/>
    </row>
    <row r="33" spans="1:21" x14ac:dyDescent="0.25">
      <c r="A33" s="263">
        <v>2009</v>
      </c>
      <c r="B33" s="264">
        <v>140</v>
      </c>
      <c r="C33" s="264">
        <v>316</v>
      </c>
      <c r="D33" s="264">
        <v>232.85012000000017</v>
      </c>
      <c r="E33" s="213"/>
      <c r="F33" s="275"/>
      <c r="H33" s="263">
        <v>2009</v>
      </c>
      <c r="I33" s="264">
        <v>10</v>
      </c>
      <c r="J33" s="264">
        <v>38</v>
      </c>
      <c r="K33" s="264">
        <v>87</v>
      </c>
      <c r="L33" s="263">
        <v>74</v>
      </c>
      <c r="N33" s="273"/>
      <c r="O33" s="273"/>
      <c r="P33" s="272"/>
      <c r="R33" s="273"/>
      <c r="S33" s="273"/>
      <c r="T33" s="273"/>
      <c r="U33" s="272"/>
    </row>
    <row r="34" spans="1:21" x14ac:dyDescent="0.25">
      <c r="A34" s="263">
        <v>2010</v>
      </c>
      <c r="B34" s="264">
        <v>413</v>
      </c>
      <c r="C34" s="264">
        <v>406</v>
      </c>
      <c r="D34" s="264">
        <v>345.42230999999998</v>
      </c>
      <c r="E34" s="213"/>
      <c r="F34" s="275"/>
      <c r="H34" s="263">
        <v>2010</v>
      </c>
      <c r="I34" s="264">
        <v>4</v>
      </c>
      <c r="J34" s="264">
        <v>108</v>
      </c>
      <c r="K34" s="264">
        <v>64</v>
      </c>
      <c r="L34" s="263">
        <v>92</v>
      </c>
      <c r="N34" s="273"/>
      <c r="O34" s="273"/>
      <c r="P34" s="272"/>
      <c r="R34" s="273"/>
      <c r="S34" s="273"/>
      <c r="T34" s="273"/>
      <c r="U34" s="272"/>
    </row>
    <row r="35" spans="1:21" x14ac:dyDescent="0.25">
      <c r="A35" s="263">
        <v>2011</v>
      </c>
      <c r="B35" s="264">
        <v>375</v>
      </c>
      <c r="C35" s="264">
        <v>504</v>
      </c>
      <c r="D35" s="264">
        <v>276.07594</v>
      </c>
      <c r="E35" s="213"/>
      <c r="F35" s="275"/>
      <c r="H35" s="263">
        <v>2011</v>
      </c>
      <c r="I35" s="264">
        <v>4</v>
      </c>
      <c r="J35" s="264">
        <v>94</v>
      </c>
      <c r="K35" s="264">
        <v>42</v>
      </c>
      <c r="L35" s="263">
        <v>82</v>
      </c>
      <c r="N35" s="273"/>
      <c r="O35" s="273"/>
      <c r="P35" s="272"/>
      <c r="R35" s="273"/>
      <c r="S35" s="273"/>
      <c r="T35" s="273"/>
      <c r="U35" s="272"/>
    </row>
    <row r="36" spans="1:21" x14ac:dyDescent="0.25">
      <c r="A36" s="263">
        <v>2012</v>
      </c>
      <c r="B36" s="264">
        <v>120</v>
      </c>
      <c r="C36" s="264">
        <v>822</v>
      </c>
      <c r="D36" s="264">
        <v>244.8762000000001</v>
      </c>
      <c r="E36" s="213"/>
      <c r="F36" s="275"/>
      <c r="H36" s="263">
        <v>2012</v>
      </c>
      <c r="I36" s="264">
        <v>0</v>
      </c>
      <c r="J36" s="264">
        <v>27</v>
      </c>
      <c r="K36" s="264">
        <v>100</v>
      </c>
      <c r="L36" s="263">
        <v>128</v>
      </c>
      <c r="N36" s="273"/>
      <c r="O36" s="273"/>
      <c r="P36" s="272"/>
      <c r="R36" s="273"/>
      <c r="S36" s="273"/>
      <c r="T36" s="273"/>
      <c r="U36" s="272"/>
    </row>
    <row r="37" spans="1:21" x14ac:dyDescent="0.25">
      <c r="A37" s="263">
        <v>2013</v>
      </c>
      <c r="B37" s="264">
        <v>211</v>
      </c>
      <c r="C37" s="264">
        <v>720</v>
      </c>
      <c r="D37" s="264">
        <v>531.09338999999954</v>
      </c>
      <c r="E37" s="213"/>
      <c r="F37" s="275"/>
      <c r="H37" s="263">
        <v>2013</v>
      </c>
      <c r="I37" s="264">
        <v>1</v>
      </c>
      <c r="J37" s="264">
        <v>64</v>
      </c>
      <c r="K37" s="264">
        <v>61</v>
      </c>
      <c r="L37" s="263">
        <v>152</v>
      </c>
      <c r="N37" s="273"/>
      <c r="O37" s="273"/>
      <c r="P37" s="272"/>
      <c r="R37" s="273"/>
      <c r="S37" s="273"/>
      <c r="T37" s="273"/>
      <c r="U37" s="272"/>
    </row>
    <row r="38" spans="1:21" x14ac:dyDescent="0.25">
      <c r="A38" s="263">
        <v>2014</v>
      </c>
      <c r="B38" s="264">
        <v>289</v>
      </c>
      <c r="C38" s="264">
        <v>1440</v>
      </c>
      <c r="D38" s="264">
        <v>370.05299999999971</v>
      </c>
      <c r="E38" s="213"/>
      <c r="F38" s="275"/>
      <c r="H38" s="263">
        <v>2014</v>
      </c>
      <c r="I38" s="264">
        <v>1</v>
      </c>
      <c r="J38" s="264">
        <v>59</v>
      </c>
      <c r="K38" s="264">
        <v>164</v>
      </c>
      <c r="L38" s="263">
        <v>141</v>
      </c>
      <c r="N38" s="273"/>
      <c r="O38" s="273"/>
      <c r="P38" s="286"/>
      <c r="R38" s="273"/>
      <c r="S38" s="273"/>
      <c r="T38" s="273"/>
      <c r="U38" s="286"/>
    </row>
    <row r="39" spans="1:21" x14ac:dyDescent="0.25">
      <c r="A39" s="263">
        <v>2015</v>
      </c>
      <c r="B39" s="264">
        <v>73</v>
      </c>
      <c r="C39" s="264">
        <v>516</v>
      </c>
      <c r="D39" s="264">
        <v>173.41949000000002</v>
      </c>
      <c r="E39" s="213"/>
      <c r="F39" s="275"/>
      <c r="H39" s="263">
        <v>2015</v>
      </c>
      <c r="I39" s="264">
        <v>1</v>
      </c>
      <c r="J39" s="264">
        <v>22</v>
      </c>
      <c r="K39" s="264">
        <v>62</v>
      </c>
      <c r="L39" s="263">
        <v>91</v>
      </c>
      <c r="N39" s="273"/>
      <c r="O39" s="273"/>
      <c r="P39" s="286"/>
      <c r="R39" s="273"/>
      <c r="S39" s="273"/>
      <c r="T39" s="273"/>
      <c r="U39" s="286"/>
    </row>
    <row r="40" spans="1:21" x14ac:dyDescent="0.25">
      <c r="A40" s="263">
        <v>2016</v>
      </c>
      <c r="B40" s="264">
        <v>237</v>
      </c>
      <c r="C40" s="264">
        <v>195</v>
      </c>
      <c r="D40" s="264">
        <v>58</v>
      </c>
      <c r="E40" s="213"/>
      <c r="F40" s="275"/>
      <c r="H40" s="263">
        <v>2016</v>
      </c>
      <c r="I40" s="264">
        <v>8</v>
      </c>
      <c r="J40" s="264">
        <v>49</v>
      </c>
      <c r="K40" s="264">
        <v>27</v>
      </c>
      <c r="L40" s="263">
        <v>43</v>
      </c>
      <c r="N40" s="273"/>
      <c r="O40" s="273"/>
      <c r="P40" s="286"/>
      <c r="R40" s="273"/>
      <c r="S40" s="273"/>
      <c r="T40" s="273"/>
      <c r="U40" s="286"/>
    </row>
    <row r="41" spans="1:21" x14ac:dyDescent="0.25">
      <c r="A41" s="263">
        <v>2017</v>
      </c>
      <c r="B41" s="264">
        <v>19</v>
      </c>
      <c r="C41" s="264">
        <v>275</v>
      </c>
      <c r="D41" s="264">
        <v>190</v>
      </c>
      <c r="E41" s="213"/>
      <c r="F41" s="275"/>
      <c r="H41" s="263">
        <v>2017</v>
      </c>
      <c r="I41" s="264">
        <v>1</v>
      </c>
      <c r="J41" s="264">
        <v>4</v>
      </c>
      <c r="K41" s="264">
        <v>37</v>
      </c>
      <c r="L41" s="263">
        <v>24</v>
      </c>
      <c r="N41" s="273"/>
      <c r="O41" s="273"/>
      <c r="P41" s="286"/>
      <c r="R41" s="273"/>
      <c r="S41" s="273"/>
      <c r="T41" s="273"/>
      <c r="U41" s="286"/>
    </row>
    <row r="42" spans="1:21" x14ac:dyDescent="0.25">
      <c r="A42" s="263">
        <v>2018</v>
      </c>
      <c r="B42" s="264">
        <v>11</v>
      </c>
      <c r="C42" s="264">
        <v>129</v>
      </c>
      <c r="D42" s="265">
        <v>167</v>
      </c>
      <c r="E42" s="213"/>
      <c r="F42" s="275"/>
      <c r="H42" s="263">
        <v>2018</v>
      </c>
      <c r="I42" s="295" t="s">
        <v>180</v>
      </c>
      <c r="J42" s="295"/>
      <c r="K42" s="295"/>
      <c r="L42" s="295"/>
      <c r="P42" s="274"/>
      <c r="U42" s="274"/>
    </row>
    <row r="43" spans="1:21" x14ac:dyDescent="0.25">
      <c r="A43" s="266">
        <v>2019</v>
      </c>
      <c r="B43" s="267">
        <v>87</v>
      </c>
      <c r="C43" s="267">
        <v>296</v>
      </c>
      <c r="D43" s="268">
        <v>73</v>
      </c>
      <c r="E43" s="213"/>
      <c r="F43" s="275"/>
      <c r="H43" s="263">
        <v>2019</v>
      </c>
      <c r="I43" s="295"/>
      <c r="J43" s="295"/>
      <c r="K43" s="295"/>
      <c r="L43" s="295"/>
    </row>
    <row r="44" spans="1:21" x14ac:dyDescent="0.25">
      <c r="H44" s="287" t="s">
        <v>164</v>
      </c>
      <c r="I44" s="288">
        <f>SUM(I4:I41)</f>
        <v>189</v>
      </c>
      <c r="J44" s="288">
        <f>SUM(J4:J41)</f>
        <v>1904</v>
      </c>
      <c r="K44" s="288">
        <f>SUM(K4:K41)</f>
        <v>3802</v>
      </c>
      <c r="L44" s="288">
        <f>SUM(L4:L41)</f>
        <v>5393</v>
      </c>
    </row>
    <row r="45" spans="1:21" x14ac:dyDescent="0.25">
      <c r="C45" s="276"/>
      <c r="E45" s="276"/>
    </row>
  </sheetData>
  <mergeCells count="8">
    <mergeCell ref="I13:J13"/>
    <mergeCell ref="I11:J11"/>
    <mergeCell ref="I42:L43"/>
    <mergeCell ref="R2:T2"/>
    <mergeCell ref="B2:C2"/>
    <mergeCell ref="N2:O2"/>
    <mergeCell ref="I9:J9"/>
    <mergeCell ref="I5:J5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Q51"/>
  <sheetViews>
    <sheetView zoomScaleNormal="100" workbookViewId="0">
      <selection activeCell="O10" sqref="O10"/>
    </sheetView>
  </sheetViews>
  <sheetFormatPr defaultColWidth="8.85546875" defaultRowHeight="15" x14ac:dyDescent="0.25"/>
  <cols>
    <col min="1" max="1" width="8.85546875" style="38"/>
    <col min="2" max="2" width="13.42578125" style="42" customWidth="1"/>
    <col min="3" max="3" width="8.85546875" style="42"/>
    <col min="4" max="4" width="9" style="42" customWidth="1"/>
    <col min="5" max="5" width="10.7109375" style="42" customWidth="1"/>
    <col min="6" max="11" width="8.5703125" style="38" customWidth="1"/>
    <col min="12" max="16" width="8.85546875" style="38"/>
    <col min="17" max="17" width="9.85546875" style="38" customWidth="1"/>
    <col min="18" max="16384" width="8.85546875" style="38"/>
  </cols>
  <sheetData>
    <row r="1" spans="1:17" ht="17.25" x14ac:dyDescent="0.25">
      <c r="A1" s="61" t="s">
        <v>31</v>
      </c>
    </row>
    <row r="2" spans="1:17" x14ac:dyDescent="0.25">
      <c r="A2" s="98" t="s">
        <v>60</v>
      </c>
      <c r="B2" s="51"/>
      <c r="C2" s="51"/>
      <c r="D2" s="51"/>
      <c r="E2" s="51"/>
      <c r="J2" s="62"/>
      <c r="K2" s="62"/>
      <c r="L2" s="211"/>
      <c r="M2" s="211"/>
      <c r="N2" s="211"/>
      <c r="O2" s="211"/>
    </row>
    <row r="3" spans="1:17" x14ac:dyDescent="0.25">
      <c r="A3" s="98"/>
      <c r="B3" s="51"/>
      <c r="C3" s="51"/>
      <c r="D3" s="51"/>
      <c r="E3" s="51"/>
      <c r="J3" s="62"/>
      <c r="K3" s="62"/>
      <c r="L3" s="210">
        <f>F6/$J$6</f>
        <v>8.7770626097132822E-4</v>
      </c>
      <c r="M3" s="210">
        <f>G6/$J$6</f>
        <v>0.17495611468695144</v>
      </c>
      <c r="N3" s="210">
        <f>H6/$J$6</f>
        <v>0.78115857226448215</v>
      </c>
      <c r="O3" s="210">
        <f>I6/$J$6</f>
        <v>4.3007606787595083E-2</v>
      </c>
    </row>
    <row r="4" spans="1:17" x14ac:dyDescent="0.25">
      <c r="A4" s="100"/>
      <c r="B4" s="101"/>
      <c r="C4" s="101" t="s">
        <v>10</v>
      </c>
      <c r="D4" s="51"/>
      <c r="E4" s="51"/>
      <c r="F4" s="298" t="s">
        <v>57</v>
      </c>
      <c r="G4" s="298"/>
      <c r="H4" s="298"/>
      <c r="I4" s="298"/>
      <c r="J4" s="298"/>
      <c r="K4" s="202"/>
      <c r="L4" s="63"/>
    </row>
    <row r="5" spans="1:17" ht="29.1" customHeight="1" thickBot="1" x14ac:dyDescent="0.3">
      <c r="A5" s="102" t="s">
        <v>3</v>
      </c>
      <c r="B5" s="103" t="s">
        <v>61</v>
      </c>
      <c r="C5" s="104" t="s">
        <v>5</v>
      </c>
      <c r="D5" s="215" t="s">
        <v>137</v>
      </c>
      <c r="E5" s="215" t="s">
        <v>124</v>
      </c>
      <c r="F5" s="99">
        <v>0.2</v>
      </c>
      <c r="G5" s="99">
        <v>0.3</v>
      </c>
      <c r="H5" s="99">
        <v>0.4</v>
      </c>
      <c r="I5" s="99">
        <v>0.5</v>
      </c>
      <c r="J5" s="64" t="s">
        <v>58</v>
      </c>
      <c r="K5" s="212"/>
      <c r="L5" s="211" t="s">
        <v>125</v>
      </c>
      <c r="M5" s="211" t="s">
        <v>126</v>
      </c>
      <c r="N5" s="211" t="s">
        <v>127</v>
      </c>
      <c r="O5" s="211" t="s">
        <v>128</v>
      </c>
      <c r="Q5" s="214" t="s">
        <v>121</v>
      </c>
    </row>
    <row r="6" spans="1:17" x14ac:dyDescent="0.25">
      <c r="A6" s="65">
        <v>1976</v>
      </c>
      <c r="B6" s="66">
        <v>7.1</v>
      </c>
      <c r="C6" s="67">
        <v>16.890999999999998</v>
      </c>
      <c r="D6" s="213">
        <f>SUM(B6,C6)</f>
        <v>23.991</v>
      </c>
      <c r="E6" s="213"/>
      <c r="F6" s="68">
        <v>3</v>
      </c>
      <c r="G6" s="68">
        <v>598</v>
      </c>
      <c r="H6" s="68">
        <v>2670</v>
      </c>
      <c r="I6" s="68">
        <v>147</v>
      </c>
      <c r="J6" s="69">
        <f>SUM(F6:I6)</f>
        <v>3418</v>
      </c>
      <c r="K6" s="69"/>
      <c r="L6" s="216">
        <f>D6*L$3</f>
        <v>2.1057050906963134E-2</v>
      </c>
      <c r="M6" s="216">
        <f>F6*M$3</f>
        <v>0.52486834406085436</v>
      </c>
      <c r="N6" s="216">
        <f>G6*N$3</f>
        <v>467.13282621416033</v>
      </c>
      <c r="O6" s="216">
        <f>H6*O$3</f>
        <v>114.83031012287887</v>
      </c>
      <c r="Q6" s="39">
        <f>L9+M10+N11+O12</f>
        <v>0</v>
      </c>
    </row>
    <row r="7" spans="1:17" x14ac:dyDescent="0.25">
      <c r="A7" s="65">
        <v>1977</v>
      </c>
      <c r="B7" s="66">
        <v>41.2</v>
      </c>
      <c r="C7" s="67">
        <v>38.463000000000001</v>
      </c>
      <c r="D7" s="51"/>
      <c r="E7" s="51"/>
    </row>
    <row r="8" spans="1:17" x14ac:dyDescent="0.25">
      <c r="A8" s="65">
        <v>1978</v>
      </c>
      <c r="B8" s="66">
        <v>109.1</v>
      </c>
      <c r="C8" s="67">
        <v>4.9260000000000002</v>
      </c>
      <c r="D8" s="51"/>
      <c r="E8" s="51"/>
    </row>
    <row r="9" spans="1:17" x14ac:dyDescent="0.25">
      <c r="A9" s="65">
        <v>1979</v>
      </c>
      <c r="B9" s="66">
        <v>10.5</v>
      </c>
      <c r="C9" s="67">
        <v>6.4729999999999999</v>
      </c>
      <c r="D9" s="51"/>
      <c r="E9" s="51"/>
    </row>
    <row r="10" spans="1:17" x14ac:dyDescent="0.25">
      <c r="A10" s="65">
        <v>1980</v>
      </c>
      <c r="B10" s="66">
        <v>9.9</v>
      </c>
      <c r="C10" s="67">
        <v>6.3079999999999998</v>
      </c>
      <c r="D10" s="51"/>
      <c r="E10" s="51"/>
    </row>
    <row r="11" spans="1:17" x14ac:dyDescent="0.25">
      <c r="A11" s="65">
        <v>1981</v>
      </c>
      <c r="B11" s="66">
        <v>45.2</v>
      </c>
      <c r="C11" s="67">
        <v>11.558999999999999</v>
      </c>
      <c r="D11" s="51"/>
      <c r="E11" s="51"/>
    </row>
    <row r="12" spans="1:17" x14ac:dyDescent="0.25">
      <c r="A12" s="65">
        <v>1982</v>
      </c>
      <c r="B12" s="66">
        <v>36.6</v>
      </c>
      <c r="C12" s="67">
        <v>32.582000000000001</v>
      </c>
      <c r="D12" s="51"/>
      <c r="E12" s="51"/>
    </row>
    <row r="13" spans="1:17" x14ac:dyDescent="0.25">
      <c r="A13" s="65">
        <v>1983</v>
      </c>
      <c r="B13" s="66">
        <v>56.3</v>
      </c>
      <c r="C13" s="67">
        <v>67.850999999999999</v>
      </c>
      <c r="D13" s="51"/>
      <c r="E13" s="51"/>
    </row>
    <row r="14" spans="1:17" x14ac:dyDescent="0.25">
      <c r="A14" s="65">
        <v>1984</v>
      </c>
      <c r="B14" s="66">
        <v>26.6</v>
      </c>
      <c r="C14" s="67">
        <v>12.026999999999999</v>
      </c>
      <c r="D14" s="51"/>
      <c r="E14" s="51"/>
    </row>
    <row r="15" spans="1:17" x14ac:dyDescent="0.25">
      <c r="A15" s="65">
        <v>1985</v>
      </c>
      <c r="B15" s="66">
        <v>10.8</v>
      </c>
      <c r="C15" s="67">
        <v>3.3000000000000002E-2</v>
      </c>
      <c r="D15" s="51"/>
      <c r="E15" s="51"/>
    </row>
    <row r="16" spans="1:17" x14ac:dyDescent="0.25">
      <c r="A16" s="65">
        <v>1986</v>
      </c>
      <c r="B16" s="66">
        <v>31.9</v>
      </c>
      <c r="C16" s="67">
        <v>12.906000000000001</v>
      </c>
      <c r="D16" s="51"/>
      <c r="E16" s="51"/>
    </row>
    <row r="17" spans="1:5" x14ac:dyDescent="0.25">
      <c r="A17" s="65">
        <v>1987</v>
      </c>
      <c r="B17" s="66">
        <v>32.700000000000003</v>
      </c>
      <c r="C17" s="67">
        <v>32.006999999999998</v>
      </c>
      <c r="D17" s="51"/>
      <c r="E17" s="51"/>
    </row>
    <row r="18" spans="1:5" x14ac:dyDescent="0.25">
      <c r="A18" s="65">
        <v>1988</v>
      </c>
      <c r="B18" s="66">
        <v>59.1</v>
      </c>
      <c r="C18" s="67">
        <v>55.686</v>
      </c>
      <c r="D18" s="51"/>
      <c r="E18" s="51"/>
    </row>
    <row r="19" spans="1:5" x14ac:dyDescent="0.25">
      <c r="A19" s="65">
        <v>1989</v>
      </c>
      <c r="B19" s="66">
        <v>49.3</v>
      </c>
      <c r="C19" s="67">
        <v>5.3999999999999999E-2</v>
      </c>
      <c r="D19" s="51"/>
      <c r="E19" s="51"/>
    </row>
    <row r="20" spans="1:5" x14ac:dyDescent="0.25">
      <c r="A20" s="65">
        <v>1990</v>
      </c>
      <c r="B20" s="66">
        <v>13.9</v>
      </c>
      <c r="C20" s="67">
        <v>0.13800000000000001</v>
      </c>
      <c r="D20" s="51"/>
      <c r="E20" s="51"/>
    </row>
    <row r="21" spans="1:5" x14ac:dyDescent="0.25">
      <c r="A21" s="65">
        <v>1991</v>
      </c>
      <c r="B21" s="66">
        <v>6.8</v>
      </c>
      <c r="C21" s="67">
        <v>9.5000000000000001E-2</v>
      </c>
      <c r="D21" s="51"/>
      <c r="E21" s="51"/>
    </row>
    <row r="22" spans="1:5" x14ac:dyDescent="0.25">
      <c r="A22" s="65">
        <v>1992</v>
      </c>
      <c r="B22" s="66">
        <v>23.3</v>
      </c>
      <c r="C22" s="67">
        <v>2.0409999999999999</v>
      </c>
      <c r="D22" s="51"/>
      <c r="E22" s="51"/>
    </row>
    <row r="23" spans="1:5" x14ac:dyDescent="0.25">
      <c r="A23" s="65">
        <v>1993</v>
      </c>
      <c r="B23" s="66">
        <v>19.3</v>
      </c>
      <c r="C23" s="67">
        <v>0.374</v>
      </c>
      <c r="D23" s="51"/>
      <c r="E23" s="51"/>
    </row>
    <row r="24" spans="1:5" x14ac:dyDescent="0.25">
      <c r="A24" s="65">
        <v>1994</v>
      </c>
      <c r="B24" s="66">
        <v>12.7</v>
      </c>
      <c r="C24" s="67">
        <v>0</v>
      </c>
      <c r="D24" s="51"/>
      <c r="E24" s="51"/>
    </row>
    <row r="25" spans="1:5" x14ac:dyDescent="0.25">
      <c r="A25" s="65">
        <v>1995</v>
      </c>
      <c r="B25" s="66">
        <v>12.2</v>
      </c>
      <c r="C25" s="67">
        <v>3.0000000000000001E-3</v>
      </c>
      <c r="D25" s="51"/>
      <c r="E25" s="51"/>
    </row>
    <row r="26" spans="1:5" x14ac:dyDescent="0.25">
      <c r="A26" s="65">
        <v>1996</v>
      </c>
      <c r="B26" s="66">
        <v>23.1</v>
      </c>
      <c r="C26" s="67">
        <v>0</v>
      </c>
      <c r="D26" s="51"/>
      <c r="E26" s="51"/>
    </row>
    <row r="27" spans="1:5" x14ac:dyDescent="0.25">
      <c r="A27" s="65">
        <v>1997</v>
      </c>
      <c r="B27" s="66">
        <v>32.4</v>
      </c>
      <c r="C27" s="67">
        <v>3.0000000000000001E-3</v>
      </c>
      <c r="D27" s="51"/>
      <c r="E27" s="51"/>
    </row>
    <row r="28" spans="1:5" x14ac:dyDescent="0.25">
      <c r="A28" s="65">
        <v>1998</v>
      </c>
      <c r="B28" s="66">
        <v>19.899999999999999</v>
      </c>
      <c r="C28" s="67">
        <v>0</v>
      </c>
      <c r="D28" s="51"/>
      <c r="E28" s="51"/>
    </row>
    <row r="29" spans="1:5" x14ac:dyDescent="0.25">
      <c r="A29" s="65">
        <v>1999</v>
      </c>
      <c r="B29" s="66">
        <v>10.199999999999999</v>
      </c>
      <c r="C29" s="67">
        <v>0</v>
      </c>
      <c r="D29" s="51"/>
      <c r="E29" s="51"/>
    </row>
    <row r="30" spans="1:5" x14ac:dyDescent="0.25">
      <c r="A30" s="65">
        <v>2000</v>
      </c>
      <c r="B30" s="66">
        <v>17.7</v>
      </c>
      <c r="C30" s="67">
        <v>0</v>
      </c>
      <c r="D30" s="51"/>
      <c r="E30" s="51"/>
    </row>
    <row r="31" spans="1:5" x14ac:dyDescent="0.25">
      <c r="A31" s="65">
        <v>2001</v>
      </c>
      <c r="B31" s="66">
        <v>16.899999999999999</v>
      </c>
      <c r="C31" s="67">
        <v>2E-3</v>
      </c>
      <c r="D31" s="51"/>
      <c r="E31" s="51"/>
    </row>
    <row r="32" spans="1:5" x14ac:dyDescent="0.25">
      <c r="A32" s="70">
        <v>2002</v>
      </c>
      <c r="B32" s="71">
        <v>17.5</v>
      </c>
      <c r="C32" s="72">
        <v>0</v>
      </c>
      <c r="D32" s="51"/>
      <c r="E32" s="51"/>
    </row>
    <row r="33" spans="1:5" x14ac:dyDescent="0.25">
      <c r="A33" s="70">
        <v>2003</v>
      </c>
      <c r="B33" s="71">
        <v>29.3</v>
      </c>
      <c r="C33" s="72">
        <v>0</v>
      </c>
      <c r="D33" s="51"/>
      <c r="E33" s="51"/>
    </row>
    <row r="34" spans="1:5" x14ac:dyDescent="0.25">
      <c r="A34" s="70">
        <v>2004</v>
      </c>
      <c r="B34" s="71">
        <v>14.6</v>
      </c>
      <c r="C34" s="72">
        <v>0</v>
      </c>
      <c r="D34" s="51"/>
      <c r="E34" s="51"/>
    </row>
    <row r="35" spans="1:5" x14ac:dyDescent="0.25">
      <c r="A35" s="70">
        <v>2005</v>
      </c>
      <c r="B35" s="71">
        <v>22.5</v>
      </c>
      <c r="C35" s="72">
        <v>0</v>
      </c>
      <c r="D35" s="51"/>
      <c r="E35" s="51"/>
    </row>
    <row r="36" spans="1:5" x14ac:dyDescent="0.25">
      <c r="A36" s="70">
        <v>2006</v>
      </c>
      <c r="B36" s="71">
        <v>17.399999999999999</v>
      </c>
      <c r="C36" s="72">
        <v>2E-3</v>
      </c>
      <c r="D36" s="51"/>
      <c r="E36" s="51"/>
    </row>
    <row r="37" spans="1:5" x14ac:dyDescent="0.25">
      <c r="A37" s="70">
        <v>2007</v>
      </c>
      <c r="B37" s="71">
        <v>21.6</v>
      </c>
      <c r="C37" s="72">
        <v>0</v>
      </c>
      <c r="D37" s="51"/>
      <c r="E37" s="51"/>
    </row>
    <row r="38" spans="1:5" x14ac:dyDescent="0.25">
      <c r="A38" s="70">
        <v>2008</v>
      </c>
      <c r="B38" s="71">
        <v>10.6</v>
      </c>
      <c r="C38" s="72">
        <v>0</v>
      </c>
      <c r="D38" s="51"/>
      <c r="E38" s="51"/>
    </row>
    <row r="39" spans="1:5" x14ac:dyDescent="0.25">
      <c r="A39" s="70">
        <v>2009</v>
      </c>
      <c r="B39" s="71">
        <v>18.8</v>
      </c>
      <c r="C39" s="72">
        <v>0</v>
      </c>
      <c r="D39" s="51"/>
      <c r="E39" s="51"/>
    </row>
    <row r="40" spans="1:5" x14ac:dyDescent="0.25">
      <c r="A40" s="70">
        <v>2010</v>
      </c>
      <c r="B40" s="71">
        <v>10.5</v>
      </c>
      <c r="C40" s="72">
        <v>0</v>
      </c>
      <c r="D40" s="51"/>
      <c r="E40" s="51"/>
    </row>
    <row r="41" spans="1:5" x14ac:dyDescent="0.25">
      <c r="A41" s="70">
        <v>2011</v>
      </c>
      <c r="B41" s="71">
        <v>31</v>
      </c>
      <c r="C41" s="72">
        <v>0</v>
      </c>
      <c r="D41" s="51"/>
      <c r="E41" s="51"/>
    </row>
    <row r="42" spans="1:5" x14ac:dyDescent="0.25">
      <c r="A42" s="70">
        <v>2012</v>
      </c>
      <c r="B42" s="71">
        <v>10.4</v>
      </c>
      <c r="C42" s="72">
        <v>0</v>
      </c>
      <c r="D42" s="51"/>
      <c r="E42" s="51"/>
    </row>
    <row r="43" spans="1:5" x14ac:dyDescent="0.25">
      <c r="A43" s="73">
        <v>2013</v>
      </c>
      <c r="B43" s="74">
        <v>9.5</v>
      </c>
      <c r="C43" s="72">
        <v>0</v>
      </c>
      <c r="D43" s="51"/>
      <c r="E43" s="51"/>
    </row>
    <row r="44" spans="1:5" x14ac:dyDescent="0.25">
      <c r="A44" s="70">
        <v>2014</v>
      </c>
      <c r="B44" s="75">
        <v>17.475000000000001</v>
      </c>
      <c r="C44" s="72">
        <v>0</v>
      </c>
      <c r="D44" s="51"/>
      <c r="E44" s="51"/>
    </row>
    <row r="45" spans="1:5" x14ac:dyDescent="0.25">
      <c r="A45" s="73">
        <v>2015</v>
      </c>
      <c r="B45" s="76">
        <v>20.494</v>
      </c>
      <c r="C45" s="72">
        <v>0</v>
      </c>
      <c r="D45" s="51"/>
      <c r="E45" s="51"/>
    </row>
    <row r="46" spans="1:5" x14ac:dyDescent="0.25">
      <c r="A46" s="70">
        <v>2016</v>
      </c>
      <c r="B46" s="75">
        <v>26.262</v>
      </c>
      <c r="C46" s="72">
        <v>0</v>
      </c>
      <c r="D46" s="51"/>
      <c r="E46" s="51"/>
    </row>
    <row r="47" spans="1:5" x14ac:dyDescent="0.25">
      <c r="A47" s="73">
        <v>2017</v>
      </c>
      <c r="B47" s="76">
        <v>38.679000000000002</v>
      </c>
      <c r="C47" s="72">
        <v>0</v>
      </c>
      <c r="D47" s="51"/>
      <c r="E47" s="51"/>
    </row>
    <row r="48" spans="1:5" x14ac:dyDescent="0.25">
      <c r="A48" s="77">
        <v>2018</v>
      </c>
      <c r="B48" s="78">
        <v>37.331000000000003</v>
      </c>
      <c r="C48" s="79">
        <v>0</v>
      </c>
      <c r="D48" s="51"/>
      <c r="E48" s="51"/>
    </row>
    <row r="49" spans="1:5" x14ac:dyDescent="0.25">
      <c r="D49" s="51"/>
      <c r="E49" s="51"/>
    </row>
    <row r="50" spans="1:5" ht="15.75" x14ac:dyDescent="0.25">
      <c r="A50" s="80" t="s">
        <v>32</v>
      </c>
    </row>
    <row r="51" spans="1:5" x14ac:dyDescent="0.25">
      <c r="A51" s="81" t="s">
        <v>11</v>
      </c>
    </row>
  </sheetData>
  <mergeCells count="1">
    <mergeCell ref="F4:J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60"/>
  <sheetViews>
    <sheetView topLeftCell="A8" zoomScaleNormal="100" workbookViewId="0">
      <selection activeCell="V39" sqref="V39"/>
    </sheetView>
  </sheetViews>
  <sheetFormatPr defaultColWidth="8.85546875" defaultRowHeight="15" x14ac:dyDescent="0.25"/>
  <cols>
    <col min="1" max="1" width="8.85546875" style="38"/>
    <col min="2" max="2" width="11.140625" style="38" customWidth="1"/>
    <col min="3" max="3" width="9.85546875" style="38" customWidth="1"/>
    <col min="4" max="4" width="9" style="38" customWidth="1"/>
    <col min="5" max="7" width="9.85546875" style="38" customWidth="1"/>
    <col min="8" max="8" width="11" style="38" customWidth="1"/>
    <col min="9" max="9" width="9.5703125" style="38" customWidth="1"/>
    <col min="10" max="10" width="2.5703125" style="38" customWidth="1"/>
    <col min="11" max="11" width="15.5703125" style="38" customWidth="1"/>
    <col min="12" max="12" width="2.85546875" style="38" customWidth="1"/>
    <col min="13" max="13" width="10.140625" style="38" customWidth="1"/>
    <col min="14" max="14" width="2.85546875" style="38" customWidth="1"/>
    <col min="15" max="15" width="10.140625" style="38" customWidth="1"/>
    <col min="16" max="16" width="18.5703125" style="38" customWidth="1"/>
    <col min="17" max="17" width="16.140625" style="38" customWidth="1"/>
    <col min="18" max="16384" width="8.85546875" style="38"/>
  </cols>
  <sheetData>
    <row r="1" spans="1:15" x14ac:dyDescent="0.25">
      <c r="A1" s="37" t="s">
        <v>33</v>
      </c>
    </row>
    <row r="2" spans="1:15" x14ac:dyDescent="0.25">
      <c r="A2" s="219"/>
      <c r="B2" s="220"/>
      <c r="C2" s="220"/>
      <c r="D2" s="220"/>
      <c r="E2" s="220"/>
      <c r="F2" s="220"/>
      <c r="G2" s="220"/>
      <c r="H2" s="220"/>
      <c r="I2" s="220"/>
      <c r="J2" s="220"/>
      <c r="K2" s="221"/>
      <c r="L2" s="220"/>
      <c r="M2" s="220"/>
      <c r="N2" s="220"/>
      <c r="O2" s="222"/>
    </row>
    <row r="3" spans="1:15" x14ac:dyDescent="0.25">
      <c r="A3" s="223"/>
      <c r="B3" s="299" t="s">
        <v>130</v>
      </c>
      <c r="C3" s="299"/>
      <c r="D3" s="299"/>
      <c r="E3" s="299"/>
      <c r="F3" s="299"/>
      <c r="G3" s="299"/>
      <c r="H3" s="299"/>
      <c r="I3" s="299"/>
      <c r="J3" s="299"/>
      <c r="K3" s="299"/>
      <c r="L3" s="224"/>
      <c r="M3" s="224" t="s">
        <v>21</v>
      </c>
      <c r="N3" s="224"/>
      <c r="O3" s="225" t="s">
        <v>2</v>
      </c>
    </row>
    <row r="4" spans="1:15" x14ac:dyDescent="0.25">
      <c r="A4" s="226" t="s">
        <v>3</v>
      </c>
      <c r="B4" s="227" t="s">
        <v>13</v>
      </c>
      <c r="C4" s="227" t="s">
        <v>14</v>
      </c>
      <c r="D4" s="227" t="s">
        <v>15</v>
      </c>
      <c r="E4" s="227" t="s">
        <v>16</v>
      </c>
      <c r="F4" s="228" t="s">
        <v>17</v>
      </c>
      <c r="G4" s="228" t="s">
        <v>18</v>
      </c>
      <c r="H4" s="228" t="s">
        <v>19</v>
      </c>
      <c r="I4" s="228" t="s">
        <v>20</v>
      </c>
      <c r="J4" s="229"/>
      <c r="K4" s="228" t="s">
        <v>12</v>
      </c>
      <c r="L4" s="220"/>
      <c r="M4" s="228" t="s">
        <v>5</v>
      </c>
      <c r="N4" s="220"/>
      <c r="O4" s="222" t="s">
        <v>4</v>
      </c>
    </row>
    <row r="5" spans="1:15" x14ac:dyDescent="0.25">
      <c r="A5" s="223" t="s">
        <v>34</v>
      </c>
      <c r="B5" s="230"/>
      <c r="C5" s="230"/>
      <c r="D5" s="230"/>
      <c r="E5" s="230"/>
      <c r="F5" s="231"/>
      <c r="G5" s="231"/>
      <c r="H5" s="231"/>
      <c r="I5" s="231"/>
      <c r="J5" s="232"/>
      <c r="K5" s="231"/>
      <c r="L5" s="233"/>
      <c r="M5" s="231"/>
      <c r="N5" s="233"/>
      <c r="O5" s="234"/>
    </row>
    <row r="6" spans="1:15" ht="15.75" thickBot="1" x14ac:dyDescent="0.3">
      <c r="A6" s="235">
        <v>1981</v>
      </c>
      <c r="B6" s="236">
        <v>543023</v>
      </c>
      <c r="C6" s="236">
        <v>221272</v>
      </c>
      <c r="D6" s="236">
        <v>87281</v>
      </c>
      <c r="E6" s="236">
        <v>58123</v>
      </c>
      <c r="F6" s="237"/>
      <c r="G6" s="236">
        <v>106757</v>
      </c>
      <c r="H6" s="236">
        <v>176488</v>
      </c>
      <c r="I6" s="236">
        <v>199729</v>
      </c>
      <c r="J6" s="237"/>
      <c r="K6" s="236">
        <v>1392673</v>
      </c>
      <c r="L6" s="224"/>
      <c r="M6" s="238">
        <v>19944600</v>
      </c>
      <c r="N6" s="224"/>
      <c r="O6" s="238">
        <f t="shared" ref="O6:O24" si="0">K6+M6</f>
        <v>21337273</v>
      </c>
    </row>
    <row r="7" spans="1:15" ht="15.75" thickBot="1" x14ac:dyDescent="0.3">
      <c r="A7" s="235">
        <v>1983</v>
      </c>
      <c r="B7" s="236">
        <v>347486</v>
      </c>
      <c r="C7" s="236">
        <v>127242</v>
      </c>
      <c r="D7" s="236">
        <v>191220</v>
      </c>
      <c r="E7" s="236">
        <v>147170</v>
      </c>
      <c r="F7" s="237"/>
      <c r="G7" s="236">
        <v>91123</v>
      </c>
      <c r="H7" s="236">
        <v>105172</v>
      </c>
      <c r="I7" s="236">
        <v>284749</v>
      </c>
      <c r="J7" s="237"/>
      <c r="K7" s="236">
        <v>1294162</v>
      </c>
      <c r="L7" s="224"/>
      <c r="M7" s="238">
        <v>12036383</v>
      </c>
      <c r="N7" s="224"/>
      <c r="O7" s="238">
        <f t="shared" si="0"/>
        <v>13330545</v>
      </c>
    </row>
    <row r="8" spans="1:15" ht="15.75" thickBot="1" x14ac:dyDescent="0.3">
      <c r="A8" s="235">
        <v>1985</v>
      </c>
      <c r="B8" s="236">
        <v>598507</v>
      </c>
      <c r="C8" s="236">
        <v>166714</v>
      </c>
      <c r="D8" s="236">
        <v>179321</v>
      </c>
      <c r="E8" s="236">
        <v>145410</v>
      </c>
      <c r="F8" s="237"/>
      <c r="G8" s="236">
        <v>104184</v>
      </c>
      <c r="H8" s="236">
        <v>202946</v>
      </c>
      <c r="I8" s="236">
        <v>378249</v>
      </c>
      <c r="J8" s="237"/>
      <c r="K8" s="236">
        <v>1775331</v>
      </c>
      <c r="L8" s="224"/>
      <c r="M8" s="238">
        <v>23853226</v>
      </c>
      <c r="N8" s="224"/>
      <c r="O8" s="238">
        <f t="shared" si="0"/>
        <v>25628557</v>
      </c>
    </row>
    <row r="9" spans="1:15" ht="15.75" thickBot="1" x14ac:dyDescent="0.3">
      <c r="A9" s="235">
        <v>1987</v>
      </c>
      <c r="B9" s="236">
        <v>421972</v>
      </c>
      <c r="C9" s="236">
        <v>109380</v>
      </c>
      <c r="D9" s="236">
        <v>36410</v>
      </c>
      <c r="E9" s="236">
        <v>77296</v>
      </c>
      <c r="F9" s="237"/>
      <c r="G9" s="236">
        <v>137040</v>
      </c>
      <c r="H9" s="236">
        <v>120511</v>
      </c>
      <c r="I9" s="236">
        <v>239862</v>
      </c>
      <c r="J9" s="237"/>
      <c r="K9" s="236">
        <v>1142471</v>
      </c>
      <c r="L9" s="224"/>
      <c r="M9" s="238">
        <v>26212446</v>
      </c>
      <c r="N9" s="224"/>
      <c r="O9" s="238">
        <f t="shared" si="0"/>
        <v>27354917</v>
      </c>
    </row>
    <row r="10" spans="1:15" ht="15.75" thickBot="1" x14ac:dyDescent="0.3">
      <c r="A10" s="235">
        <v>1989</v>
      </c>
      <c r="B10" s="236">
        <v>250082</v>
      </c>
      <c r="C10" s="236">
        <v>101436</v>
      </c>
      <c r="D10" s="236">
        <v>37487</v>
      </c>
      <c r="E10" s="236">
        <v>81846</v>
      </c>
      <c r="F10" s="236">
        <v>34600</v>
      </c>
      <c r="G10" s="236">
        <v>212757</v>
      </c>
      <c r="H10" s="236">
        <v>126294</v>
      </c>
      <c r="I10" s="236">
        <v>205178</v>
      </c>
      <c r="J10" s="237"/>
      <c r="K10" s="236">
        <v>1049680</v>
      </c>
      <c r="L10" s="224"/>
      <c r="M10" s="238">
        <v>13795415</v>
      </c>
      <c r="N10" s="224"/>
      <c r="O10" s="238">
        <f t="shared" si="0"/>
        <v>14845095</v>
      </c>
    </row>
    <row r="11" spans="1:15" ht="15.75" thickBot="1" x14ac:dyDescent="0.3">
      <c r="A11" s="235">
        <v>1991</v>
      </c>
      <c r="B11" s="236">
        <v>345169</v>
      </c>
      <c r="C11" s="236">
        <v>114718</v>
      </c>
      <c r="D11" s="236">
        <v>68899</v>
      </c>
      <c r="E11" s="236">
        <v>83940</v>
      </c>
      <c r="F11" s="236">
        <v>33941</v>
      </c>
      <c r="G11" s="236">
        <v>169162</v>
      </c>
      <c r="H11" s="236">
        <v>132545</v>
      </c>
      <c r="I11" s="236">
        <v>373277</v>
      </c>
      <c r="J11" s="237"/>
      <c r="K11" s="236">
        <v>1321651</v>
      </c>
      <c r="L11" s="224"/>
      <c r="M11" s="238">
        <v>26893425</v>
      </c>
      <c r="N11" s="224"/>
      <c r="O11" s="238">
        <f t="shared" si="0"/>
        <v>28215076</v>
      </c>
    </row>
    <row r="12" spans="1:15" ht="15.75" thickBot="1" x14ac:dyDescent="0.3">
      <c r="A12" s="235">
        <v>1993</v>
      </c>
      <c r="B12" s="236">
        <v>315598</v>
      </c>
      <c r="C12" s="236">
        <v>96955</v>
      </c>
      <c r="D12" s="236">
        <v>38498</v>
      </c>
      <c r="E12" s="236">
        <v>61353</v>
      </c>
      <c r="F12" s="236">
        <v>20700</v>
      </c>
      <c r="G12" s="236">
        <v>130824</v>
      </c>
      <c r="H12" s="236">
        <v>140902</v>
      </c>
      <c r="I12" s="236">
        <v>289492</v>
      </c>
      <c r="J12" s="237"/>
      <c r="K12" s="236">
        <v>1094323</v>
      </c>
      <c r="L12" s="224"/>
      <c r="M12" s="238">
        <v>3513395</v>
      </c>
      <c r="N12" s="224"/>
      <c r="O12" s="238">
        <f t="shared" si="0"/>
        <v>4607718</v>
      </c>
    </row>
    <row r="13" spans="1:15" ht="15.75" thickBot="1" x14ac:dyDescent="0.3">
      <c r="A13" s="235">
        <v>1995</v>
      </c>
      <c r="B13" s="236">
        <v>402264</v>
      </c>
      <c r="C13" s="236">
        <v>84312</v>
      </c>
      <c r="D13" s="236">
        <v>49310</v>
      </c>
      <c r="E13" s="236">
        <v>54656</v>
      </c>
      <c r="F13" s="236">
        <v>8990</v>
      </c>
      <c r="G13" s="236">
        <v>111495</v>
      </c>
      <c r="H13" s="236">
        <v>165572</v>
      </c>
      <c r="I13" s="236">
        <v>261894</v>
      </c>
      <c r="J13" s="237"/>
      <c r="K13" s="236">
        <v>1138494</v>
      </c>
      <c r="L13" s="224"/>
      <c r="M13" s="238">
        <v>10796682</v>
      </c>
      <c r="N13" s="224"/>
      <c r="O13" s="238">
        <f t="shared" si="0"/>
        <v>11935176</v>
      </c>
    </row>
    <row r="14" spans="1:15" ht="15.75" thickBot="1" x14ac:dyDescent="0.3">
      <c r="A14" s="235">
        <v>1997</v>
      </c>
      <c r="B14" s="236">
        <v>322445</v>
      </c>
      <c r="C14" s="236">
        <v>50427</v>
      </c>
      <c r="D14" s="236">
        <v>48374</v>
      </c>
      <c r="E14" s="236">
        <v>49982</v>
      </c>
      <c r="F14" s="239">
        <v>853</v>
      </c>
      <c r="G14" s="236">
        <v>92913</v>
      </c>
      <c r="H14" s="236">
        <v>158475</v>
      </c>
      <c r="I14" s="236">
        <v>437989</v>
      </c>
      <c r="J14" s="237"/>
      <c r="K14" s="236">
        <v>1161458</v>
      </c>
      <c r="L14" s="224"/>
      <c r="M14" s="238">
        <v>15973398</v>
      </c>
      <c r="N14" s="224"/>
      <c r="O14" s="238">
        <f t="shared" si="0"/>
        <v>17134856</v>
      </c>
    </row>
    <row r="15" spans="1:15" ht="15.75" thickBot="1" x14ac:dyDescent="0.3">
      <c r="A15" s="235">
        <v>1999</v>
      </c>
      <c r="B15" s="236">
        <v>310051</v>
      </c>
      <c r="C15" s="236">
        <v>126575</v>
      </c>
      <c r="D15" s="236">
        <v>147845</v>
      </c>
      <c r="E15" s="236">
        <v>45282</v>
      </c>
      <c r="F15" s="236">
        <v>4795</v>
      </c>
      <c r="G15" s="236">
        <v>153763</v>
      </c>
      <c r="H15" s="236">
        <v>237219</v>
      </c>
      <c r="I15" s="236">
        <v>372836</v>
      </c>
      <c r="J15" s="237"/>
      <c r="K15" s="236">
        <v>1398366</v>
      </c>
      <c r="L15" s="224"/>
      <c r="M15" s="238">
        <v>31627960</v>
      </c>
      <c r="N15" s="224"/>
      <c r="O15" s="238">
        <f t="shared" si="0"/>
        <v>33026326</v>
      </c>
    </row>
    <row r="16" spans="1:15" ht="15.75" thickBot="1" x14ac:dyDescent="0.3">
      <c r="A16" s="235">
        <v>2001</v>
      </c>
      <c r="B16" s="236">
        <v>424655</v>
      </c>
      <c r="C16" s="236">
        <v>144113</v>
      </c>
      <c r="D16" s="236">
        <v>157927</v>
      </c>
      <c r="E16" s="236">
        <v>126442</v>
      </c>
      <c r="F16" s="236">
        <v>4413</v>
      </c>
      <c r="G16" s="236">
        <v>237739</v>
      </c>
      <c r="H16" s="236">
        <v>299577</v>
      </c>
      <c r="I16" s="236">
        <v>367359</v>
      </c>
      <c r="J16" s="237"/>
      <c r="K16" s="236">
        <v>1762225</v>
      </c>
      <c r="L16" s="224"/>
      <c r="M16" s="238">
        <v>22321897</v>
      </c>
      <c r="N16" s="224"/>
      <c r="O16" s="238">
        <f t="shared" si="0"/>
        <v>24084122</v>
      </c>
    </row>
    <row r="17" spans="1:17" ht="15.75" thickBot="1" x14ac:dyDescent="0.3">
      <c r="A17" s="235">
        <v>2003</v>
      </c>
      <c r="B17" s="236">
        <v>964355</v>
      </c>
      <c r="C17" s="236">
        <v>253962</v>
      </c>
      <c r="D17" s="236">
        <v>370688</v>
      </c>
      <c r="E17" s="236">
        <v>108073</v>
      </c>
      <c r="F17" s="236">
        <v>6954</v>
      </c>
      <c r="G17" s="236">
        <v>136902</v>
      </c>
      <c r="H17" s="236">
        <v>304685</v>
      </c>
      <c r="I17" s="236">
        <v>485550</v>
      </c>
      <c r="J17" s="237"/>
      <c r="K17" s="236">
        <v>2631169</v>
      </c>
      <c r="L17" s="224"/>
      <c r="M17" s="238">
        <v>38796242</v>
      </c>
      <c r="N17" s="224"/>
      <c r="O17" s="238">
        <f t="shared" si="0"/>
        <v>41427411</v>
      </c>
    </row>
    <row r="18" spans="1:17" ht="15.75" thickBot="1" x14ac:dyDescent="0.3">
      <c r="A18" s="235">
        <v>2005</v>
      </c>
      <c r="B18" s="236">
        <v>1109422</v>
      </c>
      <c r="C18" s="236">
        <v>613712</v>
      </c>
      <c r="D18" s="236">
        <v>553954</v>
      </c>
      <c r="E18" s="236">
        <v>430024</v>
      </c>
      <c r="F18" s="236">
        <v>69175</v>
      </c>
      <c r="G18" s="236">
        <v>340708</v>
      </c>
      <c r="H18" s="236">
        <v>540669</v>
      </c>
      <c r="I18" s="236">
        <v>1265986</v>
      </c>
      <c r="J18" s="237"/>
      <c r="K18" s="236">
        <v>4923650</v>
      </c>
      <c r="L18" s="224"/>
      <c r="M18" s="238">
        <v>47327705</v>
      </c>
      <c r="N18" s="224"/>
      <c r="O18" s="238">
        <f t="shared" si="0"/>
        <v>52251355</v>
      </c>
    </row>
    <row r="19" spans="1:17" ht="15.75" thickBot="1" x14ac:dyDescent="0.3">
      <c r="A19" s="235">
        <v>2007</v>
      </c>
      <c r="B19" s="236">
        <v>424938</v>
      </c>
      <c r="C19" s="236">
        <v>169596</v>
      </c>
      <c r="D19" s="236">
        <v>238770</v>
      </c>
      <c r="E19" s="236">
        <v>72040</v>
      </c>
      <c r="F19" s="236">
        <v>11727</v>
      </c>
      <c r="G19" s="236">
        <v>115112</v>
      </c>
      <c r="H19" s="236">
        <v>149881</v>
      </c>
      <c r="I19" s="236">
        <v>448990</v>
      </c>
      <c r="J19" s="237"/>
      <c r="K19" s="236">
        <v>1631054</v>
      </c>
      <c r="L19" s="224"/>
      <c r="M19" s="238">
        <v>51392239</v>
      </c>
      <c r="N19" s="224"/>
      <c r="O19" s="238">
        <f t="shared" si="0"/>
        <v>53023293</v>
      </c>
    </row>
    <row r="20" spans="1:17" ht="15.75" thickBot="1" x14ac:dyDescent="0.3">
      <c r="A20" s="235">
        <v>2009</v>
      </c>
      <c r="B20" s="236">
        <v>700027</v>
      </c>
      <c r="C20" s="236">
        <v>152979</v>
      </c>
      <c r="D20" s="236">
        <v>147498</v>
      </c>
      <c r="E20" s="236">
        <v>137036</v>
      </c>
      <c r="F20" s="236">
        <v>12966</v>
      </c>
      <c r="G20" s="236">
        <v>258404</v>
      </c>
      <c r="H20" s="236">
        <v>338998</v>
      </c>
      <c r="I20" s="236">
        <v>524415</v>
      </c>
      <c r="J20" s="237"/>
      <c r="K20" s="236">
        <v>2272323</v>
      </c>
      <c r="L20" s="224"/>
      <c r="M20" s="238">
        <v>11153959</v>
      </c>
      <c r="N20" s="224"/>
      <c r="O20" s="238">
        <f t="shared" si="0"/>
        <v>13426282</v>
      </c>
    </row>
    <row r="21" spans="1:17" ht="15.75" thickBot="1" x14ac:dyDescent="0.3">
      <c r="A21" s="235">
        <v>2011</v>
      </c>
      <c r="B21" s="236">
        <v>916690</v>
      </c>
      <c r="C21" s="236">
        <v>156362</v>
      </c>
      <c r="D21" s="236">
        <v>217560</v>
      </c>
      <c r="E21" s="236">
        <v>139334</v>
      </c>
      <c r="F21" s="236">
        <v>3643</v>
      </c>
      <c r="G21" s="236">
        <v>188475</v>
      </c>
      <c r="H21" s="236">
        <v>489313</v>
      </c>
      <c r="I21" s="236">
        <v>1138410</v>
      </c>
      <c r="J21" s="237"/>
      <c r="K21" s="236">
        <v>3249789</v>
      </c>
      <c r="L21" s="224"/>
      <c r="M21" s="238">
        <v>26933722</v>
      </c>
      <c r="N21" s="224"/>
      <c r="O21" s="238">
        <f t="shared" si="0"/>
        <v>30183511</v>
      </c>
    </row>
    <row r="22" spans="1:17" ht="15.75" thickBot="1" x14ac:dyDescent="0.3">
      <c r="A22" s="235">
        <v>2013</v>
      </c>
      <c r="B22" s="236">
        <v>1266630</v>
      </c>
      <c r="C22" s="236">
        <v>299592</v>
      </c>
      <c r="D22" s="236">
        <v>625991</v>
      </c>
      <c r="E22" s="236">
        <v>201836</v>
      </c>
      <c r="F22" s="236">
        <v>12145</v>
      </c>
      <c r="G22" s="236">
        <v>337952</v>
      </c>
      <c r="H22" s="236">
        <v>365807</v>
      </c>
      <c r="I22" s="236">
        <v>1137736</v>
      </c>
      <c r="J22" s="237"/>
      <c r="K22" s="236">
        <v>4247690</v>
      </c>
      <c r="L22" s="224"/>
      <c r="M22" s="238">
        <v>88484952</v>
      </c>
      <c r="N22" s="224"/>
      <c r="O22" s="238">
        <f t="shared" si="0"/>
        <v>92732642</v>
      </c>
    </row>
    <row r="23" spans="1:17" ht="15.75" thickBot="1" x14ac:dyDescent="0.3">
      <c r="A23" s="235">
        <v>2015</v>
      </c>
      <c r="B23" s="236">
        <v>1440254</v>
      </c>
      <c r="C23" s="236">
        <v>708920</v>
      </c>
      <c r="D23" s="236">
        <v>775488</v>
      </c>
      <c r="E23" s="236">
        <v>438944</v>
      </c>
      <c r="F23" s="236">
        <v>68988</v>
      </c>
      <c r="G23" s="236">
        <v>644158</v>
      </c>
      <c r="H23" s="236">
        <v>559994</v>
      </c>
      <c r="I23" s="236">
        <v>1529543</v>
      </c>
      <c r="J23" s="240"/>
      <c r="K23" s="236">
        <v>6166289</v>
      </c>
      <c r="L23" s="224"/>
      <c r="M23" s="238">
        <v>90043653</v>
      </c>
      <c r="N23" s="224"/>
      <c r="O23" s="238">
        <f t="shared" si="0"/>
        <v>96209942</v>
      </c>
    </row>
    <row r="24" spans="1:17" x14ac:dyDescent="0.25">
      <c r="A24" s="241">
        <v>2017</v>
      </c>
      <c r="B24" s="242">
        <v>557545</v>
      </c>
      <c r="C24" s="242">
        <v>395437</v>
      </c>
      <c r="D24" s="242">
        <v>181153</v>
      </c>
      <c r="E24" s="242">
        <v>250989</v>
      </c>
      <c r="F24" s="242">
        <v>2836</v>
      </c>
      <c r="G24" s="242">
        <v>172930</v>
      </c>
      <c r="H24" s="242">
        <v>205252</v>
      </c>
      <c r="I24" s="242">
        <v>372960</v>
      </c>
      <c r="J24" s="224"/>
      <c r="K24" s="238">
        <f>SUM(B24:I24)</f>
        <v>2139102</v>
      </c>
      <c r="L24" s="224"/>
      <c r="M24" s="238">
        <v>43466953</v>
      </c>
      <c r="N24" s="224"/>
      <c r="O24" s="238">
        <f t="shared" si="0"/>
        <v>45606055</v>
      </c>
    </row>
    <row r="25" spans="1:17" x14ac:dyDescent="0.25">
      <c r="A25" s="224"/>
      <c r="B25" s="224"/>
      <c r="C25" s="224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24"/>
      <c r="O25" s="224"/>
    </row>
    <row r="26" spans="1:17" x14ac:dyDescent="0.25">
      <c r="P26" s="217" t="s">
        <v>149</v>
      </c>
    </row>
    <row r="27" spans="1:17" ht="18.75" x14ac:dyDescent="0.25">
      <c r="A27" s="247" t="s">
        <v>135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243">
        <f>0.33</f>
        <v>0.33</v>
      </c>
    </row>
    <row r="28" spans="1:17" ht="15.75" x14ac:dyDescent="0.25">
      <c r="A28" s="37"/>
      <c r="B28" s="299" t="s">
        <v>130</v>
      </c>
      <c r="C28" s="299"/>
      <c r="D28" s="299"/>
      <c r="E28" s="299"/>
      <c r="F28" s="299"/>
      <c r="G28" s="299"/>
      <c r="H28" s="299"/>
      <c r="I28" s="299"/>
      <c r="J28" s="299"/>
      <c r="K28" s="299"/>
      <c r="M28" s="38" t="s">
        <v>21</v>
      </c>
      <c r="O28" s="42" t="s">
        <v>2</v>
      </c>
      <c r="P28" s="300" t="s">
        <v>131</v>
      </c>
      <c r="Q28" s="300"/>
    </row>
    <row r="29" spans="1:17" ht="27.95" customHeight="1" x14ac:dyDescent="0.25">
      <c r="A29" s="43" t="s">
        <v>3</v>
      </c>
      <c r="B29" s="44" t="s">
        <v>13</v>
      </c>
      <c r="C29" s="44" t="s">
        <v>14</v>
      </c>
      <c r="D29" s="44" t="s">
        <v>15</v>
      </c>
      <c r="E29" s="44" t="s">
        <v>16</v>
      </c>
      <c r="F29" s="45" t="s">
        <v>17</v>
      </c>
      <c r="G29" s="45" t="s">
        <v>18</v>
      </c>
      <c r="H29" s="45" t="s">
        <v>19</v>
      </c>
      <c r="I29" s="45" t="s">
        <v>20</v>
      </c>
      <c r="J29" s="46"/>
      <c r="K29" s="45" t="s">
        <v>12</v>
      </c>
      <c r="L29" s="40"/>
      <c r="M29" s="45" t="s">
        <v>5</v>
      </c>
      <c r="N29" s="40"/>
      <c r="O29" s="41" t="s">
        <v>4</v>
      </c>
      <c r="P29" s="214" t="s">
        <v>132</v>
      </c>
      <c r="Q29" s="217" t="s">
        <v>129</v>
      </c>
    </row>
    <row r="30" spans="1:17" x14ac:dyDescent="0.25">
      <c r="A30" s="37" t="s">
        <v>35</v>
      </c>
      <c r="B30" s="47"/>
      <c r="C30" s="47"/>
      <c r="D30" s="47"/>
      <c r="E30" s="47"/>
      <c r="F30" s="48"/>
      <c r="G30" s="48"/>
      <c r="H30" s="48"/>
      <c r="I30" s="48"/>
      <c r="J30" s="49"/>
      <c r="K30" s="48"/>
      <c r="L30" s="50"/>
      <c r="M30" s="48"/>
      <c r="N30" s="50"/>
      <c r="O30" s="51"/>
    </row>
    <row r="31" spans="1:17" ht="16.5" thickBot="1" x14ac:dyDescent="0.3">
      <c r="A31" s="55">
        <v>1982</v>
      </c>
      <c r="B31" s="56">
        <v>333392</v>
      </c>
      <c r="C31" s="56">
        <v>139533</v>
      </c>
      <c r="D31" s="56">
        <v>188841</v>
      </c>
      <c r="E31" s="56">
        <v>93998</v>
      </c>
      <c r="F31" s="58">
        <v>288</v>
      </c>
      <c r="G31" s="56">
        <v>55611</v>
      </c>
      <c r="H31" s="56">
        <v>42506</v>
      </c>
      <c r="I31" s="56">
        <v>186455</v>
      </c>
      <c r="J31" s="57"/>
      <c r="K31" s="56">
        <v>1040624</v>
      </c>
      <c r="M31" s="54">
        <v>18372328</v>
      </c>
      <c r="O31" s="54">
        <f t="shared" ref="O31:O49" si="1">K31+M31</f>
        <v>19412952</v>
      </c>
      <c r="P31" s="218">
        <f>K31/$P$27</f>
        <v>3153406.0606060605</v>
      </c>
      <c r="Q31" s="218">
        <f t="shared" ref="Q31" si="2">O32</f>
        <v>23652423</v>
      </c>
    </row>
    <row r="32" spans="1:17" ht="16.5" thickBot="1" x14ac:dyDescent="0.3">
      <c r="A32" s="55">
        <v>1984</v>
      </c>
      <c r="B32" s="56">
        <v>839339</v>
      </c>
      <c r="C32" s="56">
        <v>353175</v>
      </c>
      <c r="D32" s="56">
        <v>232592</v>
      </c>
      <c r="E32" s="56">
        <v>367782</v>
      </c>
      <c r="F32" s="57"/>
      <c r="G32" s="56">
        <v>246298</v>
      </c>
      <c r="H32" s="56">
        <v>89130</v>
      </c>
      <c r="I32" s="56">
        <v>396810</v>
      </c>
      <c r="J32" s="57"/>
      <c r="K32" s="56">
        <v>2525125</v>
      </c>
      <c r="M32" s="54">
        <v>21127298</v>
      </c>
      <c r="O32" s="54">
        <f t="shared" si="1"/>
        <v>23652423</v>
      </c>
      <c r="P32" s="218"/>
      <c r="Q32" s="218"/>
    </row>
    <row r="33" spans="1:17" ht="16.5" thickBot="1" x14ac:dyDescent="0.3">
      <c r="A33" s="55">
        <v>1986</v>
      </c>
      <c r="B33" s="56">
        <v>266051</v>
      </c>
      <c r="C33" s="56">
        <v>125507</v>
      </c>
      <c r="D33" s="56">
        <v>89825</v>
      </c>
      <c r="E33" s="56">
        <v>65328</v>
      </c>
      <c r="F33" s="56">
        <v>3690</v>
      </c>
      <c r="G33" s="56">
        <v>59630</v>
      </c>
      <c r="H33" s="56">
        <v>24939</v>
      </c>
      <c r="I33" s="56">
        <v>87771</v>
      </c>
      <c r="J33" s="57"/>
      <c r="K33" s="56">
        <v>722741</v>
      </c>
      <c r="M33" s="54">
        <v>10498052</v>
      </c>
      <c r="O33" s="54">
        <f t="shared" si="1"/>
        <v>11220793</v>
      </c>
      <c r="P33" s="218"/>
      <c r="Q33" s="218"/>
    </row>
    <row r="34" spans="1:17" ht="16.5" thickBot="1" x14ac:dyDescent="0.3">
      <c r="A34" s="55">
        <v>1988</v>
      </c>
      <c r="B34" s="56">
        <v>283057</v>
      </c>
      <c r="C34" s="56">
        <v>98261</v>
      </c>
      <c r="D34" s="56">
        <v>34004</v>
      </c>
      <c r="E34" s="56">
        <v>82126</v>
      </c>
      <c r="F34" s="57"/>
      <c r="G34" s="56">
        <v>126318</v>
      </c>
      <c r="H34" s="56">
        <v>50927</v>
      </c>
      <c r="I34" s="56">
        <v>86037</v>
      </c>
      <c r="J34" s="57"/>
      <c r="K34" s="56">
        <v>760729</v>
      </c>
      <c r="M34" s="54">
        <v>9650406</v>
      </c>
      <c r="O34" s="54">
        <f t="shared" si="1"/>
        <v>10411135</v>
      </c>
      <c r="P34" s="218"/>
      <c r="Q34" s="218"/>
    </row>
    <row r="35" spans="1:17" ht="16.5" thickBot="1" x14ac:dyDescent="0.3">
      <c r="A35" s="55">
        <v>1990</v>
      </c>
      <c r="B35" s="56">
        <v>320285</v>
      </c>
      <c r="C35" s="56">
        <v>103386</v>
      </c>
      <c r="D35" s="56">
        <v>36181</v>
      </c>
      <c r="E35" s="56">
        <v>110549</v>
      </c>
      <c r="F35" s="56">
        <v>27731</v>
      </c>
      <c r="G35" s="56">
        <v>155093</v>
      </c>
      <c r="H35" s="56">
        <v>73511</v>
      </c>
      <c r="I35" s="56">
        <v>162204</v>
      </c>
      <c r="J35" s="57"/>
      <c r="K35" s="56">
        <v>988938</v>
      </c>
      <c r="M35" s="54">
        <v>35406594</v>
      </c>
      <c r="O35" s="54">
        <f t="shared" si="1"/>
        <v>36395532</v>
      </c>
      <c r="P35" s="218"/>
      <c r="Q35" s="218"/>
    </row>
    <row r="36" spans="1:17" ht="16.5" thickBot="1" x14ac:dyDescent="0.3">
      <c r="A36" s="55">
        <v>1992</v>
      </c>
      <c r="B36" s="56">
        <v>150193</v>
      </c>
      <c r="C36" s="56">
        <v>61195</v>
      </c>
      <c r="D36" s="56">
        <v>18324</v>
      </c>
      <c r="E36" s="56">
        <v>46766</v>
      </c>
      <c r="F36" s="56">
        <v>4310</v>
      </c>
      <c r="G36" s="56">
        <v>69782</v>
      </c>
      <c r="H36" s="56">
        <v>38170</v>
      </c>
      <c r="I36" s="56">
        <v>64113</v>
      </c>
      <c r="J36" s="57"/>
      <c r="K36" s="56">
        <v>452851</v>
      </c>
      <c r="M36" s="54">
        <v>5578066</v>
      </c>
      <c r="O36" s="54">
        <f t="shared" si="1"/>
        <v>6030917</v>
      </c>
      <c r="P36" s="218"/>
      <c r="Q36" s="218"/>
    </row>
    <row r="37" spans="1:17" ht="16.5" thickBot="1" x14ac:dyDescent="0.3">
      <c r="A37" s="55">
        <v>1994</v>
      </c>
      <c r="B37" s="56">
        <v>485152</v>
      </c>
      <c r="C37" s="56">
        <v>143478</v>
      </c>
      <c r="D37" s="56">
        <v>55116</v>
      </c>
      <c r="E37" s="56">
        <v>168058</v>
      </c>
      <c r="F37" s="56">
        <v>12604</v>
      </c>
      <c r="G37" s="56">
        <v>135104</v>
      </c>
      <c r="H37" s="56">
        <v>35114</v>
      </c>
      <c r="I37" s="56">
        <v>116949</v>
      </c>
      <c r="J37" s="57"/>
      <c r="K37" s="56">
        <v>1151575</v>
      </c>
      <c r="M37" s="54">
        <v>26296214</v>
      </c>
      <c r="O37" s="54">
        <f t="shared" si="1"/>
        <v>27447789</v>
      </c>
      <c r="P37" s="218"/>
      <c r="Q37" s="218"/>
    </row>
    <row r="38" spans="1:17" ht="16.5" thickBot="1" x14ac:dyDescent="0.3">
      <c r="A38" s="55">
        <v>1996</v>
      </c>
      <c r="B38" s="56">
        <v>450974</v>
      </c>
      <c r="C38" s="56">
        <v>148585</v>
      </c>
      <c r="D38" s="56">
        <v>63240</v>
      </c>
      <c r="E38" s="56">
        <v>76696</v>
      </c>
      <c r="F38" s="56">
        <v>2207</v>
      </c>
      <c r="G38" s="56">
        <v>63175</v>
      </c>
      <c r="H38" s="56">
        <v>58570</v>
      </c>
      <c r="I38" s="56">
        <v>116870</v>
      </c>
      <c r="J38" s="57"/>
      <c r="K38" s="56">
        <v>980319</v>
      </c>
      <c r="M38" s="54">
        <v>17751235</v>
      </c>
      <c r="O38" s="54">
        <f t="shared" si="1"/>
        <v>18731554</v>
      </c>
      <c r="P38" s="218"/>
      <c r="Q38" s="218"/>
    </row>
    <row r="39" spans="1:17" ht="16.5" thickBot="1" x14ac:dyDescent="0.3">
      <c r="A39" s="55">
        <v>1998</v>
      </c>
      <c r="B39" s="56">
        <v>246423</v>
      </c>
      <c r="C39" s="56">
        <v>127375</v>
      </c>
      <c r="D39" s="56">
        <v>42434</v>
      </c>
      <c r="E39" s="56">
        <v>51978</v>
      </c>
      <c r="F39" s="56">
        <v>2852</v>
      </c>
      <c r="G39" s="56">
        <v>333787</v>
      </c>
      <c r="H39" s="56">
        <v>109016</v>
      </c>
      <c r="I39" s="56">
        <v>88655</v>
      </c>
      <c r="J39" s="57"/>
      <c r="K39" s="56">
        <v>1002519</v>
      </c>
      <c r="M39" s="54">
        <v>19848238</v>
      </c>
      <c r="O39" s="54">
        <f t="shared" si="1"/>
        <v>20850757</v>
      </c>
      <c r="P39" s="218"/>
      <c r="Q39" s="218"/>
    </row>
    <row r="40" spans="1:17" ht="16.5" thickBot="1" x14ac:dyDescent="0.3">
      <c r="A40" s="55">
        <v>2000</v>
      </c>
      <c r="B40" s="56">
        <v>360133</v>
      </c>
      <c r="C40" s="56">
        <v>107466</v>
      </c>
      <c r="D40" s="56">
        <v>137665</v>
      </c>
      <c r="E40" s="56">
        <v>54523</v>
      </c>
      <c r="F40" s="56">
        <v>2772</v>
      </c>
      <c r="G40" s="56">
        <v>97918</v>
      </c>
      <c r="H40" s="56">
        <v>114597</v>
      </c>
      <c r="I40" s="56">
        <v>158708</v>
      </c>
      <c r="J40" s="57"/>
      <c r="K40" s="56">
        <v>1033782</v>
      </c>
      <c r="M40" s="54">
        <v>27749905</v>
      </c>
      <c r="O40" s="54">
        <f t="shared" si="1"/>
        <v>28783687</v>
      </c>
      <c r="P40" s="218"/>
      <c r="Q40" s="218"/>
    </row>
    <row r="41" spans="1:17" ht="16.5" thickBot="1" x14ac:dyDescent="0.3">
      <c r="A41" s="55">
        <v>2002</v>
      </c>
      <c r="B41" s="56">
        <v>119689</v>
      </c>
      <c r="C41" s="56">
        <v>77126</v>
      </c>
      <c r="D41" s="56">
        <v>26572</v>
      </c>
      <c r="E41" s="56">
        <v>32839</v>
      </c>
      <c r="F41" s="56">
        <v>1157</v>
      </c>
      <c r="G41" s="56">
        <v>33847</v>
      </c>
      <c r="H41" s="56">
        <v>33121</v>
      </c>
      <c r="I41" s="56">
        <v>143375</v>
      </c>
      <c r="J41" s="57"/>
      <c r="K41" s="56">
        <v>467726</v>
      </c>
      <c r="M41" s="54">
        <v>8159502</v>
      </c>
      <c r="O41" s="54">
        <f t="shared" si="1"/>
        <v>8627228</v>
      </c>
      <c r="P41" s="218"/>
      <c r="Q41" s="218"/>
    </row>
    <row r="42" spans="1:17" ht="16.5" thickBot="1" x14ac:dyDescent="0.3">
      <c r="A42" s="55">
        <v>2004</v>
      </c>
      <c r="B42" s="56">
        <v>534679</v>
      </c>
      <c r="C42" s="56">
        <v>107478</v>
      </c>
      <c r="D42" s="56">
        <v>49050</v>
      </c>
      <c r="E42" s="56">
        <v>39153</v>
      </c>
      <c r="F42" s="56">
        <v>1364</v>
      </c>
      <c r="G42" s="56">
        <v>111427</v>
      </c>
      <c r="H42" s="56">
        <v>128553</v>
      </c>
      <c r="I42" s="56">
        <v>314418</v>
      </c>
      <c r="J42" s="57"/>
      <c r="K42" s="56">
        <v>1286122</v>
      </c>
      <c r="M42" s="54">
        <v>11701082</v>
      </c>
      <c r="O42" s="54">
        <f t="shared" si="1"/>
        <v>12987204</v>
      </c>
      <c r="P42" s="218"/>
      <c r="Q42" s="218"/>
    </row>
    <row r="43" spans="1:17" ht="16.5" thickBot="1" x14ac:dyDescent="0.3">
      <c r="A43" s="55">
        <v>2006</v>
      </c>
      <c r="B43" s="56">
        <v>192217</v>
      </c>
      <c r="C43" s="56">
        <v>134672</v>
      </c>
      <c r="D43" s="56">
        <v>123881</v>
      </c>
      <c r="E43" s="56">
        <v>90347</v>
      </c>
      <c r="F43" s="56">
        <v>8056</v>
      </c>
      <c r="G43" s="56">
        <v>70426</v>
      </c>
      <c r="H43" s="56">
        <v>94143</v>
      </c>
      <c r="I43" s="56">
        <v>129858</v>
      </c>
      <c r="J43" s="57"/>
      <c r="K43" s="56">
        <v>843600</v>
      </c>
      <c r="M43" s="54">
        <v>11963586</v>
      </c>
      <c r="O43" s="54">
        <f t="shared" si="1"/>
        <v>12807186</v>
      </c>
      <c r="P43" s="218"/>
      <c r="Q43" s="218"/>
    </row>
    <row r="44" spans="1:17" ht="16.5" thickBot="1" x14ac:dyDescent="0.3">
      <c r="A44" s="55">
        <v>2008</v>
      </c>
      <c r="B44" s="56">
        <v>161710</v>
      </c>
      <c r="C44" s="56">
        <v>121502</v>
      </c>
      <c r="D44" s="56">
        <v>142733</v>
      </c>
      <c r="E44" s="56">
        <v>138968</v>
      </c>
      <c r="F44" s="58">
        <v>579</v>
      </c>
      <c r="G44" s="56">
        <v>61820</v>
      </c>
      <c r="H44" s="56">
        <v>51571</v>
      </c>
      <c r="I44" s="56">
        <v>85869</v>
      </c>
      <c r="J44" s="57"/>
      <c r="K44" s="56">
        <v>764753</v>
      </c>
      <c r="M44" s="54">
        <v>34706175</v>
      </c>
      <c r="O44" s="54">
        <f t="shared" si="1"/>
        <v>35470928</v>
      </c>
      <c r="P44" s="218"/>
      <c r="Q44" s="218"/>
    </row>
    <row r="45" spans="1:17" ht="16.5" thickBot="1" x14ac:dyDescent="0.3">
      <c r="A45" s="55">
        <v>2010</v>
      </c>
      <c r="B45" s="56">
        <v>437191</v>
      </c>
      <c r="C45" s="56">
        <v>244810</v>
      </c>
      <c r="D45" s="56">
        <v>328447</v>
      </c>
      <c r="E45" s="56">
        <v>207490</v>
      </c>
      <c r="F45" s="56">
        <v>9261</v>
      </c>
      <c r="G45" s="56">
        <v>109012</v>
      </c>
      <c r="H45" s="56">
        <v>129968</v>
      </c>
      <c r="I45" s="56">
        <v>223178</v>
      </c>
      <c r="J45" s="57"/>
      <c r="K45" s="56">
        <v>1689357</v>
      </c>
      <c r="M45" s="54">
        <v>65741435</v>
      </c>
      <c r="O45" s="54">
        <f t="shared" si="1"/>
        <v>67430792</v>
      </c>
      <c r="P45" s="218"/>
      <c r="Q45" s="218"/>
    </row>
    <row r="46" spans="1:17" ht="16.5" thickBot="1" x14ac:dyDescent="0.3">
      <c r="A46" s="55">
        <v>2012</v>
      </c>
      <c r="B46" s="56">
        <v>268432</v>
      </c>
      <c r="C46" s="56">
        <v>91211</v>
      </c>
      <c r="D46" s="56">
        <v>170752</v>
      </c>
      <c r="E46" s="56">
        <v>114518</v>
      </c>
      <c r="F46" s="56">
        <v>1052</v>
      </c>
      <c r="G46" s="56">
        <v>79774</v>
      </c>
      <c r="H46" s="56">
        <v>70695</v>
      </c>
      <c r="I46" s="56">
        <v>213071</v>
      </c>
      <c r="J46" s="57"/>
      <c r="K46" s="56">
        <v>1009505</v>
      </c>
      <c r="M46" s="54">
        <v>24063948</v>
      </c>
      <c r="O46" s="54">
        <f t="shared" si="1"/>
        <v>25073453</v>
      </c>
      <c r="P46" s="218"/>
      <c r="Q46" s="218"/>
    </row>
    <row r="47" spans="1:17" ht="16.5" thickBot="1" x14ac:dyDescent="0.3">
      <c r="A47" s="55">
        <v>2014</v>
      </c>
      <c r="B47" s="56">
        <v>250381</v>
      </c>
      <c r="C47" s="56">
        <v>95643</v>
      </c>
      <c r="D47" s="56">
        <v>60921</v>
      </c>
      <c r="E47" s="56">
        <v>66350</v>
      </c>
      <c r="F47" s="56">
        <v>12167</v>
      </c>
      <c r="G47" s="56">
        <v>73104</v>
      </c>
      <c r="H47" s="56">
        <v>23136</v>
      </c>
      <c r="I47" s="56">
        <v>141845</v>
      </c>
      <c r="J47" s="57"/>
      <c r="K47" s="56">
        <v>723548</v>
      </c>
      <c r="M47" s="54">
        <v>39195339</v>
      </c>
      <c r="O47" s="54">
        <f t="shared" si="1"/>
        <v>39918887</v>
      </c>
      <c r="P47" s="246"/>
      <c r="Q47" s="246"/>
    </row>
    <row r="48" spans="1:17" ht="16.5" thickBot="1" x14ac:dyDescent="0.3">
      <c r="A48" s="53">
        <v>2016</v>
      </c>
      <c r="B48" s="52">
        <v>594778</v>
      </c>
      <c r="C48" s="52">
        <v>135037</v>
      </c>
      <c r="D48" s="52">
        <v>63986</v>
      </c>
      <c r="E48" s="52">
        <v>168272</v>
      </c>
      <c r="F48" s="52"/>
      <c r="G48" s="52"/>
      <c r="H48" s="52"/>
      <c r="I48" s="52">
        <v>107769</v>
      </c>
      <c r="J48" s="52"/>
      <c r="K48" s="52"/>
      <c r="M48" s="54">
        <v>8603033</v>
      </c>
      <c r="O48" s="54"/>
      <c r="P48" s="246"/>
      <c r="Q48" s="246"/>
    </row>
    <row r="49" spans="1:17" ht="15.75" x14ac:dyDescent="0.25">
      <c r="A49" s="43">
        <v>2018</v>
      </c>
      <c r="B49" s="59">
        <v>309325</v>
      </c>
      <c r="C49" s="59">
        <v>111174</v>
      </c>
      <c r="D49" s="59">
        <v>70881</v>
      </c>
      <c r="E49" s="59">
        <v>111194</v>
      </c>
      <c r="F49" s="59">
        <v>16594</v>
      </c>
      <c r="G49" s="59">
        <v>81100</v>
      </c>
      <c r="H49" s="59">
        <v>135208</v>
      </c>
      <c r="I49" s="59">
        <v>293275</v>
      </c>
      <c r="J49" s="40"/>
      <c r="K49" s="60">
        <f>SUM(B49:I49)</f>
        <v>1128751</v>
      </c>
      <c r="L49" s="40"/>
      <c r="M49" s="60">
        <v>20088818</v>
      </c>
      <c r="N49" s="40"/>
      <c r="O49" s="60">
        <f t="shared" si="1"/>
        <v>21217569</v>
      </c>
      <c r="P49" s="246"/>
      <c r="Q49" s="246"/>
    </row>
    <row r="51" spans="1:17" x14ac:dyDescent="0.25">
      <c r="A51" s="39" t="s">
        <v>27</v>
      </c>
      <c r="B51" s="39"/>
    </row>
    <row r="52" spans="1:17" x14ac:dyDescent="0.25">
      <c r="A52" s="39"/>
      <c r="B52" s="39" t="s">
        <v>22</v>
      </c>
    </row>
    <row r="53" spans="1:17" x14ac:dyDescent="0.25">
      <c r="A53" s="39"/>
      <c r="B53" s="39" t="s">
        <v>23</v>
      </c>
    </row>
    <row r="54" spans="1:17" x14ac:dyDescent="0.25">
      <c r="A54" s="39"/>
      <c r="B54" s="39"/>
    </row>
    <row r="55" spans="1:17" x14ac:dyDescent="0.25">
      <c r="A55" s="39" t="s">
        <v>24</v>
      </c>
      <c r="B55" s="39"/>
    </row>
    <row r="56" spans="1:17" x14ac:dyDescent="0.25">
      <c r="A56" s="39"/>
      <c r="B56" s="39" t="s">
        <v>26</v>
      </c>
    </row>
    <row r="57" spans="1:17" x14ac:dyDescent="0.25">
      <c r="A57" s="39"/>
      <c r="B57" s="39" t="s">
        <v>25</v>
      </c>
    </row>
    <row r="58" spans="1:17" x14ac:dyDescent="0.25">
      <c r="A58" s="39"/>
      <c r="B58" s="39"/>
    </row>
    <row r="59" spans="1:17" x14ac:dyDescent="0.25">
      <c r="A59" s="39" t="s">
        <v>29</v>
      </c>
      <c r="B59" s="39"/>
    </row>
    <row r="60" spans="1:17" x14ac:dyDescent="0.25">
      <c r="A60" s="39"/>
      <c r="B60" s="39" t="s">
        <v>28</v>
      </c>
    </row>
  </sheetData>
  <mergeCells count="3">
    <mergeCell ref="B3:K3"/>
    <mergeCell ref="B28:K28"/>
    <mergeCell ref="P28:Q28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2242-36DA-447A-AADD-BBDA5BE6BBDB}">
  <sheetPr codeName="Sheet13"/>
  <dimension ref="A1:AK67"/>
  <sheetViews>
    <sheetView tabSelected="1" zoomScaleNormal="100" workbookViewId="0">
      <selection activeCell="AG14" sqref="AG14"/>
    </sheetView>
  </sheetViews>
  <sheetFormatPr defaultRowHeight="15" x14ac:dyDescent="0.25"/>
  <cols>
    <col min="2" max="2" width="11.7109375" bestFit="1" customWidth="1"/>
    <col min="3" max="3" width="16.28515625" bestFit="1" customWidth="1"/>
    <col min="4" max="4" width="16.140625" bestFit="1" customWidth="1"/>
    <col min="5" max="5" width="18.28515625" bestFit="1" customWidth="1"/>
    <col min="6" max="6" width="11.5703125" bestFit="1" customWidth="1"/>
    <col min="7" max="8" width="11.5703125" customWidth="1"/>
    <col min="10" max="10" width="11.42578125" customWidth="1"/>
    <col min="34" max="34" width="9.42578125" customWidth="1"/>
  </cols>
  <sheetData>
    <row r="1" spans="1:37" ht="15.75" thickBot="1" x14ac:dyDescent="0.3">
      <c r="A1" s="277"/>
      <c r="B1" s="277"/>
      <c r="J1" s="301" t="s">
        <v>165</v>
      </c>
      <c r="K1" s="301"/>
      <c r="L1" s="301"/>
      <c r="M1" s="301"/>
      <c r="N1" s="301"/>
      <c r="O1" s="301"/>
      <c r="P1" s="301"/>
      <c r="Q1" s="301"/>
      <c r="R1" s="301"/>
      <c r="S1" s="301"/>
      <c r="T1" s="301"/>
    </row>
    <row r="2" spans="1:37" ht="30.75" thickBot="1" x14ac:dyDescent="0.3">
      <c r="A2" s="270"/>
      <c r="B2" s="270"/>
      <c r="C2" s="302" t="s">
        <v>5</v>
      </c>
      <c r="D2" s="302"/>
      <c r="E2" s="302"/>
      <c r="F2" s="302"/>
      <c r="J2" s="278" t="s">
        <v>166</v>
      </c>
      <c r="AG2" s="214" t="s">
        <v>167</v>
      </c>
      <c r="AH2" s="214" t="s">
        <v>168</v>
      </c>
      <c r="AJ2" s="279"/>
    </row>
    <row r="3" spans="1:37" ht="45.75" thickBot="1" x14ac:dyDescent="0.3">
      <c r="A3" s="277" t="s">
        <v>3</v>
      </c>
      <c r="B3" s="277" t="s">
        <v>169</v>
      </c>
      <c r="C3" s="277" t="s">
        <v>170</v>
      </c>
      <c r="D3" s="277" t="s">
        <v>171</v>
      </c>
      <c r="E3" s="277" t="s">
        <v>172</v>
      </c>
      <c r="F3" s="277" t="s">
        <v>173</v>
      </c>
      <c r="G3" s="214" t="s">
        <v>174</v>
      </c>
      <c r="H3" s="214" t="s">
        <v>153</v>
      </c>
      <c r="J3" s="280" t="s">
        <v>3</v>
      </c>
      <c r="K3" s="280">
        <v>0.1</v>
      </c>
      <c r="L3" s="280">
        <v>0.2</v>
      </c>
      <c r="M3" s="280">
        <v>1.1000000000000001</v>
      </c>
      <c r="N3" s="280">
        <v>0.3</v>
      </c>
      <c r="O3" s="280">
        <v>1.2</v>
      </c>
      <c r="P3" s="280">
        <v>0.4</v>
      </c>
      <c r="Q3" s="280">
        <v>1.3</v>
      </c>
      <c r="R3" s="280">
        <v>0.5</v>
      </c>
      <c r="S3" s="280">
        <v>1.4</v>
      </c>
      <c r="T3" s="280">
        <v>1.5</v>
      </c>
      <c r="V3" s="281">
        <v>0.1</v>
      </c>
      <c r="W3" s="281">
        <v>0.2</v>
      </c>
      <c r="X3" s="281">
        <v>1.1000000000000001</v>
      </c>
      <c r="Y3" s="281">
        <v>0.3</v>
      </c>
      <c r="Z3" s="281">
        <v>1.2</v>
      </c>
      <c r="AA3" s="281">
        <v>0.4</v>
      </c>
      <c r="AB3" s="281">
        <v>1.3</v>
      </c>
      <c r="AC3" s="281">
        <v>0.5</v>
      </c>
      <c r="AD3" s="281">
        <v>1.4</v>
      </c>
      <c r="AE3" s="281">
        <v>1.5</v>
      </c>
      <c r="AF3" s="281"/>
      <c r="AG3" s="214" t="s">
        <v>175</v>
      </c>
      <c r="AH3" s="214" t="s">
        <v>176</v>
      </c>
      <c r="AJ3" s="279"/>
      <c r="AK3" s="279"/>
    </row>
    <row r="4" spans="1:37" x14ac:dyDescent="0.25">
      <c r="A4">
        <v>1989</v>
      </c>
      <c r="B4">
        <v>1853</v>
      </c>
      <c r="C4">
        <v>0</v>
      </c>
      <c r="D4">
        <v>0</v>
      </c>
      <c r="E4">
        <v>1</v>
      </c>
      <c r="F4">
        <v>496</v>
      </c>
      <c r="G4" s="289">
        <f>SUM(B4:F4)</f>
        <v>2350</v>
      </c>
      <c r="H4" s="290"/>
      <c r="J4">
        <v>1997</v>
      </c>
      <c r="K4" s="282">
        <v>0.25403225806451613</v>
      </c>
      <c r="L4" s="282">
        <v>0.17741935483870969</v>
      </c>
      <c r="M4" s="282">
        <v>3.2258064516129031E-2</v>
      </c>
      <c r="N4" s="282">
        <v>0.38709677419354838</v>
      </c>
      <c r="O4" s="282">
        <v>8.0645161290322578E-3</v>
      </c>
      <c r="P4" s="282">
        <v>0.11693548387096774</v>
      </c>
      <c r="Q4" s="282">
        <v>1.2096774193548387E-2</v>
      </c>
      <c r="R4" s="282">
        <v>8.0645161290322578E-3</v>
      </c>
      <c r="S4" s="282">
        <v>0</v>
      </c>
      <c r="T4" s="282">
        <v>4.0322580645161289E-3</v>
      </c>
      <c r="V4" s="291">
        <f>K$67*$B4+K$13*($C4+$D4)+K$32*($E4+$F4)</f>
        <v>499.48325438165404</v>
      </c>
      <c r="W4" s="291">
        <f>L$67*$B4+L$13*($C4+$D4)+L$32*($E4+$F4)</f>
        <v>498.23541769722601</v>
      </c>
      <c r="X4" s="291">
        <f t="shared" ref="X4:AE4" si="0">M$67*$B4+M$13*($C4+$D4)+M$32*($E4+$F4)</f>
        <v>30.84779912858632</v>
      </c>
      <c r="Y4" s="291">
        <f t="shared" si="0"/>
        <v>811.38251748641346</v>
      </c>
      <c r="Z4" s="291">
        <f t="shared" si="0"/>
        <v>45.316582998292589</v>
      </c>
      <c r="AA4" s="291">
        <f t="shared" si="0"/>
        <v>376.61718034545038</v>
      </c>
      <c r="AB4" s="291">
        <f t="shared" si="0"/>
        <v>52.117830864230996</v>
      </c>
      <c r="AC4" s="291">
        <f t="shared" si="0"/>
        <v>13.872112287962249</v>
      </c>
      <c r="AD4" s="291">
        <f t="shared" si="0"/>
        <v>22.127304810183844</v>
      </c>
      <c r="AE4" s="291">
        <f t="shared" si="0"/>
        <v>0</v>
      </c>
      <c r="AF4" s="291"/>
      <c r="AG4" s="291">
        <f>W7+Y8+Z8+AA9+AB9+AC10+AD10+AE11</f>
        <v>0</v>
      </c>
      <c r="AH4" s="292">
        <f>(B4-C4)*(N$67+P$67+Q$67+R$67+S$67+T$67)</f>
        <v>914.64809126384228</v>
      </c>
      <c r="AK4" s="283"/>
    </row>
    <row r="5" spans="1:37" x14ac:dyDescent="0.25">
      <c r="A5">
        <v>1990</v>
      </c>
      <c r="B5">
        <v>1274</v>
      </c>
      <c r="C5">
        <v>0</v>
      </c>
      <c r="D5">
        <v>68</v>
      </c>
      <c r="E5">
        <v>0</v>
      </c>
      <c r="F5">
        <v>516</v>
      </c>
      <c r="G5" s="289"/>
      <c r="H5" s="290"/>
      <c r="J5">
        <v>1998</v>
      </c>
      <c r="K5" s="282">
        <v>5.1546391752577317E-2</v>
      </c>
      <c r="L5" s="282">
        <v>0.26288659793814434</v>
      </c>
      <c r="M5" s="282">
        <v>1.0309278350515464E-2</v>
      </c>
      <c r="N5" s="282">
        <v>0.47938144329896909</v>
      </c>
      <c r="O5" s="282">
        <v>4.1237113402061855E-2</v>
      </c>
      <c r="P5" s="282">
        <v>0.14432989690721648</v>
      </c>
      <c r="Q5" s="282">
        <v>1.0309278350515464E-2</v>
      </c>
      <c r="R5" s="282">
        <v>0</v>
      </c>
      <c r="S5" s="282">
        <v>0</v>
      </c>
      <c r="T5" s="282">
        <v>0</v>
      </c>
      <c r="V5" s="291">
        <f>K37*$B5+K$13*($C5+$D5)+K17*($E5+$F5)</f>
        <v>15.997005409362558</v>
      </c>
      <c r="W5" s="291">
        <f t="shared" ref="W5:AE5" si="1">L37*$B5+L$13*($C5+$D5)+L17*($E5+$F5)</f>
        <v>693.55363314106444</v>
      </c>
      <c r="X5" s="291">
        <f t="shared" si="1"/>
        <v>20.831705832945065</v>
      </c>
      <c r="Y5" s="291">
        <f t="shared" si="1"/>
        <v>214.3090529428849</v>
      </c>
      <c r="Z5" s="291">
        <f t="shared" si="1"/>
        <v>175.40704865811222</v>
      </c>
      <c r="AA5" s="291">
        <f t="shared" si="1"/>
        <v>424.88787689090975</v>
      </c>
      <c r="AB5" s="291">
        <f t="shared" si="1"/>
        <v>92.42947402213332</v>
      </c>
      <c r="AC5" s="291">
        <f t="shared" si="1"/>
        <v>6.093189964157706E-2</v>
      </c>
      <c r="AD5" s="291">
        <f t="shared" si="1"/>
        <v>220.49280525312548</v>
      </c>
      <c r="AE5" s="291">
        <f t="shared" si="1"/>
        <v>3.046594982078853E-2</v>
      </c>
      <c r="AF5" s="291"/>
      <c r="AG5" s="291"/>
      <c r="AH5" s="291">
        <f>(B5-C5)*(N37+P37+Q37+R37+S37+T37)</f>
        <v>629.3253012048192</v>
      </c>
      <c r="AK5" s="283"/>
    </row>
    <row r="6" spans="1:37" x14ac:dyDescent="0.25">
      <c r="A6">
        <v>1991</v>
      </c>
      <c r="B6">
        <v>1624</v>
      </c>
      <c r="C6">
        <v>29</v>
      </c>
      <c r="D6">
        <v>67</v>
      </c>
      <c r="E6">
        <v>784</v>
      </c>
      <c r="F6">
        <v>220</v>
      </c>
      <c r="G6" s="289"/>
      <c r="H6" s="290"/>
      <c r="J6">
        <v>1999</v>
      </c>
      <c r="K6" s="282">
        <v>5.921052631578947E-2</v>
      </c>
      <c r="L6" s="282">
        <v>0.18092105263157895</v>
      </c>
      <c r="M6" s="282">
        <v>0</v>
      </c>
      <c r="N6" s="282">
        <v>0.61513157894736847</v>
      </c>
      <c r="O6" s="282">
        <v>3.2894736842105261E-3</v>
      </c>
      <c r="P6" s="282">
        <v>0.10855263157894737</v>
      </c>
      <c r="Q6" s="282">
        <v>1.6447368421052631E-2</v>
      </c>
      <c r="R6" s="282">
        <v>0</v>
      </c>
      <c r="S6" s="282">
        <v>1.6447368421052631E-2</v>
      </c>
      <c r="T6" s="282">
        <v>0</v>
      </c>
      <c r="V6" s="291"/>
      <c r="W6" s="291"/>
      <c r="X6" s="291"/>
      <c r="Y6" s="291"/>
      <c r="Z6" s="291"/>
      <c r="AA6" s="291"/>
      <c r="AB6" s="291"/>
      <c r="AC6" s="291"/>
      <c r="AD6" s="291"/>
      <c r="AE6" s="291"/>
      <c r="AF6" s="291"/>
      <c r="AG6" s="291"/>
      <c r="AH6" s="291"/>
      <c r="AK6" s="283"/>
    </row>
    <row r="7" spans="1:37" x14ac:dyDescent="0.25">
      <c r="A7">
        <v>1992</v>
      </c>
      <c r="B7">
        <v>1985</v>
      </c>
      <c r="C7">
        <v>54</v>
      </c>
      <c r="D7">
        <v>127</v>
      </c>
      <c r="E7">
        <v>1504</v>
      </c>
      <c r="F7">
        <v>325</v>
      </c>
      <c r="G7" s="289"/>
      <c r="H7" s="290"/>
      <c r="J7">
        <v>2000</v>
      </c>
      <c r="K7" s="282">
        <v>0.12903225806451613</v>
      </c>
      <c r="L7" s="282">
        <v>7.2580645161290328E-2</v>
      </c>
      <c r="M7" s="282">
        <v>4.0322580645161289E-3</v>
      </c>
      <c r="N7" s="282">
        <v>0.56048387096774188</v>
      </c>
      <c r="O7" s="282">
        <v>1.6129032258064516E-2</v>
      </c>
      <c r="P7" s="282">
        <v>8.4677419354838704E-2</v>
      </c>
      <c r="Q7" s="282">
        <v>0.10887096774193548</v>
      </c>
      <c r="R7" s="282">
        <v>0</v>
      </c>
      <c r="S7" s="282">
        <v>2.4193548387096774E-2</v>
      </c>
      <c r="T7" s="282">
        <v>0</v>
      </c>
      <c r="V7" s="291"/>
      <c r="W7" s="291"/>
      <c r="X7" s="291"/>
      <c r="Y7" s="291"/>
      <c r="Z7" s="291"/>
      <c r="AA7" s="291"/>
      <c r="AB7" s="291"/>
      <c r="AC7" s="291"/>
      <c r="AD7" s="291"/>
      <c r="AE7" s="291"/>
      <c r="AF7" s="291"/>
      <c r="AG7" s="291"/>
      <c r="AH7" s="291"/>
      <c r="AK7" s="283"/>
    </row>
    <row r="8" spans="1:37" x14ac:dyDescent="0.25">
      <c r="A8">
        <v>1993</v>
      </c>
      <c r="B8">
        <v>4091</v>
      </c>
      <c r="C8">
        <v>133</v>
      </c>
      <c r="D8">
        <v>119</v>
      </c>
      <c r="E8">
        <v>790</v>
      </c>
      <c r="F8">
        <v>197</v>
      </c>
      <c r="G8" s="289"/>
      <c r="H8" s="290"/>
      <c r="J8">
        <v>2001</v>
      </c>
      <c r="K8" s="282">
        <v>0.6179775280898876</v>
      </c>
      <c r="L8" s="282">
        <v>2.247191011235955E-2</v>
      </c>
      <c r="M8" s="282">
        <v>2.247191011235955E-2</v>
      </c>
      <c r="N8" s="282">
        <v>7.8651685393258425E-2</v>
      </c>
      <c r="O8" s="282">
        <v>0</v>
      </c>
      <c r="P8" s="282">
        <v>0.23595505617977527</v>
      </c>
      <c r="Q8" s="282">
        <v>2.247191011235955E-2</v>
      </c>
      <c r="R8" s="282">
        <v>0</v>
      </c>
      <c r="S8" s="282">
        <v>0</v>
      </c>
      <c r="T8" s="282">
        <v>0</v>
      </c>
      <c r="V8" s="291"/>
      <c r="W8" s="291"/>
      <c r="X8" s="291"/>
      <c r="Y8" s="291"/>
      <c r="Z8" s="291"/>
      <c r="AA8" s="291"/>
      <c r="AB8" s="291"/>
      <c r="AC8" s="291"/>
      <c r="AD8" s="291"/>
      <c r="AE8" s="291"/>
      <c r="AF8" s="291"/>
      <c r="AG8" s="291"/>
      <c r="AH8" s="291"/>
      <c r="AK8" s="283"/>
    </row>
    <row r="9" spans="1:37" x14ac:dyDescent="0.25">
      <c r="A9">
        <v>1994</v>
      </c>
      <c r="B9">
        <v>4416</v>
      </c>
      <c r="C9">
        <v>170</v>
      </c>
      <c r="D9">
        <v>397</v>
      </c>
      <c r="E9">
        <v>2656</v>
      </c>
      <c r="F9">
        <v>308</v>
      </c>
      <c r="G9" s="289"/>
      <c r="H9" s="290"/>
      <c r="J9">
        <v>2002</v>
      </c>
      <c r="K9" s="282">
        <v>0.22857142857142856</v>
      </c>
      <c r="L9" s="282">
        <v>0.37142857142857144</v>
      </c>
      <c r="M9" s="282">
        <v>0</v>
      </c>
      <c r="N9" s="282">
        <v>0.2857142857142857</v>
      </c>
      <c r="O9" s="282">
        <v>5.7142857142857141E-2</v>
      </c>
      <c r="P9" s="282">
        <v>5.7142857142857141E-2</v>
      </c>
      <c r="Q9" s="282">
        <v>0</v>
      </c>
      <c r="R9" s="282">
        <v>0</v>
      </c>
      <c r="S9" s="282">
        <v>0</v>
      </c>
      <c r="T9" s="282">
        <v>0</v>
      </c>
      <c r="V9" s="291"/>
      <c r="W9" s="291"/>
      <c r="X9" s="291"/>
      <c r="Y9" s="291"/>
      <c r="Z9" s="291"/>
      <c r="AA9" s="291"/>
      <c r="AB9" s="291"/>
      <c r="AC9" s="291"/>
      <c r="AD9" s="291"/>
      <c r="AE9" s="291"/>
      <c r="AF9" s="291"/>
      <c r="AG9" s="291"/>
      <c r="AH9" s="291"/>
      <c r="AK9" s="283"/>
    </row>
    <row r="10" spans="1:37" x14ac:dyDescent="0.25">
      <c r="A10">
        <v>1995</v>
      </c>
      <c r="B10">
        <v>8231</v>
      </c>
      <c r="C10">
        <v>506</v>
      </c>
      <c r="D10">
        <v>1180</v>
      </c>
      <c r="E10">
        <v>8107</v>
      </c>
      <c r="F10">
        <v>578</v>
      </c>
      <c r="G10" s="289"/>
      <c r="H10" s="290"/>
      <c r="J10">
        <v>2003</v>
      </c>
      <c r="K10" s="282">
        <v>8.7136929460580909E-2</v>
      </c>
      <c r="L10" s="282">
        <v>7.0539419087136929E-2</v>
      </c>
      <c r="M10" s="282">
        <v>8.2987551867219917E-3</v>
      </c>
      <c r="N10" s="282">
        <v>0.70954356846473032</v>
      </c>
      <c r="O10" s="282">
        <v>2.0746887966804978E-2</v>
      </c>
      <c r="P10" s="282">
        <v>2.4896265560165973E-2</v>
      </c>
      <c r="Q10" s="282">
        <v>6.2240663900414939E-2</v>
      </c>
      <c r="R10" s="282">
        <v>0</v>
      </c>
      <c r="S10" s="282">
        <v>1.6597510373443983E-2</v>
      </c>
      <c r="T10" s="282">
        <v>0</v>
      </c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K10" s="283"/>
    </row>
    <row r="11" spans="1:37" x14ac:dyDescent="0.25">
      <c r="A11">
        <v>1996</v>
      </c>
      <c r="B11">
        <v>4151</v>
      </c>
      <c r="C11">
        <v>1050</v>
      </c>
      <c r="D11">
        <v>1762</v>
      </c>
      <c r="E11">
        <v>3717</v>
      </c>
      <c r="F11">
        <v>559</v>
      </c>
      <c r="G11" s="289"/>
      <c r="H11" s="290"/>
      <c r="J11">
        <v>2004</v>
      </c>
      <c r="K11" s="282">
        <v>1.098901098901099E-2</v>
      </c>
      <c r="L11" s="282">
        <v>8.7912087912087919E-2</v>
      </c>
      <c r="M11" s="282">
        <v>3.2967032967032968E-2</v>
      </c>
      <c r="N11" s="282">
        <v>0.35164835164835168</v>
      </c>
      <c r="O11" s="282">
        <v>3.2967032967032968E-2</v>
      </c>
      <c r="P11" s="282">
        <v>0.23076923076923078</v>
      </c>
      <c r="Q11" s="282">
        <v>8.7912087912087919E-2</v>
      </c>
      <c r="R11" s="282">
        <v>0</v>
      </c>
      <c r="S11" s="282">
        <v>0.16483516483516483</v>
      </c>
      <c r="T11" s="282">
        <v>0</v>
      </c>
      <c r="V11" s="291"/>
      <c r="W11" s="291"/>
      <c r="X11" s="291"/>
      <c r="Y11" s="291"/>
      <c r="Z11" s="291"/>
      <c r="AA11" s="291"/>
      <c r="AB11" s="291"/>
      <c r="AC11" s="291"/>
      <c r="AD11" s="291"/>
      <c r="AE11" s="291"/>
      <c r="AF11" s="291"/>
      <c r="AG11" s="291"/>
      <c r="AH11" s="291"/>
      <c r="AK11" s="283"/>
    </row>
    <row r="12" spans="1:37" x14ac:dyDescent="0.25">
      <c r="A12">
        <v>1997</v>
      </c>
      <c r="B12">
        <v>5001</v>
      </c>
      <c r="C12">
        <v>1427</v>
      </c>
      <c r="D12">
        <v>801</v>
      </c>
      <c r="E12">
        <v>2339</v>
      </c>
      <c r="F12">
        <v>352</v>
      </c>
      <c r="G12" s="289"/>
      <c r="H12" s="290"/>
      <c r="J12">
        <v>2005</v>
      </c>
      <c r="K12" s="282">
        <v>6.3492063492063489E-2</v>
      </c>
      <c r="L12" s="282">
        <v>0.12698412698412698</v>
      </c>
      <c r="M12" s="282">
        <v>0</v>
      </c>
      <c r="N12" s="282">
        <v>0.46031746031746029</v>
      </c>
      <c r="O12" s="282">
        <v>1.5873015873015872E-2</v>
      </c>
      <c r="P12" s="282">
        <v>0.20634920634920634</v>
      </c>
      <c r="Q12" s="282">
        <v>9.5238095238095233E-2</v>
      </c>
      <c r="R12" s="282">
        <v>0</v>
      </c>
      <c r="S12" s="282">
        <v>3.1746031746031744E-2</v>
      </c>
      <c r="T12" s="282">
        <v>0</v>
      </c>
      <c r="V12" s="291"/>
      <c r="W12" s="291"/>
      <c r="X12" s="291"/>
      <c r="Y12" s="291"/>
      <c r="Z12" s="291"/>
      <c r="AA12" s="291"/>
      <c r="AB12" s="291"/>
      <c r="AC12" s="291"/>
      <c r="AD12" s="291"/>
      <c r="AE12" s="291"/>
      <c r="AF12" s="291"/>
      <c r="AG12" s="291"/>
      <c r="AH12" s="291"/>
      <c r="AK12" s="283"/>
    </row>
    <row r="13" spans="1:37" x14ac:dyDescent="0.25">
      <c r="A13">
        <v>1998</v>
      </c>
      <c r="B13">
        <v>5340</v>
      </c>
      <c r="C13">
        <v>516</v>
      </c>
      <c r="D13">
        <v>834</v>
      </c>
      <c r="E13">
        <v>2101</v>
      </c>
      <c r="F13">
        <v>594</v>
      </c>
      <c r="G13" s="289"/>
      <c r="H13" s="290"/>
      <c r="J13" s="284" t="s">
        <v>177</v>
      </c>
      <c r="K13" s="285">
        <f>AVERAGE(K4:K12)</f>
        <v>0.16688759942226339</v>
      </c>
      <c r="L13" s="285">
        <f t="shared" ref="L13:T13" si="2">AVERAGE(L4:L12)</f>
        <v>0.15257152956600067</v>
      </c>
      <c r="M13" s="285">
        <f t="shared" si="2"/>
        <v>1.225969991080835E-2</v>
      </c>
      <c r="N13" s="285">
        <f t="shared" si="2"/>
        <v>0.43644100210507936</v>
      </c>
      <c r="O13" s="285">
        <f>AVERAGE(O4:O12)</f>
        <v>2.171665882478668E-2</v>
      </c>
      <c r="P13" s="285">
        <f t="shared" si="2"/>
        <v>0.1344008941903562</v>
      </c>
      <c r="Q13" s="285">
        <f t="shared" si="2"/>
        <v>4.6176349541112181E-2</v>
      </c>
      <c r="R13" s="285">
        <f t="shared" si="2"/>
        <v>8.960573476702509E-4</v>
      </c>
      <c r="S13" s="285">
        <f t="shared" si="2"/>
        <v>2.8202180418087777E-2</v>
      </c>
      <c r="T13" s="285">
        <f t="shared" si="2"/>
        <v>4.4802867383512545E-4</v>
      </c>
      <c r="V13" s="291"/>
      <c r="W13" s="291"/>
      <c r="X13" s="291"/>
      <c r="Y13" s="291"/>
      <c r="Z13" s="291"/>
      <c r="AA13" s="291"/>
      <c r="AB13" s="291"/>
      <c r="AC13" s="291"/>
      <c r="AD13" s="291"/>
      <c r="AE13" s="291"/>
      <c r="AF13" s="291"/>
      <c r="AG13" s="291"/>
      <c r="AH13" s="291"/>
      <c r="AK13" s="283"/>
    </row>
    <row r="14" spans="1:37" x14ac:dyDescent="0.25">
      <c r="A14">
        <v>1999</v>
      </c>
      <c r="B14">
        <v>2721</v>
      </c>
      <c r="C14">
        <v>740</v>
      </c>
      <c r="D14">
        <v>605</v>
      </c>
      <c r="E14">
        <v>3810</v>
      </c>
      <c r="F14">
        <v>588</v>
      </c>
      <c r="G14" s="289"/>
      <c r="H14" s="290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K14" s="283"/>
    </row>
    <row r="15" spans="1:37" x14ac:dyDescent="0.25">
      <c r="A15">
        <v>2000</v>
      </c>
      <c r="B15">
        <v>3092</v>
      </c>
      <c r="C15">
        <v>1036</v>
      </c>
      <c r="D15">
        <v>351</v>
      </c>
      <c r="E15">
        <v>1318</v>
      </c>
      <c r="F15">
        <v>594</v>
      </c>
      <c r="G15" s="289"/>
      <c r="H15" s="290"/>
      <c r="J15" s="278" t="s">
        <v>178</v>
      </c>
      <c r="V15" s="291"/>
      <c r="W15" s="291"/>
      <c r="X15" s="291"/>
      <c r="Y15" s="291"/>
      <c r="Z15" s="291"/>
      <c r="AA15" s="291"/>
      <c r="AB15" s="291"/>
      <c r="AC15" s="291"/>
      <c r="AD15" s="291"/>
      <c r="AE15" s="291"/>
      <c r="AF15" s="291"/>
      <c r="AG15" s="291"/>
      <c r="AH15" s="291"/>
      <c r="AK15" s="283"/>
    </row>
    <row r="16" spans="1:37" x14ac:dyDescent="0.25">
      <c r="A16">
        <v>2001</v>
      </c>
      <c r="B16">
        <v>1261</v>
      </c>
      <c r="C16">
        <v>345</v>
      </c>
      <c r="D16">
        <v>60</v>
      </c>
      <c r="E16">
        <v>1087</v>
      </c>
      <c r="F16">
        <v>402</v>
      </c>
      <c r="G16" s="289"/>
      <c r="H16" s="290"/>
      <c r="J16" s="280" t="s">
        <v>3</v>
      </c>
      <c r="K16" s="280">
        <v>0.1</v>
      </c>
      <c r="L16" s="280">
        <v>0.2</v>
      </c>
      <c r="M16" s="280">
        <v>1.1000000000000001</v>
      </c>
      <c r="N16" s="280">
        <v>0.3</v>
      </c>
      <c r="O16" s="280">
        <v>1.2</v>
      </c>
      <c r="P16" s="280">
        <v>0.4</v>
      </c>
      <c r="Q16" s="280">
        <v>1.3</v>
      </c>
      <c r="R16" s="280">
        <v>0.5</v>
      </c>
      <c r="S16" s="280">
        <v>1.4</v>
      </c>
      <c r="T16" s="280">
        <v>1.5</v>
      </c>
      <c r="V16" s="291"/>
      <c r="W16" s="291"/>
      <c r="X16" s="291"/>
      <c r="Y16" s="291"/>
      <c r="Z16" s="291"/>
      <c r="AA16" s="291"/>
      <c r="AB16" s="291"/>
      <c r="AC16" s="291"/>
      <c r="AD16" s="291"/>
      <c r="AE16" s="291"/>
      <c r="AF16" s="291"/>
      <c r="AG16" s="291"/>
      <c r="AH16" s="291"/>
      <c r="AK16" s="283"/>
    </row>
    <row r="17" spans="1:37" x14ac:dyDescent="0.25">
      <c r="A17">
        <v>2002</v>
      </c>
      <c r="B17">
        <v>1772</v>
      </c>
      <c r="C17">
        <v>66</v>
      </c>
      <c r="D17">
        <v>63</v>
      </c>
      <c r="E17">
        <v>1078</v>
      </c>
      <c r="F17">
        <v>416</v>
      </c>
      <c r="G17" s="289"/>
      <c r="H17" s="290"/>
      <c r="J17">
        <v>1990</v>
      </c>
      <c r="K17" s="282">
        <v>9.0090090090090089E-3</v>
      </c>
      <c r="L17" s="282">
        <v>0.34234234234234234</v>
      </c>
      <c r="M17" s="282">
        <v>9.0090090090090089E-3</v>
      </c>
      <c r="N17" s="282">
        <v>9.0090090090090086E-2</v>
      </c>
      <c r="O17" s="282">
        <v>9.90990990990991E-2</v>
      </c>
      <c r="P17" s="282">
        <v>0.27027027027027029</v>
      </c>
      <c r="Q17" s="282">
        <v>5.4054054054054057E-2</v>
      </c>
      <c r="R17" s="282">
        <v>0</v>
      </c>
      <c r="S17" s="282">
        <v>0.12612612612612611</v>
      </c>
      <c r="T17" s="282">
        <v>0</v>
      </c>
      <c r="V17" s="291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K17" s="283"/>
    </row>
    <row r="18" spans="1:37" x14ac:dyDescent="0.25">
      <c r="A18">
        <v>2003</v>
      </c>
      <c r="B18">
        <v>3281</v>
      </c>
      <c r="C18">
        <v>636</v>
      </c>
      <c r="D18">
        <v>414</v>
      </c>
      <c r="E18">
        <v>2342</v>
      </c>
      <c r="F18">
        <v>613</v>
      </c>
      <c r="G18" s="289"/>
      <c r="H18" s="290"/>
      <c r="J18">
        <v>1991</v>
      </c>
      <c r="K18" s="282">
        <v>3.0303030303030303E-3</v>
      </c>
      <c r="L18" s="282">
        <v>0.18181818181818182</v>
      </c>
      <c r="M18" s="282">
        <v>3.0303030303030303E-3</v>
      </c>
      <c r="N18" s="282">
        <v>0.51515151515151514</v>
      </c>
      <c r="O18" s="282">
        <v>8.1818181818181818E-2</v>
      </c>
      <c r="P18" s="282">
        <v>8.4848484848484854E-2</v>
      </c>
      <c r="Q18" s="282">
        <v>9.696969696969697E-2</v>
      </c>
      <c r="R18" s="282">
        <v>6.0606060606060606E-3</v>
      </c>
      <c r="S18" s="282">
        <v>2.4242424242424242E-2</v>
      </c>
      <c r="T18" s="282">
        <v>3.0303030303030303E-3</v>
      </c>
      <c r="V18" s="291"/>
      <c r="W18" s="291"/>
      <c r="X18" s="291"/>
      <c r="Y18" s="291"/>
      <c r="Z18" s="291"/>
      <c r="AA18" s="291"/>
      <c r="AB18" s="291"/>
      <c r="AC18" s="291"/>
      <c r="AD18" s="291"/>
      <c r="AE18" s="291"/>
      <c r="AF18" s="291"/>
      <c r="AG18" s="291"/>
      <c r="AH18" s="291"/>
    </row>
    <row r="19" spans="1:37" x14ac:dyDescent="0.25">
      <c r="A19">
        <v>2004</v>
      </c>
      <c r="B19">
        <v>1558</v>
      </c>
      <c r="C19">
        <v>45</v>
      </c>
      <c r="D19">
        <v>351</v>
      </c>
      <c r="E19">
        <v>1222</v>
      </c>
      <c r="F19">
        <v>396</v>
      </c>
      <c r="G19" s="289"/>
      <c r="H19" s="290"/>
      <c r="J19">
        <v>1992</v>
      </c>
      <c r="K19" s="282">
        <v>0</v>
      </c>
      <c r="L19" s="282">
        <v>0.18627450980392157</v>
      </c>
      <c r="M19" s="282">
        <v>9.8039215686274508E-3</v>
      </c>
      <c r="N19" s="282">
        <v>0.16666666666666666</v>
      </c>
      <c r="O19" s="282">
        <v>4.9019607843137254E-2</v>
      </c>
      <c r="P19" s="282">
        <v>0.39215686274509803</v>
      </c>
      <c r="Q19" s="282">
        <v>6.8627450980392163E-2</v>
      </c>
      <c r="R19" s="282">
        <v>0</v>
      </c>
      <c r="S19" s="282">
        <v>0.12745098039215685</v>
      </c>
      <c r="T19" s="282">
        <v>0</v>
      </c>
      <c r="V19" s="291"/>
      <c r="W19" s="291"/>
      <c r="X19" s="291"/>
      <c r="Y19" s="291"/>
      <c r="Z19" s="291"/>
      <c r="AA19" s="291"/>
      <c r="AB19" s="291"/>
      <c r="AC19" s="291"/>
      <c r="AD19" s="291"/>
      <c r="AE19" s="291"/>
      <c r="AF19" s="291"/>
      <c r="AG19" s="291"/>
      <c r="AH19" s="291"/>
      <c r="AJ19" s="308"/>
    </row>
    <row r="20" spans="1:37" x14ac:dyDescent="0.25">
      <c r="A20">
        <v>2005</v>
      </c>
      <c r="B20">
        <v>1064</v>
      </c>
      <c r="C20">
        <v>3</v>
      </c>
      <c r="D20">
        <v>207</v>
      </c>
      <c r="E20">
        <v>1</v>
      </c>
      <c r="F20">
        <v>152</v>
      </c>
      <c r="G20" s="289"/>
      <c r="H20" s="290"/>
      <c r="J20">
        <v>1993</v>
      </c>
      <c r="K20" s="282">
        <v>0</v>
      </c>
      <c r="L20" s="282">
        <v>0.15094339622641509</v>
      </c>
      <c r="M20" s="282">
        <v>1.8867924528301886E-2</v>
      </c>
      <c r="N20" s="282">
        <v>0.26415094339622641</v>
      </c>
      <c r="O20" s="282">
        <v>0.1069182389937107</v>
      </c>
      <c r="P20" s="282">
        <v>0.21069182389937108</v>
      </c>
      <c r="Q20" s="282">
        <v>0.10062893081761007</v>
      </c>
      <c r="R20" s="282">
        <v>1.2578616352201259E-2</v>
      </c>
      <c r="S20" s="282">
        <v>0.13207547169811321</v>
      </c>
      <c r="T20" s="282">
        <v>3.1446540880503146E-3</v>
      </c>
      <c r="V20" s="291"/>
      <c r="W20" s="291"/>
      <c r="X20" s="291"/>
      <c r="Y20" s="291"/>
      <c r="Z20" s="291"/>
      <c r="AA20" s="291"/>
      <c r="AB20" s="291"/>
      <c r="AC20" s="291"/>
      <c r="AD20" s="291"/>
      <c r="AE20" s="291"/>
      <c r="AF20" s="291"/>
      <c r="AG20" s="291"/>
      <c r="AH20" s="291"/>
    </row>
    <row r="21" spans="1:37" x14ac:dyDescent="0.25">
      <c r="A21">
        <v>2006</v>
      </c>
      <c r="B21">
        <v>1404</v>
      </c>
      <c r="C21">
        <v>23</v>
      </c>
      <c r="D21">
        <v>43</v>
      </c>
      <c r="E21">
        <v>19</v>
      </c>
      <c r="F21">
        <v>218</v>
      </c>
      <c r="G21" s="289"/>
      <c r="H21" s="290"/>
      <c r="J21">
        <v>1994</v>
      </c>
      <c r="K21" s="282">
        <v>0</v>
      </c>
      <c r="L21" s="282">
        <v>0.34632034632034631</v>
      </c>
      <c r="M21" s="282">
        <v>4.329004329004329E-3</v>
      </c>
      <c r="N21" s="282">
        <v>0.25108225108225107</v>
      </c>
      <c r="O21" s="282">
        <v>0.13852813852813853</v>
      </c>
      <c r="P21" s="282">
        <v>0.18181818181818182</v>
      </c>
      <c r="Q21" s="282">
        <v>3.0303030303030304E-2</v>
      </c>
      <c r="R21" s="282">
        <v>0</v>
      </c>
      <c r="S21" s="282">
        <v>4.7619047619047616E-2</v>
      </c>
      <c r="T21" s="282">
        <v>0</v>
      </c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</row>
    <row r="22" spans="1:37" x14ac:dyDescent="0.25">
      <c r="A22">
        <v>2007</v>
      </c>
      <c r="B22">
        <v>2158</v>
      </c>
      <c r="C22">
        <v>0</v>
      </c>
      <c r="D22">
        <v>23</v>
      </c>
      <c r="E22">
        <v>83</v>
      </c>
      <c r="F22">
        <v>229</v>
      </c>
      <c r="G22" s="289"/>
      <c r="H22" s="290"/>
      <c r="J22">
        <v>1995</v>
      </c>
      <c r="K22" s="282">
        <v>0</v>
      </c>
      <c r="L22" s="282">
        <v>5.4054054054054057E-2</v>
      </c>
      <c r="M22" s="282">
        <v>2.4570024570024569E-3</v>
      </c>
      <c r="N22" s="282">
        <v>0.70761670761670759</v>
      </c>
      <c r="O22" s="282">
        <v>2.7027027027027029E-2</v>
      </c>
      <c r="P22" s="282">
        <v>8.1081081081081086E-2</v>
      </c>
      <c r="Q22" s="282">
        <v>0.12530712530712532</v>
      </c>
      <c r="R22" s="282">
        <v>0</v>
      </c>
      <c r="S22" s="282">
        <v>2.4570024570024569E-3</v>
      </c>
      <c r="T22" s="282">
        <v>0</v>
      </c>
      <c r="V22" s="291"/>
      <c r="W22" s="291"/>
      <c r="X22" s="291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</row>
    <row r="23" spans="1:37" x14ac:dyDescent="0.25">
      <c r="A23">
        <v>2008</v>
      </c>
      <c r="B23">
        <v>798</v>
      </c>
      <c r="C23">
        <v>0</v>
      </c>
      <c r="D23">
        <v>0</v>
      </c>
      <c r="E23">
        <v>91</v>
      </c>
      <c r="F23">
        <v>325</v>
      </c>
      <c r="G23" s="289"/>
      <c r="H23" s="290"/>
      <c r="J23">
        <v>1996</v>
      </c>
      <c r="K23" s="282">
        <v>0</v>
      </c>
      <c r="L23" s="282">
        <v>0.12206572769953052</v>
      </c>
      <c r="M23" s="282">
        <v>2.3474178403755869E-3</v>
      </c>
      <c r="N23" s="282">
        <v>0.35446009389671362</v>
      </c>
      <c r="O23" s="282">
        <v>4.9295774647887321E-2</v>
      </c>
      <c r="P23" s="282">
        <v>0.30985915492957744</v>
      </c>
      <c r="Q23" s="282">
        <v>0.10093896713615023</v>
      </c>
      <c r="R23" s="282">
        <v>4.6948356807511738E-3</v>
      </c>
      <c r="S23" s="282">
        <v>5.6338028169014086E-2</v>
      </c>
      <c r="T23" s="282">
        <v>0</v>
      </c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</row>
    <row r="24" spans="1:37" x14ac:dyDescent="0.25">
      <c r="A24">
        <v>2009</v>
      </c>
      <c r="B24">
        <v>1252</v>
      </c>
      <c r="C24">
        <v>0</v>
      </c>
      <c r="D24">
        <v>4</v>
      </c>
      <c r="E24">
        <v>307</v>
      </c>
      <c r="F24">
        <v>297</v>
      </c>
      <c r="G24" s="289"/>
      <c r="H24" s="290"/>
      <c r="J24">
        <v>1997</v>
      </c>
      <c r="K24" s="282">
        <v>4.6511627906976744E-3</v>
      </c>
      <c r="L24" s="282">
        <v>0.18604651162790697</v>
      </c>
      <c r="M24" s="282">
        <v>4.6511627906976744E-3</v>
      </c>
      <c r="N24" s="282">
        <v>0.37441860465116278</v>
      </c>
      <c r="O24" s="282">
        <v>9.3023255813953487E-3</v>
      </c>
      <c r="P24" s="282">
        <v>0.37209302325581395</v>
      </c>
      <c r="Q24" s="282">
        <v>3.255813953488372E-2</v>
      </c>
      <c r="R24" s="282">
        <v>4.6511627906976744E-3</v>
      </c>
      <c r="S24" s="282">
        <v>1.1627906976744186E-2</v>
      </c>
      <c r="T24" s="282">
        <v>0</v>
      </c>
      <c r="V24" s="291"/>
      <c r="W24" s="291"/>
      <c r="X24" s="291"/>
      <c r="Y24" s="291"/>
      <c r="Z24" s="291"/>
      <c r="AA24" s="291"/>
      <c r="AB24" s="291"/>
      <c r="AC24" s="291"/>
      <c r="AD24" s="291"/>
      <c r="AE24" s="291"/>
      <c r="AF24" s="291"/>
      <c r="AG24" s="291"/>
      <c r="AH24" s="291"/>
    </row>
    <row r="25" spans="1:37" x14ac:dyDescent="0.25">
      <c r="A25">
        <v>2010</v>
      </c>
      <c r="B25">
        <v>355</v>
      </c>
      <c r="C25">
        <v>11</v>
      </c>
      <c r="D25">
        <v>25</v>
      </c>
      <c r="E25">
        <v>50</v>
      </c>
      <c r="F25">
        <v>141</v>
      </c>
      <c r="G25" s="289"/>
      <c r="H25" s="290"/>
      <c r="J25">
        <v>1998</v>
      </c>
      <c r="K25" s="282">
        <v>1.834862385321101E-2</v>
      </c>
      <c r="L25" s="282">
        <v>0.33027522935779818</v>
      </c>
      <c r="M25" s="282">
        <v>1.1467889908256881E-2</v>
      </c>
      <c r="N25" s="282">
        <v>0.42201834862385323</v>
      </c>
      <c r="O25" s="282">
        <v>1.3761467889908258E-2</v>
      </c>
      <c r="P25" s="282">
        <v>0.18577981651376146</v>
      </c>
      <c r="Q25" s="282">
        <v>1.6055045871559634E-2</v>
      </c>
      <c r="R25" s="282">
        <v>0</v>
      </c>
      <c r="S25" s="282">
        <v>2.2935779816513763E-3</v>
      </c>
      <c r="T25" s="282">
        <v>0</v>
      </c>
      <c r="V25" s="291"/>
      <c r="W25" s="291"/>
      <c r="X25" s="291"/>
      <c r="Y25" s="291"/>
      <c r="Z25" s="291"/>
      <c r="AA25" s="291"/>
      <c r="AB25" s="291"/>
      <c r="AC25" s="291"/>
      <c r="AD25" s="291"/>
      <c r="AE25" s="291"/>
      <c r="AF25" s="291"/>
      <c r="AG25" s="291"/>
      <c r="AH25" s="291"/>
    </row>
    <row r="26" spans="1:37" x14ac:dyDescent="0.25">
      <c r="A26">
        <v>2011</v>
      </c>
      <c r="B26">
        <v>1288</v>
      </c>
      <c r="C26">
        <v>53</v>
      </c>
      <c r="D26">
        <v>11</v>
      </c>
      <c r="E26">
        <v>22</v>
      </c>
      <c r="F26">
        <v>10</v>
      </c>
      <c r="G26" s="289"/>
      <c r="H26" s="290"/>
      <c r="J26">
        <v>1999</v>
      </c>
      <c r="K26" s="282">
        <v>2.242152466367713E-3</v>
      </c>
      <c r="L26" s="282">
        <v>0.23318385650224216</v>
      </c>
      <c r="M26" s="282">
        <v>8.9686098654708519E-3</v>
      </c>
      <c r="N26" s="282">
        <v>0.58520179372197312</v>
      </c>
      <c r="O26" s="282">
        <v>2.4663677130044841E-2</v>
      </c>
      <c r="P26" s="282">
        <v>0.10986547085201794</v>
      </c>
      <c r="Q26" s="282">
        <v>2.6905829596412557E-2</v>
      </c>
      <c r="R26" s="282">
        <v>2.242152466367713E-3</v>
      </c>
      <c r="S26" s="282">
        <v>6.7264573991031393E-3</v>
      </c>
      <c r="T26" s="282">
        <v>0</v>
      </c>
      <c r="V26" s="291"/>
      <c r="W26" s="291"/>
      <c r="X26" s="291"/>
      <c r="Y26" s="291"/>
      <c r="Z26" s="291"/>
      <c r="AA26" s="291"/>
      <c r="AB26" s="291"/>
      <c r="AC26" s="291"/>
      <c r="AD26" s="291"/>
      <c r="AE26" s="291"/>
      <c r="AF26" s="291"/>
      <c r="AG26" s="291"/>
      <c r="AH26" s="291"/>
    </row>
    <row r="27" spans="1:37" x14ac:dyDescent="0.25">
      <c r="A27">
        <v>2012</v>
      </c>
      <c r="B27">
        <v>628</v>
      </c>
      <c r="C27">
        <v>0</v>
      </c>
      <c r="D27">
        <v>3</v>
      </c>
      <c r="E27">
        <v>89</v>
      </c>
      <c r="F27">
        <v>25</v>
      </c>
      <c r="G27" s="289"/>
      <c r="H27" s="290"/>
      <c r="J27">
        <v>2000</v>
      </c>
      <c r="K27" s="282">
        <v>0</v>
      </c>
      <c r="L27" s="282">
        <v>6.6985645933014357E-2</v>
      </c>
      <c r="M27" s="282">
        <v>0</v>
      </c>
      <c r="N27" s="282">
        <v>0.72248803827751196</v>
      </c>
      <c r="O27" s="282">
        <v>3.8277511961722487E-2</v>
      </c>
      <c r="P27" s="282">
        <v>0.13397129186602871</v>
      </c>
      <c r="Q27" s="282">
        <v>3.3492822966507178E-2</v>
      </c>
      <c r="R27" s="282">
        <v>0</v>
      </c>
      <c r="S27" s="282">
        <v>4.7846889952153108E-3</v>
      </c>
      <c r="T27" s="282">
        <v>0</v>
      </c>
      <c r="V27" s="291"/>
      <c r="W27" s="291"/>
      <c r="X27" s="291"/>
      <c r="Y27" s="291"/>
      <c r="Z27" s="291"/>
      <c r="AA27" s="291"/>
      <c r="AB27" s="291"/>
      <c r="AC27" s="291"/>
      <c r="AD27" s="291"/>
      <c r="AE27" s="291"/>
      <c r="AF27" s="291"/>
      <c r="AG27" s="291"/>
      <c r="AH27" s="291"/>
    </row>
    <row r="28" spans="1:37" x14ac:dyDescent="0.25">
      <c r="A28">
        <v>2013</v>
      </c>
      <c r="B28">
        <v>1045</v>
      </c>
      <c r="C28">
        <v>0</v>
      </c>
      <c r="D28">
        <v>9</v>
      </c>
      <c r="E28">
        <v>314</v>
      </c>
      <c r="F28">
        <v>84</v>
      </c>
      <c r="G28" s="289"/>
      <c r="H28" s="290"/>
      <c r="J28">
        <v>2001</v>
      </c>
      <c r="K28" s="282">
        <v>1.1594202898550725E-2</v>
      </c>
      <c r="L28" s="282">
        <v>0.15942028985507245</v>
      </c>
      <c r="M28" s="282">
        <v>1.7391304347826087E-2</v>
      </c>
      <c r="N28" s="282">
        <v>0.22898550724637681</v>
      </c>
      <c r="O28" s="282">
        <v>2.0289855072463767E-2</v>
      </c>
      <c r="P28" s="282">
        <v>0.40579710144927539</v>
      </c>
      <c r="Q28" s="282">
        <v>0.11594202898550725</v>
      </c>
      <c r="R28" s="282">
        <v>5.7971014492753624E-3</v>
      </c>
      <c r="S28" s="282">
        <v>3.4782608695652174E-2</v>
      </c>
      <c r="T28" s="282">
        <v>0</v>
      </c>
      <c r="V28" s="291"/>
      <c r="W28" s="291"/>
      <c r="X28" s="291"/>
      <c r="Y28" s="291"/>
      <c r="Z28" s="291"/>
      <c r="AA28" s="291"/>
      <c r="AB28" s="291"/>
      <c r="AC28" s="291"/>
      <c r="AD28" s="291"/>
      <c r="AE28" s="291"/>
      <c r="AF28" s="291"/>
      <c r="AG28" s="291"/>
      <c r="AH28" s="291"/>
    </row>
    <row r="29" spans="1:37" x14ac:dyDescent="0.25">
      <c r="A29">
        <v>2014</v>
      </c>
      <c r="B29">
        <v>629</v>
      </c>
      <c r="C29">
        <v>0</v>
      </c>
      <c r="D29">
        <v>0</v>
      </c>
      <c r="E29">
        <v>27</v>
      </c>
      <c r="F29">
        <v>22</v>
      </c>
      <c r="G29" s="289"/>
      <c r="H29" s="290"/>
      <c r="J29">
        <v>2002</v>
      </c>
      <c r="K29" s="282">
        <v>0</v>
      </c>
      <c r="L29" s="282">
        <v>0.4</v>
      </c>
      <c r="M29" s="282">
        <v>1.5189873417721518E-2</v>
      </c>
      <c r="N29" s="282">
        <v>0.19493670886075951</v>
      </c>
      <c r="O29" s="282">
        <v>0.28607594936708863</v>
      </c>
      <c r="P29" s="282">
        <v>2.7848101265822784E-2</v>
      </c>
      <c r="Q29" s="282">
        <v>5.8227848101265821E-2</v>
      </c>
      <c r="R29" s="282">
        <v>0</v>
      </c>
      <c r="S29" s="282">
        <v>1.7721518987341773E-2</v>
      </c>
      <c r="T29" s="282">
        <v>0</v>
      </c>
      <c r="V29" s="291"/>
      <c r="W29" s="291"/>
      <c r="X29" s="291"/>
      <c r="Y29" s="291"/>
      <c r="Z29" s="291"/>
      <c r="AA29" s="291"/>
      <c r="AB29" s="291"/>
      <c r="AC29" s="291"/>
      <c r="AD29" s="291"/>
      <c r="AE29" s="291"/>
      <c r="AF29" s="291"/>
      <c r="AG29" s="291"/>
      <c r="AH29" s="291"/>
    </row>
    <row r="30" spans="1:37" x14ac:dyDescent="0.25">
      <c r="A30">
        <v>2015</v>
      </c>
      <c r="B30">
        <v>418</v>
      </c>
      <c r="C30">
        <v>0</v>
      </c>
      <c r="D30">
        <v>0</v>
      </c>
      <c r="E30">
        <v>20</v>
      </c>
      <c r="F30">
        <v>1</v>
      </c>
      <c r="G30" s="289"/>
      <c r="H30" s="290"/>
      <c r="J30">
        <v>2003</v>
      </c>
      <c r="K30" s="282">
        <v>4.807692307692308E-3</v>
      </c>
      <c r="L30" s="282">
        <v>7.4519230769230768E-2</v>
      </c>
      <c r="M30" s="282">
        <v>0</v>
      </c>
      <c r="N30" s="282">
        <v>0.76923076923076927</v>
      </c>
      <c r="O30" s="282">
        <v>3.6057692307692304E-2</v>
      </c>
      <c r="P30" s="282">
        <v>6.7307692307692304E-2</v>
      </c>
      <c r="Q30" s="282">
        <v>4.3269230769230768E-2</v>
      </c>
      <c r="R30" s="282">
        <v>0</v>
      </c>
      <c r="S30" s="282">
        <v>4.807692307692308E-3</v>
      </c>
      <c r="T30" s="282">
        <v>0</v>
      </c>
      <c r="V30" s="291"/>
      <c r="W30" s="291"/>
      <c r="X30" s="291"/>
      <c r="Y30" s="291"/>
      <c r="Z30" s="291"/>
      <c r="AA30" s="291"/>
      <c r="AB30" s="291"/>
      <c r="AC30" s="291"/>
      <c r="AD30" s="291"/>
      <c r="AE30" s="291"/>
      <c r="AF30" s="291"/>
      <c r="AG30" s="291"/>
      <c r="AH30" s="291"/>
    </row>
    <row r="31" spans="1:37" x14ac:dyDescent="0.25">
      <c r="A31">
        <v>2016</v>
      </c>
      <c r="B31">
        <v>710</v>
      </c>
      <c r="C31">
        <v>0</v>
      </c>
      <c r="D31">
        <v>0</v>
      </c>
      <c r="E31">
        <v>20</v>
      </c>
      <c r="F31">
        <v>44</v>
      </c>
      <c r="G31" s="289"/>
      <c r="H31" s="290"/>
      <c r="J31">
        <v>2004</v>
      </c>
      <c r="K31" s="282">
        <v>6.8728522336769758E-3</v>
      </c>
      <c r="L31" s="282">
        <v>0.23711340206185566</v>
      </c>
      <c r="M31" s="282">
        <v>2.0618556701030927E-2</v>
      </c>
      <c r="N31" s="282">
        <v>0.29896907216494845</v>
      </c>
      <c r="O31" s="282">
        <v>3.7800687285223365E-2</v>
      </c>
      <c r="P31" s="282">
        <v>0.30240549828178692</v>
      </c>
      <c r="Q31" s="282">
        <v>6.8728522336769765E-2</v>
      </c>
      <c r="R31" s="282">
        <v>3.4364261168384879E-3</v>
      </c>
      <c r="S31" s="282">
        <v>2.4054982817869417E-2</v>
      </c>
      <c r="T31" s="282">
        <v>0</v>
      </c>
      <c r="V31" s="291"/>
      <c r="W31" s="291"/>
      <c r="X31" s="291"/>
      <c r="Y31" s="291"/>
      <c r="Z31" s="291"/>
      <c r="AA31" s="291"/>
      <c r="AB31" s="291"/>
      <c r="AC31" s="291"/>
      <c r="AD31" s="291"/>
      <c r="AE31" s="291"/>
      <c r="AF31" s="291"/>
      <c r="AG31" s="291"/>
      <c r="AH31" s="291"/>
    </row>
    <row r="32" spans="1:37" x14ac:dyDescent="0.25">
      <c r="A32">
        <v>2017</v>
      </c>
      <c r="B32">
        <v>2171</v>
      </c>
      <c r="C32">
        <v>0</v>
      </c>
      <c r="D32">
        <v>3</v>
      </c>
      <c r="E32">
        <v>17</v>
      </c>
      <c r="F32">
        <v>8</v>
      </c>
      <c r="G32" s="289"/>
      <c r="H32" s="290"/>
      <c r="J32" s="284" t="s">
        <v>177</v>
      </c>
      <c r="K32" s="285">
        <f>AVERAGE(K23:K31)</f>
        <v>5.3907429500218229E-3</v>
      </c>
      <c r="L32" s="285">
        <f t="shared" ref="L32" si="3">AVERAGE(L23:L31)</f>
        <v>0.20106776597851683</v>
      </c>
      <c r="M32" s="285">
        <f t="shared" ref="M32" si="4">AVERAGE(M23:M31)</f>
        <v>8.9594238745977252E-3</v>
      </c>
      <c r="N32" s="285">
        <f t="shared" ref="N32" si="5">AVERAGE(N23:N31)</f>
        <v>0.43896765963045209</v>
      </c>
      <c r="O32" s="285">
        <f t="shared" ref="O32" si="6">AVERAGE(O23:O31)</f>
        <v>5.7280549027047364E-2</v>
      </c>
      <c r="P32" s="285">
        <f t="shared" ref="P32" si="7">AVERAGE(P23:P31)</f>
        <v>0.21276968341353075</v>
      </c>
      <c r="Q32" s="285">
        <f t="shared" ref="Q32" si="8">AVERAGE(Q23:Q31)</f>
        <v>5.5124270588698544E-2</v>
      </c>
      <c r="R32" s="285">
        <f t="shared" ref="R32" si="9">AVERAGE(R23:R31)</f>
        <v>2.3135198337700461E-3</v>
      </c>
      <c r="S32" s="285">
        <f t="shared" ref="S32" si="10">AVERAGE(S23:S31)</f>
        <v>1.8126384703364865E-2</v>
      </c>
      <c r="T32" s="285">
        <f t="shared" ref="T32" si="11">AVERAGE(T23:T31)</f>
        <v>0</v>
      </c>
      <c r="V32" s="291"/>
      <c r="W32" s="291"/>
      <c r="X32" s="291"/>
      <c r="Y32" s="291"/>
      <c r="Z32" s="291"/>
      <c r="AA32" s="291"/>
      <c r="AB32" s="291"/>
      <c r="AC32" s="291"/>
      <c r="AD32" s="291"/>
      <c r="AE32" s="291"/>
      <c r="AF32" s="291"/>
      <c r="AG32" s="291"/>
      <c r="AH32" s="291"/>
    </row>
    <row r="33" spans="1:34" x14ac:dyDescent="0.25">
      <c r="A33">
        <v>2018</v>
      </c>
      <c r="B33">
        <v>990</v>
      </c>
      <c r="C33">
        <v>0</v>
      </c>
      <c r="D33">
        <v>0</v>
      </c>
      <c r="E33">
        <v>2</v>
      </c>
      <c r="F33">
        <v>0</v>
      </c>
      <c r="G33" s="289"/>
      <c r="H33" s="290"/>
      <c r="V33" s="291"/>
      <c r="W33" s="291"/>
      <c r="X33" s="291"/>
      <c r="Y33" s="291"/>
      <c r="Z33" s="291"/>
      <c r="AA33" s="291"/>
      <c r="AB33" s="291"/>
      <c r="AC33" s="291"/>
      <c r="AD33" s="291"/>
      <c r="AE33" s="291"/>
      <c r="AF33" s="291"/>
      <c r="AG33" s="291"/>
      <c r="AH33" s="291"/>
    </row>
    <row r="34" spans="1:34" x14ac:dyDescent="0.25">
      <c r="A34">
        <v>2019</v>
      </c>
      <c r="B34">
        <v>1875</v>
      </c>
      <c r="C34">
        <v>0</v>
      </c>
      <c r="D34">
        <v>0</v>
      </c>
      <c r="E34">
        <v>0</v>
      </c>
      <c r="F34">
        <v>0</v>
      </c>
      <c r="G34" s="289"/>
      <c r="H34" s="290"/>
      <c r="J34" s="278" t="s">
        <v>179</v>
      </c>
      <c r="V34" s="291"/>
      <c r="W34" s="291"/>
      <c r="X34" s="291"/>
      <c r="Y34" s="291"/>
      <c r="Z34" s="291"/>
      <c r="AA34" s="291"/>
      <c r="AB34" s="291"/>
      <c r="AC34" s="291"/>
      <c r="AD34" s="291"/>
      <c r="AE34" s="291"/>
      <c r="AF34" s="291"/>
      <c r="AG34" s="291"/>
      <c r="AH34" s="291"/>
    </row>
    <row r="35" spans="1:34" x14ac:dyDescent="0.25">
      <c r="J35" s="280" t="s">
        <v>3</v>
      </c>
      <c r="K35" s="280">
        <v>0.1</v>
      </c>
      <c r="L35" s="280">
        <v>0.2</v>
      </c>
      <c r="M35" s="280">
        <v>1.1000000000000001</v>
      </c>
      <c r="N35" s="280">
        <v>0.3</v>
      </c>
      <c r="O35" s="280">
        <v>1.2</v>
      </c>
      <c r="P35" s="280">
        <v>0.4</v>
      </c>
      <c r="Q35" s="280">
        <v>1.3</v>
      </c>
      <c r="R35" s="280">
        <v>0.5</v>
      </c>
      <c r="S35" s="280">
        <v>1.4</v>
      </c>
      <c r="T35" s="280">
        <v>1.5</v>
      </c>
    </row>
    <row r="36" spans="1:34" x14ac:dyDescent="0.25">
      <c r="J36">
        <v>1989</v>
      </c>
      <c r="K36" s="282"/>
      <c r="L36" s="282"/>
      <c r="M36" s="282"/>
      <c r="N36" s="282"/>
      <c r="O36" s="282"/>
      <c r="P36" s="282"/>
      <c r="Q36" s="282"/>
      <c r="R36" s="282"/>
      <c r="S36" s="282"/>
      <c r="T36" s="282"/>
    </row>
    <row r="37" spans="1:34" x14ac:dyDescent="0.25">
      <c r="J37">
        <v>1990</v>
      </c>
      <c r="K37" s="282">
        <v>0</v>
      </c>
      <c r="L37" s="282">
        <v>0.39759036144578314</v>
      </c>
      <c r="M37" s="282">
        <v>1.2048192771084338E-2</v>
      </c>
      <c r="N37" s="282">
        <v>0.10843373493975904</v>
      </c>
      <c r="O37" s="282">
        <v>9.6385542168674704E-2</v>
      </c>
      <c r="P37" s="282">
        <v>0.21686746987951808</v>
      </c>
      <c r="Q37" s="282">
        <v>4.8192771084337352E-2</v>
      </c>
      <c r="R37" s="282">
        <v>0</v>
      </c>
      <c r="S37" s="282">
        <v>0.12048192771084337</v>
      </c>
      <c r="T37" s="282">
        <v>0</v>
      </c>
      <c r="U37" s="282"/>
    </row>
    <row r="38" spans="1:34" x14ac:dyDescent="0.25">
      <c r="J38">
        <v>1991</v>
      </c>
      <c r="K38" s="282">
        <v>0.32098765432098764</v>
      </c>
      <c r="L38" s="282">
        <v>0.1728395061728395</v>
      </c>
      <c r="M38" s="282">
        <v>0</v>
      </c>
      <c r="N38" s="282">
        <v>0.37037037037037035</v>
      </c>
      <c r="O38" s="282">
        <v>7.407407407407407E-2</v>
      </c>
      <c r="P38" s="282">
        <v>2.4691358024691357E-2</v>
      </c>
      <c r="Q38" s="282">
        <v>1.2345679012345678E-2</v>
      </c>
      <c r="R38" s="282">
        <v>0</v>
      </c>
      <c r="S38" s="282">
        <v>2.4691358024691357E-2</v>
      </c>
      <c r="T38" s="282">
        <v>0</v>
      </c>
      <c r="U38" s="282"/>
    </row>
    <row r="39" spans="1:34" x14ac:dyDescent="0.25">
      <c r="J39">
        <v>1992</v>
      </c>
      <c r="K39" s="282">
        <v>4.9382716049382713E-2</v>
      </c>
      <c r="L39" s="282">
        <v>9.8765432098765427E-2</v>
      </c>
      <c r="M39" s="282">
        <v>1.2345679012345678E-2</v>
      </c>
      <c r="N39" s="282">
        <v>0.27160493827160492</v>
      </c>
      <c r="O39" s="282">
        <v>4.9382716049382713E-2</v>
      </c>
      <c r="P39" s="282">
        <v>0.44444444444444442</v>
      </c>
      <c r="Q39" s="282">
        <v>4.9382716049382713E-2</v>
      </c>
      <c r="R39" s="282">
        <v>0</v>
      </c>
      <c r="S39" s="282">
        <v>2.4691358024691357E-2</v>
      </c>
      <c r="T39" s="282">
        <v>0</v>
      </c>
      <c r="U39" s="282"/>
    </row>
    <row r="40" spans="1:34" x14ac:dyDescent="0.25">
      <c r="J40">
        <v>1993</v>
      </c>
      <c r="K40" s="282">
        <v>0.24770642201834864</v>
      </c>
      <c r="L40" s="282">
        <v>4.5871559633027525E-2</v>
      </c>
      <c r="M40" s="282">
        <v>0.47706422018348627</v>
      </c>
      <c r="N40" s="282">
        <v>6.4220183486238536E-2</v>
      </c>
      <c r="O40" s="282">
        <v>1.834862385321101E-2</v>
      </c>
      <c r="P40" s="282">
        <v>0.13761467889908258</v>
      </c>
      <c r="Q40" s="282">
        <v>0</v>
      </c>
      <c r="R40" s="282">
        <v>9.1743119266055051E-3</v>
      </c>
      <c r="S40" s="282">
        <v>0</v>
      </c>
      <c r="T40" s="282">
        <v>0</v>
      </c>
      <c r="U40" s="282"/>
    </row>
    <row r="41" spans="1:34" x14ac:dyDescent="0.25">
      <c r="J41">
        <v>1994</v>
      </c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</row>
    <row r="42" spans="1:34" x14ac:dyDescent="0.25">
      <c r="J42">
        <v>1995</v>
      </c>
      <c r="K42" s="282">
        <v>0.32</v>
      </c>
      <c r="L42" s="282">
        <v>6.545454545454546E-2</v>
      </c>
      <c r="M42" s="282">
        <v>3.272727272727273E-2</v>
      </c>
      <c r="N42" s="282">
        <v>0.45090909090909093</v>
      </c>
      <c r="O42" s="282">
        <v>2.5454545454545455E-2</v>
      </c>
      <c r="P42" s="282">
        <v>6.1818181818181821E-2</v>
      </c>
      <c r="Q42" s="282">
        <v>3.6363636363636362E-2</v>
      </c>
      <c r="R42" s="282">
        <v>1.8181818181818182E-3</v>
      </c>
      <c r="S42" s="282">
        <v>5.454545454545455E-3</v>
      </c>
      <c r="T42" s="282">
        <v>0</v>
      </c>
      <c r="U42" s="282"/>
    </row>
    <row r="43" spans="1:34" x14ac:dyDescent="0.25">
      <c r="J43">
        <v>1996</v>
      </c>
      <c r="K43" s="282">
        <v>0.29411764705882354</v>
      </c>
      <c r="L43" s="282">
        <v>0.14705882352941177</v>
      </c>
      <c r="M43" s="282">
        <v>3.1862745098039214E-2</v>
      </c>
      <c r="N43" s="282">
        <v>0.29166666666666669</v>
      </c>
      <c r="O43" s="282">
        <v>1.7156862745098041E-2</v>
      </c>
      <c r="P43" s="282">
        <v>0.15441176470588236</v>
      </c>
      <c r="Q43" s="282">
        <v>3.4313725490196081E-2</v>
      </c>
      <c r="R43" s="282">
        <v>2.4509803921568627E-3</v>
      </c>
      <c r="S43" s="282">
        <v>2.6960784313725492E-2</v>
      </c>
      <c r="T43" s="282">
        <v>0</v>
      </c>
      <c r="U43" s="282"/>
    </row>
    <row r="44" spans="1:34" x14ac:dyDescent="0.25">
      <c r="J44">
        <v>1997</v>
      </c>
      <c r="K44" s="282">
        <v>0.31707317073170732</v>
      </c>
      <c r="L44" s="282">
        <v>0.15121951219512195</v>
      </c>
      <c r="M44" s="282">
        <v>3.6585365853658534E-2</v>
      </c>
      <c r="N44" s="282">
        <v>0.28292682926829266</v>
      </c>
      <c r="O44" s="282">
        <v>1.2195121951219513E-2</v>
      </c>
      <c r="P44" s="282">
        <v>0.16341463414634147</v>
      </c>
      <c r="Q44" s="282">
        <v>1.9512195121951219E-2</v>
      </c>
      <c r="R44" s="282">
        <v>2.4390243902439024E-3</v>
      </c>
      <c r="S44" s="282">
        <v>1.4634146341463415E-2</v>
      </c>
      <c r="T44" s="282">
        <v>0</v>
      </c>
      <c r="U44" s="282"/>
    </row>
    <row r="45" spans="1:34" x14ac:dyDescent="0.25">
      <c r="J45">
        <v>1998</v>
      </c>
      <c r="K45" s="282">
        <v>0.5743944636678201</v>
      </c>
      <c r="L45" s="282">
        <v>0.16608996539792387</v>
      </c>
      <c r="M45" s="282">
        <v>2.768166089965398E-2</v>
      </c>
      <c r="N45" s="282">
        <v>0.18685121107266436</v>
      </c>
      <c r="O45" s="282">
        <v>1.0380622837370242E-2</v>
      </c>
      <c r="P45" s="282">
        <v>2.768166089965398E-2</v>
      </c>
      <c r="Q45" s="282">
        <v>3.4602076124567475E-3</v>
      </c>
      <c r="R45" s="282">
        <v>0</v>
      </c>
      <c r="S45" s="282">
        <v>3.4602076124567475E-3</v>
      </c>
      <c r="T45" s="282">
        <v>0</v>
      </c>
      <c r="U45" s="282"/>
    </row>
    <row r="46" spans="1:34" x14ac:dyDescent="0.25">
      <c r="J46">
        <v>1999</v>
      </c>
      <c r="K46" s="282">
        <v>0.12121212121212122</v>
      </c>
      <c r="L46" s="282">
        <v>0.14285714285714285</v>
      </c>
      <c r="M46" s="282">
        <v>5.627705627705628E-2</v>
      </c>
      <c r="N46" s="282">
        <v>0.54112554112554112</v>
      </c>
      <c r="O46" s="282">
        <v>0</v>
      </c>
      <c r="P46" s="282">
        <v>0.12554112554112554</v>
      </c>
      <c r="Q46" s="282">
        <v>1.2987012987012988E-2</v>
      </c>
      <c r="R46" s="282">
        <v>0</v>
      </c>
      <c r="S46" s="282">
        <v>0</v>
      </c>
      <c r="T46" s="282">
        <v>0</v>
      </c>
      <c r="U46" s="282"/>
    </row>
    <row r="47" spans="1:34" x14ac:dyDescent="0.25">
      <c r="J47">
        <v>2000</v>
      </c>
      <c r="K47" s="282">
        <v>0.11160714285714286</v>
      </c>
      <c r="L47" s="282">
        <v>5.3571428571428568E-2</v>
      </c>
      <c r="M47" s="282">
        <v>2.2321428571428572E-2</v>
      </c>
      <c r="N47" s="282">
        <v>0.6473214285714286</v>
      </c>
      <c r="O47" s="282">
        <v>1.7857142857142856E-2</v>
      </c>
      <c r="P47" s="282">
        <v>8.4821428571428575E-2</v>
      </c>
      <c r="Q47" s="282">
        <v>5.8035714285714288E-2</v>
      </c>
      <c r="R47" s="282">
        <v>0</v>
      </c>
      <c r="S47" s="282">
        <v>4.464285714285714E-3</v>
      </c>
      <c r="T47" s="282">
        <v>0</v>
      </c>
      <c r="U47" s="282"/>
    </row>
    <row r="48" spans="1:34" x14ac:dyDescent="0.25">
      <c r="J48">
        <v>2001</v>
      </c>
      <c r="K48" s="282">
        <v>0.30097087378640774</v>
      </c>
      <c r="L48" s="282">
        <v>9.7087378640776698E-2</v>
      </c>
      <c r="M48" s="282">
        <v>5.8252427184466021E-2</v>
      </c>
      <c r="N48" s="282">
        <v>0.13592233009708737</v>
      </c>
      <c r="O48" s="282">
        <v>9.7087378640776691E-3</v>
      </c>
      <c r="P48" s="282">
        <v>0.37864077669902912</v>
      </c>
      <c r="Q48" s="282">
        <v>9.7087378640776691E-3</v>
      </c>
      <c r="R48" s="282">
        <v>9.7087378640776691E-3</v>
      </c>
      <c r="S48" s="282">
        <v>0</v>
      </c>
      <c r="T48" s="282">
        <v>0</v>
      </c>
      <c r="U48" s="282"/>
    </row>
    <row r="49" spans="10:30" x14ac:dyDescent="0.25">
      <c r="J49">
        <v>2002</v>
      </c>
      <c r="K49" s="282">
        <v>0.125</v>
      </c>
      <c r="L49" s="282">
        <v>0.52500000000000002</v>
      </c>
      <c r="M49" s="282">
        <v>2.5000000000000001E-2</v>
      </c>
      <c r="N49" s="282">
        <v>0.25833333333333336</v>
      </c>
      <c r="O49" s="282">
        <v>1.6666666666666666E-2</v>
      </c>
      <c r="P49" s="282">
        <v>4.1666666666666664E-2</v>
      </c>
      <c r="Q49" s="282">
        <v>8.3333333333333332E-3</v>
      </c>
      <c r="R49" s="282">
        <v>0</v>
      </c>
      <c r="S49" s="282">
        <v>0</v>
      </c>
      <c r="T49" s="282">
        <v>0</v>
      </c>
      <c r="U49" s="282"/>
      <c r="V49" s="282"/>
      <c r="W49" s="282"/>
      <c r="X49" s="282"/>
      <c r="Y49" s="282"/>
      <c r="Z49" s="282"/>
      <c r="AA49" s="282"/>
      <c r="AB49" s="282"/>
      <c r="AC49" s="282"/>
      <c r="AD49" s="282"/>
    </row>
    <row r="50" spans="10:30" x14ac:dyDescent="0.25">
      <c r="J50">
        <v>2003</v>
      </c>
      <c r="K50" s="282">
        <v>6.9387755102040816E-2</v>
      </c>
      <c r="L50" s="282">
        <v>6.9387755102040816E-2</v>
      </c>
      <c r="M50" s="282">
        <v>2.8571428571428571E-2</v>
      </c>
      <c r="N50" s="282">
        <v>0.69795918367346943</v>
      </c>
      <c r="O50" s="282">
        <v>3.6734693877551024E-2</v>
      </c>
      <c r="P50" s="282">
        <v>3.2653061224489799E-2</v>
      </c>
      <c r="Q50" s="282">
        <v>6.1224489795918366E-2</v>
      </c>
      <c r="R50" s="282">
        <v>0</v>
      </c>
      <c r="S50" s="282">
        <v>4.0816326530612249E-3</v>
      </c>
      <c r="T50" s="282">
        <v>0</v>
      </c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</row>
    <row r="51" spans="10:30" x14ac:dyDescent="0.25">
      <c r="J51">
        <v>2004</v>
      </c>
      <c r="K51" s="282">
        <v>0.1807909604519774</v>
      </c>
      <c r="L51" s="282">
        <v>0.2655367231638418</v>
      </c>
      <c r="M51" s="282">
        <v>4.519774011299435E-2</v>
      </c>
      <c r="N51" s="282">
        <v>0.19774011299435029</v>
      </c>
      <c r="O51" s="282">
        <v>0</v>
      </c>
      <c r="P51" s="282">
        <v>0.25988700564971751</v>
      </c>
      <c r="Q51" s="282">
        <v>1.6949152542372881E-2</v>
      </c>
      <c r="R51" s="282">
        <v>1.1299435028248588E-2</v>
      </c>
      <c r="S51" s="282">
        <v>2.2598870056497175E-2</v>
      </c>
      <c r="T51" s="282">
        <v>0</v>
      </c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</row>
    <row r="52" spans="10:30" x14ac:dyDescent="0.25">
      <c r="J52">
        <v>2005</v>
      </c>
      <c r="K52" s="282">
        <v>0.1310344827586207</v>
      </c>
      <c r="L52" s="282">
        <v>0.26896551724137929</v>
      </c>
      <c r="M52" s="282">
        <v>2.0689655172413793E-2</v>
      </c>
      <c r="N52" s="282">
        <v>0.28965517241379313</v>
      </c>
      <c r="O52" s="282">
        <v>3.4482758620689655E-2</v>
      </c>
      <c r="P52" s="282">
        <v>0.2413793103448276</v>
      </c>
      <c r="Q52" s="282">
        <v>1.3793103448275862E-2</v>
      </c>
      <c r="R52" s="282">
        <v>0</v>
      </c>
      <c r="S52" s="282">
        <v>0</v>
      </c>
      <c r="T52" s="282">
        <v>0</v>
      </c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</row>
    <row r="53" spans="10:30" x14ac:dyDescent="0.25">
      <c r="J53">
        <v>2006</v>
      </c>
      <c r="K53" s="282">
        <v>0.29100529100529099</v>
      </c>
      <c r="L53" s="282">
        <v>0.19047619047619047</v>
      </c>
      <c r="M53" s="282">
        <v>0</v>
      </c>
      <c r="N53" s="282">
        <v>0.33862433862433861</v>
      </c>
      <c r="O53" s="282">
        <v>1.0582010582010581E-2</v>
      </c>
      <c r="P53" s="282">
        <v>0.15873015873015872</v>
      </c>
      <c r="Q53" s="282">
        <v>1.0582010582010581E-2</v>
      </c>
      <c r="R53" s="282">
        <v>0</v>
      </c>
      <c r="S53" s="282">
        <v>0</v>
      </c>
      <c r="T53" s="282">
        <v>0</v>
      </c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</row>
    <row r="54" spans="10:30" x14ac:dyDescent="0.25">
      <c r="J54">
        <v>2007</v>
      </c>
      <c r="K54" s="282">
        <v>0.54471544715447151</v>
      </c>
      <c r="L54" s="282">
        <v>0.13008130081300814</v>
      </c>
      <c r="M54" s="282">
        <v>4.065040650406504E-2</v>
      </c>
      <c r="N54" s="282">
        <v>0.21951219512195122</v>
      </c>
      <c r="O54" s="282">
        <v>0</v>
      </c>
      <c r="P54" s="282">
        <v>5.6910569105691054E-2</v>
      </c>
      <c r="Q54" s="282">
        <v>0</v>
      </c>
      <c r="R54" s="282">
        <v>0</v>
      </c>
      <c r="S54" s="282">
        <v>8.130081300813009E-3</v>
      </c>
      <c r="T54" s="282">
        <v>0</v>
      </c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</row>
    <row r="55" spans="10:30" x14ac:dyDescent="0.25">
      <c r="J55">
        <v>2008</v>
      </c>
      <c r="K55" s="282">
        <v>0.1388888888888889</v>
      </c>
      <c r="L55" s="282">
        <v>0.375</v>
      </c>
      <c r="M55" s="282">
        <v>2.7777777777777776E-2</v>
      </c>
      <c r="N55" s="282">
        <v>0.33333333333333331</v>
      </c>
      <c r="O55" s="282">
        <v>4.1666666666666664E-2</v>
      </c>
      <c r="P55" s="282">
        <v>6.9444444444444448E-2</v>
      </c>
      <c r="Q55" s="282">
        <v>1.3888888888888888E-2</v>
      </c>
      <c r="R55" s="282">
        <v>0</v>
      </c>
      <c r="S55" s="282">
        <v>0</v>
      </c>
      <c r="T55" s="282">
        <v>0</v>
      </c>
      <c r="U55" s="282"/>
      <c r="V55" s="282"/>
      <c r="W55" s="282"/>
      <c r="X55" s="282"/>
      <c r="Y55" s="282"/>
      <c r="Z55" s="282"/>
      <c r="AA55" s="282"/>
      <c r="AB55" s="282"/>
      <c r="AC55" s="282"/>
      <c r="AD55" s="282"/>
    </row>
    <row r="56" spans="10:30" x14ac:dyDescent="0.25">
      <c r="J56">
        <v>2009</v>
      </c>
      <c r="K56" s="282">
        <v>8.3333333333333329E-2</v>
      </c>
      <c r="L56" s="282">
        <v>0.1875</v>
      </c>
      <c r="M56" s="282">
        <v>2.0833333333333332E-2</v>
      </c>
      <c r="N56" s="282">
        <v>0.5625</v>
      </c>
      <c r="O56" s="282">
        <v>4.1666666666666664E-2</v>
      </c>
      <c r="P56" s="282">
        <v>6.25E-2</v>
      </c>
      <c r="Q56" s="282">
        <v>0</v>
      </c>
      <c r="R56" s="282">
        <v>0</v>
      </c>
      <c r="S56" s="282">
        <v>4.1666666666666664E-2</v>
      </c>
      <c r="T56" s="282">
        <v>0</v>
      </c>
      <c r="U56" s="282"/>
      <c r="V56" s="282"/>
      <c r="W56" s="282"/>
      <c r="X56" s="282"/>
      <c r="Y56" s="282"/>
      <c r="Z56" s="282"/>
      <c r="AA56" s="282"/>
      <c r="AB56" s="282"/>
      <c r="AC56" s="282"/>
      <c r="AD56" s="282"/>
    </row>
    <row r="57" spans="10:30" x14ac:dyDescent="0.25">
      <c r="J57">
        <v>2010</v>
      </c>
      <c r="K57" s="282">
        <v>0.16</v>
      </c>
      <c r="L57" s="282">
        <v>0.2</v>
      </c>
      <c r="M57" s="282">
        <v>0.04</v>
      </c>
      <c r="N57" s="282">
        <v>0.44</v>
      </c>
      <c r="O57" s="282">
        <v>0.04</v>
      </c>
      <c r="P57" s="282">
        <v>0.04</v>
      </c>
      <c r="Q57" s="282">
        <v>0.04</v>
      </c>
      <c r="R57" s="282">
        <v>0</v>
      </c>
      <c r="S57" s="282">
        <v>0.04</v>
      </c>
      <c r="T57" s="282">
        <v>0</v>
      </c>
      <c r="U57" s="282"/>
      <c r="V57" s="282"/>
      <c r="W57" s="282"/>
      <c r="X57" s="282"/>
      <c r="Y57" s="282"/>
      <c r="Z57" s="282"/>
      <c r="AA57" s="282"/>
      <c r="AB57" s="282"/>
      <c r="AC57" s="282"/>
      <c r="AD57" s="282"/>
    </row>
    <row r="58" spans="10:30" x14ac:dyDescent="0.25">
      <c r="J58">
        <v>2011</v>
      </c>
      <c r="K58" s="282">
        <v>0.65979381443298968</v>
      </c>
      <c r="L58" s="282">
        <v>0.16494845360824742</v>
      </c>
      <c r="M58" s="282">
        <v>2.0618556701030927E-2</v>
      </c>
      <c r="N58" s="282">
        <v>5.1546391752577317E-2</v>
      </c>
      <c r="O58" s="282">
        <v>0</v>
      </c>
      <c r="P58" s="282">
        <v>5.1546391752577317E-2</v>
      </c>
      <c r="Q58" s="282">
        <v>1.0309278350515464E-2</v>
      </c>
      <c r="R58" s="282">
        <v>3.0927835051546393E-2</v>
      </c>
      <c r="S58" s="282">
        <v>1.0309278350515464E-2</v>
      </c>
      <c r="T58" s="282">
        <v>0</v>
      </c>
      <c r="U58" s="282"/>
      <c r="V58" s="282"/>
      <c r="W58" s="282"/>
      <c r="X58" s="282"/>
      <c r="Y58" s="282"/>
      <c r="Z58" s="282"/>
      <c r="AA58" s="282"/>
      <c r="AB58" s="282"/>
      <c r="AC58" s="282"/>
      <c r="AD58" s="282"/>
    </row>
    <row r="59" spans="10:30" x14ac:dyDescent="0.25">
      <c r="J59">
        <v>2012</v>
      </c>
      <c r="K59" s="282">
        <v>6.25E-2</v>
      </c>
      <c r="L59" s="282">
        <v>3.125E-2</v>
      </c>
      <c r="M59" s="282">
        <v>0</v>
      </c>
      <c r="N59" s="282">
        <v>0.59375</v>
      </c>
      <c r="O59" s="282">
        <v>0</v>
      </c>
      <c r="P59" s="282">
        <v>0.28125</v>
      </c>
      <c r="Q59" s="282">
        <v>3.125E-2</v>
      </c>
      <c r="R59" s="282">
        <v>0</v>
      </c>
      <c r="S59" s="282">
        <v>0</v>
      </c>
      <c r="T59" s="282">
        <v>0</v>
      </c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</row>
    <row r="60" spans="10:30" x14ac:dyDescent="0.25">
      <c r="J60">
        <v>2013</v>
      </c>
      <c r="K60" s="282">
        <v>2.3809523809523808E-2</v>
      </c>
      <c r="L60" s="282">
        <v>8.3333333333333329E-2</v>
      </c>
      <c r="M60" s="282">
        <v>5.9523809523809521E-3</v>
      </c>
      <c r="N60" s="282">
        <v>0.77976190476190477</v>
      </c>
      <c r="O60" s="282">
        <v>1.1904761904761904E-2</v>
      </c>
      <c r="P60" s="282">
        <v>7.7380952380952384E-2</v>
      </c>
      <c r="Q60" s="282">
        <v>1.7857142857142856E-2</v>
      </c>
      <c r="R60" s="282">
        <v>0</v>
      </c>
      <c r="S60" s="282">
        <v>0</v>
      </c>
      <c r="T60" s="282">
        <v>0</v>
      </c>
      <c r="U60" s="282"/>
      <c r="V60" s="282"/>
      <c r="W60" s="282"/>
      <c r="X60" s="282"/>
      <c r="Y60" s="282"/>
      <c r="Z60" s="282"/>
      <c r="AA60" s="282"/>
      <c r="AB60" s="282"/>
      <c r="AC60" s="282"/>
      <c r="AD60" s="282"/>
    </row>
    <row r="61" spans="10:30" x14ac:dyDescent="0.25">
      <c r="J61">
        <v>2014</v>
      </c>
      <c r="K61" s="282">
        <v>9.8765432098765427E-2</v>
      </c>
      <c r="L61" s="282">
        <v>0.13580246913580246</v>
      </c>
      <c r="M61" s="282">
        <v>1.8518518518518517E-2</v>
      </c>
      <c r="N61" s="282">
        <v>9.2592592592592587E-2</v>
      </c>
      <c r="O61" s="282">
        <v>0</v>
      </c>
      <c r="P61" s="282">
        <v>0.59876543209876543</v>
      </c>
      <c r="Q61" s="282">
        <v>0</v>
      </c>
      <c r="R61" s="282">
        <v>3.0864197530864196E-2</v>
      </c>
      <c r="S61" s="282">
        <v>2.4691358024691357E-2</v>
      </c>
      <c r="T61" s="282">
        <v>0</v>
      </c>
      <c r="U61" s="282"/>
      <c r="V61" s="282"/>
      <c r="W61" s="282"/>
      <c r="X61" s="282"/>
      <c r="Y61" s="282"/>
      <c r="Z61" s="282"/>
      <c r="AA61" s="282"/>
      <c r="AB61" s="282"/>
      <c r="AC61" s="282"/>
      <c r="AD61" s="282"/>
    </row>
    <row r="62" spans="10:30" x14ac:dyDescent="0.25">
      <c r="J62">
        <v>2015</v>
      </c>
      <c r="K62" s="282">
        <v>0.22388059701492538</v>
      </c>
      <c r="L62" s="282">
        <v>0.47761194029850745</v>
      </c>
      <c r="M62" s="282">
        <v>4.4776119402985072E-2</v>
      </c>
      <c r="N62" s="282">
        <v>0.16417910447761194</v>
      </c>
      <c r="O62" s="282">
        <v>1.4925373134328358E-2</v>
      </c>
      <c r="P62" s="282">
        <v>7.4626865671641784E-2</v>
      </c>
      <c r="Q62" s="282">
        <v>0</v>
      </c>
      <c r="R62" s="282">
        <v>0</v>
      </c>
      <c r="S62" s="282">
        <v>0</v>
      </c>
      <c r="T62" s="282">
        <v>0</v>
      </c>
      <c r="U62" s="282"/>
      <c r="V62" s="282"/>
      <c r="W62" s="282"/>
      <c r="X62" s="282"/>
      <c r="Y62" s="282"/>
      <c r="Z62" s="282"/>
      <c r="AA62" s="282"/>
      <c r="AB62" s="282"/>
      <c r="AC62" s="282"/>
      <c r="AD62" s="282"/>
    </row>
    <row r="63" spans="10:30" x14ac:dyDescent="0.25">
      <c r="J63">
        <v>2016</v>
      </c>
      <c r="K63" s="282">
        <v>0.15789473684210525</v>
      </c>
      <c r="L63" s="282">
        <v>0.42105263157894735</v>
      </c>
      <c r="M63" s="282">
        <v>3.5087719298245612E-2</v>
      </c>
      <c r="N63" s="282">
        <v>0.31578947368421051</v>
      </c>
      <c r="O63" s="282">
        <v>3.5087719298245612E-2</v>
      </c>
      <c r="P63" s="282">
        <v>1.7543859649122806E-2</v>
      </c>
      <c r="Q63" s="282">
        <v>1.7543859649122806E-2</v>
      </c>
      <c r="R63" s="282">
        <v>0</v>
      </c>
      <c r="S63" s="282">
        <v>0</v>
      </c>
      <c r="T63" s="282">
        <v>0</v>
      </c>
      <c r="U63" s="282"/>
      <c r="V63" s="282"/>
      <c r="W63" s="282"/>
      <c r="X63" s="282"/>
      <c r="Y63" s="282"/>
      <c r="Z63" s="282"/>
      <c r="AA63" s="282"/>
      <c r="AB63" s="282"/>
      <c r="AC63" s="282"/>
      <c r="AD63" s="282"/>
    </row>
    <row r="64" spans="10:30" x14ac:dyDescent="0.25">
      <c r="J64">
        <v>2017</v>
      </c>
      <c r="K64" s="282">
        <v>0.36688311688311687</v>
      </c>
      <c r="L64" s="282">
        <v>0.1038961038961039</v>
      </c>
      <c r="M64" s="282">
        <v>3.246753246753247E-3</v>
      </c>
      <c r="N64" s="282">
        <v>0.40584415584415584</v>
      </c>
      <c r="O64" s="282">
        <v>3.246753246753247E-3</v>
      </c>
      <c r="P64" s="282">
        <v>8.1168831168831168E-2</v>
      </c>
      <c r="Q64" s="282">
        <v>2.922077922077922E-2</v>
      </c>
      <c r="R64" s="282">
        <v>0</v>
      </c>
      <c r="S64" s="282">
        <v>6.4935064935064939E-3</v>
      </c>
      <c r="T64" s="282">
        <v>0</v>
      </c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</row>
    <row r="65" spans="10:30" x14ac:dyDescent="0.25">
      <c r="J65">
        <v>2018</v>
      </c>
      <c r="K65" s="282">
        <v>0.39166666666666666</v>
      </c>
      <c r="L65" s="282">
        <v>0.2</v>
      </c>
      <c r="M65" s="282">
        <v>0</v>
      </c>
      <c r="N65" s="282">
        <v>0.3</v>
      </c>
      <c r="O65" s="282">
        <v>0</v>
      </c>
      <c r="P65" s="282">
        <v>8.3333333333333329E-2</v>
      </c>
      <c r="Q65" s="282">
        <v>8.3333333333333332E-3</v>
      </c>
      <c r="R65" s="282">
        <v>0</v>
      </c>
      <c r="S65" s="282">
        <v>1.6666666666666666E-2</v>
      </c>
      <c r="T65" s="282">
        <v>0</v>
      </c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</row>
    <row r="66" spans="10:30" x14ac:dyDescent="0.25">
      <c r="J66">
        <v>2019</v>
      </c>
      <c r="K66" s="282">
        <v>0.42777777777777776</v>
      </c>
      <c r="L66" s="282">
        <v>0.31666666666666665</v>
      </c>
      <c r="M66" s="282">
        <v>0</v>
      </c>
      <c r="N66" s="282">
        <v>0.17777777777777778</v>
      </c>
      <c r="O66" s="282">
        <v>1.6666666666666666E-2</v>
      </c>
      <c r="P66" s="282">
        <v>0.05</v>
      </c>
      <c r="Q66" s="282">
        <v>5.5555555555555558E-3</v>
      </c>
      <c r="R66" s="282">
        <v>0</v>
      </c>
      <c r="S66" s="282">
        <v>5.5555555555555558E-3</v>
      </c>
      <c r="T66" s="282">
        <v>0</v>
      </c>
      <c r="U66" s="282"/>
      <c r="V66" s="282"/>
      <c r="W66" s="282"/>
      <c r="X66" s="282"/>
      <c r="Y66" s="282"/>
      <c r="Z66" s="282"/>
      <c r="AA66" s="282"/>
      <c r="AB66" s="282"/>
      <c r="AC66" s="282"/>
      <c r="AD66" s="282"/>
    </row>
    <row r="67" spans="10:30" x14ac:dyDescent="0.25">
      <c r="J67" s="284" t="s">
        <v>177</v>
      </c>
      <c r="K67" s="285">
        <f>AVERAGE(K58:K66)</f>
        <v>0.26810796283620786</v>
      </c>
      <c r="L67" s="285">
        <f t="shared" ref="L67" si="12">AVERAGE(L58:L66)</f>
        <v>0.21495128872417874</v>
      </c>
      <c r="M67" s="285">
        <f t="shared" ref="M67" si="13">AVERAGE(M58:M66)</f>
        <v>1.4244449791101593E-2</v>
      </c>
      <c r="N67" s="285">
        <f t="shared" ref="N67" si="14">AVERAGE(N58:N66)</f>
        <v>0.3201379334323145</v>
      </c>
      <c r="O67" s="285">
        <f t="shared" ref="O67" si="15">AVERAGE(O58:O66)</f>
        <v>9.0923638056395317E-3</v>
      </c>
      <c r="P67" s="285">
        <f t="shared" ref="P67" si="16">AVERAGE(P58:P66)</f>
        <v>0.14617951845058047</v>
      </c>
      <c r="Q67" s="285">
        <f t="shared" ref="Q67" si="17">AVERAGE(Q58:Q66)</f>
        <v>1.334110544071658E-2</v>
      </c>
      <c r="R67" s="285">
        <f t="shared" ref="R67" si="18">AVERAGE(R58:R66)</f>
        <v>6.8657813980456213E-3</v>
      </c>
      <c r="S67" s="285">
        <f t="shared" ref="S67" si="19">AVERAGE(S58:S66)</f>
        <v>7.0795961212150593E-3</v>
      </c>
      <c r="T67" s="285">
        <f t="shared" ref="T67" si="20">AVERAGE(T58:T66)</f>
        <v>0</v>
      </c>
    </row>
  </sheetData>
  <mergeCells count="2">
    <mergeCell ref="J1:T1"/>
    <mergeCell ref="C2:F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AA67"/>
  <sheetViews>
    <sheetView zoomScaleNormal="100" workbookViewId="0">
      <selection activeCell="W5" sqref="W5"/>
    </sheetView>
  </sheetViews>
  <sheetFormatPr defaultColWidth="9.140625" defaultRowHeight="12.95" customHeight="1" x14ac:dyDescent="0.2"/>
  <cols>
    <col min="1" max="1" width="6.42578125" style="6" customWidth="1"/>
    <col min="2" max="3" width="11.7109375" style="5" customWidth="1"/>
    <col min="4" max="7" width="10.5703125" style="5" customWidth="1"/>
    <col min="8" max="8" width="12.140625" style="5" customWidth="1"/>
    <col min="9" max="9" width="11" style="5" customWidth="1"/>
    <col min="10" max="10" width="12" style="5" customWidth="1"/>
    <col min="11" max="11" width="9.85546875" style="5" customWidth="1"/>
    <col min="12" max="12" width="9.140625" style="5" customWidth="1"/>
    <col min="13" max="16" width="8" style="5" customWidth="1"/>
    <col min="17" max="17" width="11.28515625" style="5" bestFit="1" customWidth="1"/>
    <col min="18" max="16384" width="9.140625" style="5"/>
  </cols>
  <sheetData>
    <row r="1" spans="1:27" ht="12.95" customHeight="1" x14ac:dyDescent="0.2">
      <c r="A1" s="22"/>
      <c r="B1" s="306" t="s">
        <v>146</v>
      </c>
      <c r="C1" s="306"/>
      <c r="D1" s="306"/>
      <c r="E1" s="306"/>
      <c r="F1" s="306"/>
      <c r="G1" s="23"/>
      <c r="H1" s="23"/>
      <c r="I1" s="23"/>
      <c r="J1" s="23"/>
      <c r="K1" s="23"/>
      <c r="V1" s="252">
        <f>AVERAGE(V19:V41)</f>
        <v>0.40723614087910037</v>
      </c>
    </row>
    <row r="2" spans="1:27" ht="12.95" customHeight="1" x14ac:dyDescent="0.2">
      <c r="A2" s="20"/>
      <c r="B2" s="261" t="s">
        <v>144</v>
      </c>
      <c r="C2" s="261" t="s">
        <v>144</v>
      </c>
      <c r="D2" s="261" t="s">
        <v>144</v>
      </c>
      <c r="E2" s="261" t="s">
        <v>145</v>
      </c>
      <c r="F2" s="261" t="s">
        <v>144</v>
      </c>
      <c r="G2" s="21"/>
      <c r="H2" s="303" t="s">
        <v>47</v>
      </c>
      <c r="I2" s="303"/>
      <c r="J2" s="303"/>
      <c r="K2" s="303"/>
      <c r="M2" s="304" t="s">
        <v>139</v>
      </c>
      <c r="N2" s="304"/>
      <c r="O2" s="304"/>
      <c r="P2" s="304"/>
      <c r="T2" s="305" t="s">
        <v>140</v>
      </c>
      <c r="U2" s="305"/>
      <c r="V2" s="305"/>
      <c r="W2" s="305"/>
      <c r="X2" s="305"/>
      <c r="Y2" s="305"/>
      <c r="Z2" s="305"/>
      <c r="AA2" s="253"/>
    </row>
    <row r="3" spans="1:27" ht="41.1" customHeight="1" x14ac:dyDescent="0.25">
      <c r="A3" s="8" t="s">
        <v>42</v>
      </c>
      <c r="B3" s="7" t="s">
        <v>50</v>
      </c>
      <c r="C3" s="7" t="s">
        <v>51</v>
      </c>
      <c r="D3" s="7" t="s">
        <v>49</v>
      </c>
      <c r="E3" s="7" t="s">
        <v>56</v>
      </c>
      <c r="F3" s="16" t="s">
        <v>48</v>
      </c>
      <c r="H3" s="7" t="s">
        <v>43</v>
      </c>
      <c r="I3" s="7" t="s">
        <v>44</v>
      </c>
      <c r="J3" s="7" t="s">
        <v>45</v>
      </c>
      <c r="K3" s="9" t="s">
        <v>46</v>
      </c>
      <c r="M3" s="254" t="s">
        <v>52</v>
      </c>
      <c r="N3" s="254" t="s">
        <v>53</v>
      </c>
      <c r="O3" s="254" t="s">
        <v>54</v>
      </c>
      <c r="P3" s="254" t="s">
        <v>55</v>
      </c>
      <c r="T3" s="255" t="s">
        <v>141</v>
      </c>
      <c r="U3" s="255" t="s">
        <v>142</v>
      </c>
      <c r="V3" s="255" t="s">
        <v>148</v>
      </c>
      <c r="W3" s="255" t="s">
        <v>143</v>
      </c>
      <c r="X3" s="255" t="s">
        <v>147</v>
      </c>
      <c r="Y3" s="255" t="s">
        <v>147</v>
      </c>
      <c r="Z3" s="255" t="s">
        <v>147</v>
      </c>
      <c r="AA3" s="255"/>
    </row>
    <row r="4" spans="1:27" ht="12.95" customHeight="1" x14ac:dyDescent="0.25">
      <c r="A4" s="10">
        <v>1982</v>
      </c>
      <c r="B4" s="24"/>
      <c r="C4" s="24"/>
      <c r="D4" s="24"/>
      <c r="E4" s="25">
        <v>1.6499999999999997</v>
      </c>
      <c r="F4" s="26"/>
      <c r="G4" s="25"/>
      <c r="H4" s="24">
        <v>3768</v>
      </c>
      <c r="I4" s="24">
        <v>913</v>
      </c>
      <c r="J4" s="24"/>
      <c r="K4" s="27">
        <f t="shared" ref="K4:K39" si="0">H4+I4+J4</f>
        <v>4681</v>
      </c>
      <c r="L4" s="25"/>
      <c r="M4" s="28"/>
      <c r="N4" s="28"/>
      <c r="O4" s="28"/>
      <c r="P4" s="28"/>
      <c r="R4" s="18"/>
      <c r="Y4" s="256"/>
      <c r="Z4" s="256"/>
      <c r="AA4" s="256"/>
    </row>
    <row r="5" spans="1:27" ht="12.95" customHeight="1" x14ac:dyDescent="0.25">
      <c r="A5" s="10">
        <v>1983</v>
      </c>
      <c r="B5" s="24"/>
      <c r="C5" s="24"/>
      <c r="D5" s="24"/>
      <c r="E5" s="25">
        <v>2.65</v>
      </c>
      <c r="F5" s="26"/>
      <c r="G5" s="25"/>
      <c r="H5" s="24">
        <v>7022</v>
      </c>
      <c r="I5" s="24">
        <v>1868</v>
      </c>
      <c r="J5" s="24"/>
      <c r="K5" s="27">
        <f t="shared" si="0"/>
        <v>8890</v>
      </c>
      <c r="L5" s="25"/>
      <c r="M5" s="28"/>
      <c r="N5" s="28"/>
      <c r="O5" s="28"/>
      <c r="P5" s="28"/>
      <c r="R5" s="18"/>
      <c r="Y5" s="256"/>
      <c r="Z5" s="256"/>
      <c r="AA5" s="256"/>
    </row>
    <row r="6" spans="1:27" ht="12.95" customHeight="1" x14ac:dyDescent="0.25">
      <c r="A6" s="10">
        <v>1984</v>
      </c>
      <c r="B6" s="29">
        <v>2844</v>
      </c>
      <c r="C6" s="29"/>
      <c r="D6" s="29"/>
      <c r="E6" s="25">
        <v>4.4400000000000004</v>
      </c>
      <c r="F6" s="26"/>
      <c r="G6" s="25"/>
      <c r="H6" s="29">
        <v>6804</v>
      </c>
      <c r="I6" s="29">
        <v>1650</v>
      </c>
      <c r="J6" s="29"/>
      <c r="K6" s="27">
        <f t="shared" si="0"/>
        <v>8454</v>
      </c>
      <c r="L6" s="25"/>
      <c r="M6" s="28"/>
      <c r="N6" s="28"/>
      <c r="O6" s="28"/>
      <c r="P6" s="28"/>
      <c r="R6" s="18"/>
      <c r="W6" s="257">
        <f>B6/$V$1</f>
        <v>6983.6630753367299</v>
      </c>
      <c r="X6" s="257"/>
      <c r="Y6" s="256"/>
      <c r="Z6" s="257"/>
      <c r="AA6" s="257"/>
    </row>
    <row r="7" spans="1:27" ht="12.95" customHeight="1" x14ac:dyDescent="0.25">
      <c r="A7" s="10">
        <v>1985</v>
      </c>
      <c r="B7" s="29">
        <v>1426</v>
      </c>
      <c r="C7" s="29"/>
      <c r="D7" s="29"/>
      <c r="E7" s="25">
        <v>4.75</v>
      </c>
      <c r="F7" s="26">
        <v>873</v>
      </c>
      <c r="G7" s="25"/>
      <c r="H7" s="29">
        <v>12621</v>
      </c>
      <c r="I7" s="29">
        <v>1397</v>
      </c>
      <c r="J7" s="29"/>
      <c r="K7" s="27">
        <f t="shared" si="0"/>
        <v>14018</v>
      </c>
      <c r="L7" s="25"/>
      <c r="M7" s="28">
        <v>24</v>
      </c>
      <c r="N7" s="28">
        <v>38</v>
      </c>
      <c r="O7" s="28">
        <v>76</v>
      </c>
      <c r="P7" s="28">
        <v>16</v>
      </c>
      <c r="R7" s="18"/>
      <c r="W7" s="257">
        <f>B7/$V$1</f>
        <v>3501.6538486041409</v>
      </c>
      <c r="X7" s="257"/>
      <c r="Y7" s="256"/>
      <c r="Z7" s="257"/>
      <c r="AA7" s="257"/>
    </row>
    <row r="8" spans="1:27" ht="12.95" customHeight="1" x14ac:dyDescent="0.25">
      <c r="A8" s="10">
        <v>1986</v>
      </c>
      <c r="B8" s="29">
        <v>1613</v>
      </c>
      <c r="C8" s="29"/>
      <c r="D8" s="29"/>
      <c r="E8" s="25">
        <v>1.9800000000000002</v>
      </c>
      <c r="F8" s="26"/>
      <c r="G8" s="25"/>
      <c r="H8" s="29">
        <v>4494</v>
      </c>
      <c r="I8" s="29"/>
      <c r="J8" s="29"/>
      <c r="K8" s="27">
        <f t="shared" si="0"/>
        <v>4494</v>
      </c>
      <c r="L8" s="25"/>
      <c r="M8" s="28">
        <v>1</v>
      </c>
      <c r="N8" s="28">
        <v>18</v>
      </c>
      <c r="O8" s="28">
        <v>15</v>
      </c>
      <c r="P8" s="28">
        <v>13</v>
      </c>
      <c r="R8" s="18"/>
      <c r="W8" s="257">
        <f>B8/$V$1</f>
        <v>3960.8468848516686</v>
      </c>
      <c r="X8" s="257"/>
      <c r="Y8" s="256"/>
      <c r="Z8" s="257"/>
      <c r="AA8" s="257"/>
    </row>
    <row r="9" spans="1:27" ht="12.95" customHeight="1" x14ac:dyDescent="0.25">
      <c r="A9" s="10">
        <v>1987</v>
      </c>
      <c r="B9" s="29"/>
      <c r="C9" s="29"/>
      <c r="D9" s="29"/>
      <c r="E9" s="25">
        <v>2.77</v>
      </c>
      <c r="F9" s="26">
        <v>432</v>
      </c>
      <c r="G9" s="25"/>
      <c r="H9" s="29">
        <v>3246</v>
      </c>
      <c r="I9" s="29"/>
      <c r="J9" s="29"/>
      <c r="K9" s="27">
        <f t="shared" si="0"/>
        <v>3246</v>
      </c>
      <c r="L9" s="25"/>
      <c r="M9" s="28">
        <v>6</v>
      </c>
      <c r="N9" s="28">
        <v>10</v>
      </c>
      <c r="O9" s="28">
        <v>22</v>
      </c>
      <c r="P9" s="28">
        <v>1</v>
      </c>
      <c r="R9" s="18"/>
      <c r="W9" s="257"/>
      <c r="Y9" s="256"/>
      <c r="Z9" s="256"/>
      <c r="AA9" s="256"/>
    </row>
    <row r="10" spans="1:27" ht="12.95" customHeight="1" x14ac:dyDescent="0.25">
      <c r="A10" s="10">
        <v>1988</v>
      </c>
      <c r="B10" s="29"/>
      <c r="C10" s="29"/>
      <c r="D10" s="29"/>
      <c r="E10" s="25">
        <v>1.64</v>
      </c>
      <c r="F10" s="26">
        <v>202</v>
      </c>
      <c r="G10" s="25"/>
      <c r="H10" s="29">
        <v>2218</v>
      </c>
      <c r="I10" s="29"/>
      <c r="J10" s="29"/>
      <c r="K10" s="27">
        <f t="shared" si="0"/>
        <v>2218</v>
      </c>
      <c r="L10" s="25"/>
      <c r="M10" s="28">
        <v>5</v>
      </c>
      <c r="N10" s="28">
        <v>8</v>
      </c>
      <c r="O10" s="28">
        <v>1</v>
      </c>
      <c r="P10" s="28">
        <v>0</v>
      </c>
      <c r="R10" s="18"/>
      <c r="W10" s="257"/>
      <c r="Y10" s="256"/>
      <c r="Z10" s="256"/>
      <c r="AA10" s="256"/>
    </row>
    <row r="11" spans="1:27" ht="12.95" customHeight="1" x14ac:dyDescent="0.25">
      <c r="A11" s="10">
        <v>1989</v>
      </c>
      <c r="B11" s="29"/>
      <c r="C11" s="29"/>
      <c r="D11" s="29"/>
      <c r="E11" s="25">
        <v>2.74</v>
      </c>
      <c r="F11" s="26"/>
      <c r="G11" s="25"/>
      <c r="H11" s="29">
        <v>4402</v>
      </c>
      <c r="I11" s="29"/>
      <c r="J11" s="29"/>
      <c r="K11" s="27">
        <f t="shared" si="0"/>
        <v>4402</v>
      </c>
      <c r="L11" s="25"/>
      <c r="M11" s="28">
        <v>5</v>
      </c>
      <c r="N11" s="28">
        <v>22</v>
      </c>
      <c r="O11" s="28">
        <v>13</v>
      </c>
      <c r="P11" s="28">
        <v>1</v>
      </c>
      <c r="R11" s="18"/>
      <c r="W11" s="257"/>
      <c r="Y11" s="256"/>
      <c r="Z11" s="256"/>
      <c r="AA11" s="256"/>
    </row>
    <row r="12" spans="1:27" ht="12.95" customHeight="1" x14ac:dyDescent="0.25">
      <c r="A12" s="10">
        <v>1990</v>
      </c>
      <c r="B12" s="29"/>
      <c r="C12" s="29"/>
      <c r="D12" s="29"/>
      <c r="E12" s="25">
        <v>3.64</v>
      </c>
      <c r="F12" s="26">
        <v>255</v>
      </c>
      <c r="G12" s="25"/>
      <c r="H12" s="29">
        <v>5998</v>
      </c>
      <c r="I12" s="29">
        <v>2476</v>
      </c>
      <c r="J12" s="29">
        <v>276</v>
      </c>
      <c r="K12" s="27">
        <f t="shared" si="0"/>
        <v>8750</v>
      </c>
      <c r="L12" s="25"/>
      <c r="M12" s="28">
        <v>11</v>
      </c>
      <c r="N12" s="28">
        <v>18</v>
      </c>
      <c r="O12" s="28">
        <v>9</v>
      </c>
      <c r="P12" s="28">
        <v>2</v>
      </c>
      <c r="R12" s="18"/>
      <c r="W12" s="257"/>
      <c r="Y12" s="256"/>
      <c r="Z12" s="256"/>
      <c r="AA12" s="256"/>
    </row>
    <row r="13" spans="1:27" ht="12.95" customHeight="1" x14ac:dyDescent="0.25">
      <c r="A13" s="10">
        <v>1991</v>
      </c>
      <c r="B13" s="29"/>
      <c r="C13" s="29"/>
      <c r="D13" s="29"/>
      <c r="E13" s="25">
        <v>2.63</v>
      </c>
      <c r="F13" s="26">
        <v>656</v>
      </c>
      <c r="G13" s="25"/>
      <c r="H13" s="29">
        <v>4534</v>
      </c>
      <c r="I13" s="29"/>
      <c r="J13" s="29">
        <v>296</v>
      </c>
      <c r="K13" s="27">
        <f t="shared" si="0"/>
        <v>4830</v>
      </c>
      <c r="L13" s="25"/>
      <c r="M13" s="28">
        <v>15</v>
      </c>
      <c r="N13" s="28">
        <v>6</v>
      </c>
      <c r="O13" s="28">
        <v>8</v>
      </c>
      <c r="P13" s="28">
        <v>3</v>
      </c>
      <c r="R13" s="18"/>
      <c r="W13" s="257"/>
      <c r="Y13" s="256"/>
      <c r="Z13" s="256"/>
      <c r="AA13" s="256"/>
    </row>
    <row r="14" spans="1:27" ht="12.95" customHeight="1" x14ac:dyDescent="0.25">
      <c r="A14" s="10">
        <v>1992</v>
      </c>
      <c r="B14" s="29"/>
      <c r="C14" s="29"/>
      <c r="D14" s="29"/>
      <c r="E14" s="25">
        <v>1.72</v>
      </c>
      <c r="F14" s="26">
        <v>329</v>
      </c>
      <c r="G14" s="25"/>
      <c r="H14" s="29">
        <v>3409</v>
      </c>
      <c r="I14" s="29"/>
      <c r="J14" s="29">
        <v>117</v>
      </c>
      <c r="K14" s="27">
        <f t="shared" si="0"/>
        <v>3526</v>
      </c>
      <c r="L14" s="25"/>
      <c r="M14" s="28">
        <v>28</v>
      </c>
      <c r="N14" s="28">
        <v>10</v>
      </c>
      <c r="O14" s="28">
        <v>22</v>
      </c>
      <c r="P14" s="28">
        <v>1</v>
      </c>
      <c r="R14" s="18"/>
      <c r="W14" s="257"/>
      <c r="Y14" s="256"/>
      <c r="Z14" s="256"/>
      <c r="AA14" s="256"/>
    </row>
    <row r="15" spans="1:27" ht="12.95" customHeight="1" x14ac:dyDescent="0.25">
      <c r="A15" s="10">
        <v>1993</v>
      </c>
      <c r="B15" s="29"/>
      <c r="C15" s="29"/>
      <c r="D15" s="29"/>
      <c r="E15" s="25">
        <v>4.08</v>
      </c>
      <c r="F15" s="26">
        <v>900</v>
      </c>
      <c r="G15" s="25"/>
      <c r="H15" s="29">
        <v>5944</v>
      </c>
      <c r="I15" s="29"/>
      <c r="J15" s="29">
        <v>382</v>
      </c>
      <c r="K15" s="27">
        <f t="shared" si="0"/>
        <v>6326</v>
      </c>
      <c r="L15" s="25"/>
      <c r="M15" s="28">
        <v>43</v>
      </c>
      <c r="N15" s="28">
        <v>23</v>
      </c>
      <c r="O15" s="28">
        <v>17</v>
      </c>
      <c r="P15" s="28">
        <v>0</v>
      </c>
      <c r="R15" s="18"/>
      <c r="W15" s="257"/>
      <c r="Y15" s="256"/>
      <c r="Z15" s="256"/>
      <c r="AA15" s="256"/>
    </row>
    <row r="16" spans="1:27" ht="12.95" customHeight="1" x14ac:dyDescent="0.25">
      <c r="A16" s="10">
        <v>1994</v>
      </c>
      <c r="B16" s="29"/>
      <c r="C16" s="29"/>
      <c r="D16" s="29"/>
      <c r="E16" s="25">
        <v>5.07</v>
      </c>
      <c r="F16" s="26"/>
      <c r="G16" s="25"/>
      <c r="H16" s="29">
        <v>4400</v>
      </c>
      <c r="I16" s="29">
        <v>3035</v>
      </c>
      <c r="J16" s="29">
        <v>379</v>
      </c>
      <c r="K16" s="27">
        <f t="shared" si="0"/>
        <v>7814</v>
      </c>
      <c r="L16" s="25"/>
      <c r="M16" s="28">
        <v>2</v>
      </c>
      <c r="N16" s="28">
        <v>23</v>
      </c>
      <c r="O16" s="28">
        <v>6</v>
      </c>
      <c r="P16" s="28">
        <v>1</v>
      </c>
      <c r="R16" s="18"/>
      <c r="W16" s="257"/>
      <c r="Y16" s="256"/>
      <c r="Z16" s="256"/>
      <c r="AA16" s="256"/>
    </row>
    <row r="17" spans="1:27" ht="12.95" customHeight="1" x14ac:dyDescent="0.25">
      <c r="A17" s="10">
        <v>1995</v>
      </c>
      <c r="B17" s="29"/>
      <c r="C17" s="29"/>
      <c r="D17" s="29"/>
      <c r="E17" s="25">
        <v>2.15</v>
      </c>
      <c r="F17" s="26">
        <v>622</v>
      </c>
      <c r="G17" s="25"/>
      <c r="H17" s="29">
        <v>7617</v>
      </c>
      <c r="I17" s="29">
        <v>3114</v>
      </c>
      <c r="J17" s="29">
        <v>259</v>
      </c>
      <c r="K17" s="27">
        <f t="shared" si="0"/>
        <v>10990</v>
      </c>
      <c r="L17" s="25"/>
      <c r="M17" s="28">
        <v>22</v>
      </c>
      <c r="N17" s="28">
        <v>6</v>
      </c>
      <c r="O17" s="28">
        <v>11</v>
      </c>
      <c r="P17" s="28">
        <v>0</v>
      </c>
      <c r="R17" s="18"/>
      <c r="W17" s="257"/>
      <c r="Y17" s="256"/>
      <c r="Z17" s="256"/>
      <c r="AA17" s="256"/>
    </row>
    <row r="18" spans="1:27" ht="12.95" customHeight="1" x14ac:dyDescent="0.25">
      <c r="A18" s="10">
        <v>1996</v>
      </c>
      <c r="B18" s="29">
        <v>1197</v>
      </c>
      <c r="C18" s="29"/>
      <c r="D18" s="29"/>
      <c r="E18" s="25">
        <v>2.84</v>
      </c>
      <c r="F18" s="26"/>
      <c r="G18" s="25"/>
      <c r="H18" s="29">
        <v>3644</v>
      </c>
      <c r="I18" s="29">
        <v>3023</v>
      </c>
      <c r="J18" s="29">
        <v>384</v>
      </c>
      <c r="K18" s="27">
        <f t="shared" si="0"/>
        <v>7051</v>
      </c>
      <c r="L18" s="25"/>
      <c r="M18" s="28">
        <v>9</v>
      </c>
      <c r="N18" s="28">
        <v>90</v>
      </c>
      <c r="O18" s="28">
        <v>14</v>
      </c>
      <c r="P18" s="28">
        <v>1</v>
      </c>
      <c r="R18" s="18"/>
      <c r="W18" s="257">
        <f>B18/$V$1</f>
        <v>2939.3265475309654</v>
      </c>
      <c r="X18" s="257"/>
      <c r="Y18" s="256"/>
      <c r="Z18" s="257"/>
      <c r="AA18" s="257"/>
    </row>
    <row r="19" spans="1:27" ht="12.95" customHeight="1" x14ac:dyDescent="0.25">
      <c r="A19" s="10">
        <v>1997</v>
      </c>
      <c r="B19" s="29">
        <v>4185</v>
      </c>
      <c r="C19" s="29"/>
      <c r="D19" s="30">
        <v>0.37</v>
      </c>
      <c r="E19" s="25">
        <v>7.67</v>
      </c>
      <c r="F19" s="26">
        <v>1585</v>
      </c>
      <c r="G19" s="25"/>
      <c r="H19" s="29">
        <v>9067</v>
      </c>
      <c r="I19" s="29">
        <v>4191</v>
      </c>
      <c r="J19" s="29">
        <v>842</v>
      </c>
      <c r="K19" s="27">
        <f t="shared" si="0"/>
        <v>14100</v>
      </c>
      <c r="L19" s="25"/>
      <c r="M19" s="28">
        <v>39</v>
      </c>
      <c r="N19" s="28">
        <v>14</v>
      </c>
      <c r="O19" s="28">
        <v>59</v>
      </c>
      <c r="P19" s="28">
        <v>1</v>
      </c>
      <c r="R19" s="18"/>
      <c r="U19" s="258">
        <f>B19/D19</f>
        <v>11310.810810810812</v>
      </c>
      <c r="V19" s="30">
        <f>D19</f>
        <v>0.37</v>
      </c>
      <c r="W19" s="257"/>
      <c r="X19" s="258"/>
      <c r="Y19" s="256"/>
      <c r="Z19" s="258"/>
      <c r="AA19" s="258"/>
    </row>
    <row r="20" spans="1:27" ht="12.95" customHeight="1" x14ac:dyDescent="0.25">
      <c r="A20" s="10">
        <v>1998</v>
      </c>
      <c r="B20" s="29">
        <v>2100</v>
      </c>
      <c r="C20" s="29"/>
      <c r="D20" s="30">
        <v>0.4</v>
      </c>
      <c r="E20" s="25">
        <v>4.84</v>
      </c>
      <c r="F20" s="26">
        <v>591</v>
      </c>
      <c r="G20" s="25"/>
      <c r="H20" s="29">
        <v>6413</v>
      </c>
      <c r="I20" s="29">
        <v>4066</v>
      </c>
      <c r="J20" s="29">
        <v>513</v>
      </c>
      <c r="K20" s="27">
        <f t="shared" si="0"/>
        <v>10992</v>
      </c>
      <c r="L20" s="25"/>
      <c r="M20" s="28">
        <v>0</v>
      </c>
      <c r="N20" s="28">
        <v>15</v>
      </c>
      <c r="O20" s="28">
        <v>51</v>
      </c>
      <c r="P20" s="28">
        <v>8</v>
      </c>
      <c r="R20" s="18"/>
      <c r="U20" s="258">
        <f>B20/D20</f>
        <v>5250</v>
      </c>
      <c r="V20" s="30">
        <f t="shared" ref="V20:V32" si="1">D20</f>
        <v>0.4</v>
      </c>
      <c r="W20" s="257"/>
      <c r="X20" s="258"/>
      <c r="Y20" s="256"/>
      <c r="Z20" s="258"/>
      <c r="AA20" s="258"/>
    </row>
    <row r="21" spans="1:27" ht="12.95" customHeight="1" x14ac:dyDescent="0.25">
      <c r="A21" s="10">
        <v>1999</v>
      </c>
      <c r="B21" s="29"/>
      <c r="C21" s="29"/>
      <c r="D21" s="30"/>
      <c r="E21" s="25">
        <v>2.92</v>
      </c>
      <c r="F21" s="26"/>
      <c r="G21" s="25"/>
      <c r="H21" s="29">
        <v>1927</v>
      </c>
      <c r="I21" s="29">
        <v>2691</v>
      </c>
      <c r="J21" s="29">
        <v>415</v>
      </c>
      <c r="K21" s="27">
        <f t="shared" si="0"/>
        <v>5033</v>
      </c>
      <c r="L21" s="25"/>
      <c r="M21" s="28">
        <v>6</v>
      </c>
      <c r="N21" s="28">
        <v>7</v>
      </c>
      <c r="O21" s="28">
        <v>37</v>
      </c>
      <c r="P21" s="28">
        <v>1</v>
      </c>
      <c r="R21" s="18"/>
      <c r="U21" s="258"/>
      <c r="V21" s="30"/>
      <c r="W21" s="257"/>
      <c r="Y21" s="256"/>
      <c r="Z21" s="256"/>
      <c r="AA21" s="256"/>
    </row>
    <row r="22" spans="1:27" ht="12.95" customHeight="1" x14ac:dyDescent="0.25">
      <c r="A22" s="10">
        <v>2000</v>
      </c>
      <c r="B22" s="29">
        <v>1046</v>
      </c>
      <c r="C22" s="29"/>
      <c r="D22" s="30"/>
      <c r="E22" s="25">
        <v>1.25</v>
      </c>
      <c r="F22" s="26"/>
      <c r="G22" s="25"/>
      <c r="H22" s="29">
        <v>582</v>
      </c>
      <c r="I22" s="29">
        <v>2429</v>
      </c>
      <c r="J22" s="29">
        <v>345</v>
      </c>
      <c r="K22" s="27">
        <f t="shared" si="0"/>
        <v>3356</v>
      </c>
      <c r="L22" s="25"/>
      <c r="M22" s="28">
        <v>2</v>
      </c>
      <c r="N22" s="28">
        <v>21</v>
      </c>
      <c r="O22" s="28">
        <v>14</v>
      </c>
      <c r="P22" s="28">
        <v>4</v>
      </c>
      <c r="R22" s="18"/>
      <c r="U22" s="258"/>
      <c r="V22" s="30"/>
      <c r="W22" s="257">
        <f>B22/$V$1</f>
        <v>2568.5343097054219</v>
      </c>
      <c r="X22" s="257"/>
      <c r="Y22" s="256"/>
      <c r="Z22" s="257"/>
      <c r="AA22" s="257"/>
    </row>
    <row r="23" spans="1:27" ht="12.95" customHeight="1" x14ac:dyDescent="0.25">
      <c r="A23" s="10">
        <v>2001</v>
      </c>
      <c r="B23" s="29"/>
      <c r="C23" s="29"/>
      <c r="D23" s="30"/>
      <c r="E23" s="25">
        <v>0.36</v>
      </c>
      <c r="F23" s="26">
        <v>366</v>
      </c>
      <c r="G23" s="25"/>
      <c r="H23" s="29">
        <v>116</v>
      </c>
      <c r="I23" s="29">
        <v>2810</v>
      </c>
      <c r="J23" s="29">
        <v>250</v>
      </c>
      <c r="K23" s="27">
        <f t="shared" si="0"/>
        <v>3176</v>
      </c>
      <c r="L23" s="25"/>
      <c r="M23" s="28">
        <v>23</v>
      </c>
      <c r="N23" s="28">
        <v>6</v>
      </c>
      <c r="O23" s="28">
        <v>34</v>
      </c>
      <c r="P23" s="28">
        <v>0</v>
      </c>
      <c r="R23" s="18"/>
      <c r="U23" s="258"/>
      <c r="V23" s="30"/>
      <c r="W23" s="257"/>
      <c r="Y23" s="256"/>
      <c r="Z23" s="256"/>
      <c r="AA23" s="256"/>
    </row>
    <row r="24" spans="1:27" ht="12.95" customHeight="1" x14ac:dyDescent="0.25">
      <c r="A24" s="10">
        <v>2002</v>
      </c>
      <c r="B24" s="29">
        <v>1484</v>
      </c>
      <c r="C24" s="29"/>
      <c r="D24" s="30"/>
      <c r="E24" s="25"/>
      <c r="F24" s="26">
        <v>122</v>
      </c>
      <c r="G24" s="25"/>
      <c r="H24" s="29">
        <v>4</v>
      </c>
      <c r="I24" s="29">
        <v>2367</v>
      </c>
      <c r="J24" s="29">
        <v>544</v>
      </c>
      <c r="K24" s="27">
        <f t="shared" si="0"/>
        <v>2915</v>
      </c>
      <c r="L24" s="25"/>
      <c r="M24" s="28">
        <v>8</v>
      </c>
      <c r="N24" s="28">
        <v>29</v>
      </c>
      <c r="O24" s="28">
        <v>3</v>
      </c>
      <c r="P24" s="28">
        <v>2</v>
      </c>
      <c r="R24" s="18"/>
      <c r="U24" s="258"/>
      <c r="V24" s="30"/>
      <c r="W24" s="257">
        <f t="shared" ref="W24:W30" si="2">B24/$V$1</f>
        <v>3644.0773571728928</v>
      </c>
      <c r="X24" s="257"/>
      <c r="Y24" s="256"/>
      <c r="Z24" s="257"/>
      <c r="AA24" s="257"/>
    </row>
    <row r="25" spans="1:27" ht="12.95" customHeight="1" x14ac:dyDescent="0.25">
      <c r="A25" s="10">
        <v>2003</v>
      </c>
      <c r="B25" s="29">
        <v>1452</v>
      </c>
      <c r="C25" s="29"/>
      <c r="D25" s="30"/>
      <c r="E25" s="25"/>
      <c r="F25" s="26">
        <v>131</v>
      </c>
      <c r="G25" s="25"/>
      <c r="H25" s="29">
        <v>10</v>
      </c>
      <c r="I25" s="29">
        <v>2585</v>
      </c>
      <c r="J25" s="29">
        <v>97</v>
      </c>
      <c r="K25" s="27">
        <f t="shared" si="0"/>
        <v>2692</v>
      </c>
      <c r="L25" s="25"/>
      <c r="M25" s="28">
        <v>1</v>
      </c>
      <c r="N25" s="28">
        <v>17</v>
      </c>
      <c r="O25" s="28">
        <v>4</v>
      </c>
      <c r="P25" s="28">
        <v>1</v>
      </c>
      <c r="R25" s="19"/>
      <c r="U25" s="258"/>
      <c r="V25" s="30"/>
      <c r="W25" s="257">
        <f t="shared" si="2"/>
        <v>3565.4988696866849</v>
      </c>
      <c r="X25" s="257"/>
      <c r="Y25" s="256"/>
      <c r="Z25" s="257"/>
      <c r="AA25" s="257"/>
    </row>
    <row r="26" spans="1:27" ht="12.95" customHeight="1" x14ac:dyDescent="0.25">
      <c r="A26" s="10">
        <v>2004</v>
      </c>
      <c r="B26" s="29">
        <v>1125</v>
      </c>
      <c r="C26" s="29"/>
      <c r="D26" s="30"/>
      <c r="E26" s="25"/>
      <c r="F26" s="26">
        <v>189</v>
      </c>
      <c r="G26" s="25"/>
      <c r="H26" s="29">
        <v>22</v>
      </c>
      <c r="I26" s="29">
        <v>2829</v>
      </c>
      <c r="J26" s="29">
        <v>356</v>
      </c>
      <c r="K26" s="27">
        <f t="shared" si="0"/>
        <v>3207</v>
      </c>
      <c r="L26" s="25"/>
      <c r="M26" s="28">
        <v>2</v>
      </c>
      <c r="N26" s="28">
        <v>11</v>
      </c>
      <c r="O26" s="28">
        <v>7</v>
      </c>
      <c r="P26" s="28">
        <v>3</v>
      </c>
      <c r="R26" s="19"/>
      <c r="U26" s="258"/>
      <c r="V26" s="30"/>
      <c r="W26" s="257">
        <f t="shared" si="2"/>
        <v>2762.5249506869977</v>
      </c>
      <c r="X26" s="257"/>
      <c r="Y26" s="256"/>
      <c r="Z26" s="257"/>
      <c r="AA26" s="257"/>
    </row>
    <row r="27" spans="1:27" ht="12.95" customHeight="1" x14ac:dyDescent="0.25">
      <c r="A27" s="10">
        <v>2005</v>
      </c>
      <c r="B27" s="29">
        <v>1015</v>
      </c>
      <c r="C27" s="29"/>
      <c r="D27" s="30"/>
      <c r="E27" s="31">
        <v>0.58045977011494254</v>
      </c>
      <c r="F27" s="26">
        <v>156</v>
      </c>
      <c r="G27" s="25"/>
      <c r="H27" s="29">
        <v>101</v>
      </c>
      <c r="I27" s="29">
        <v>2193</v>
      </c>
      <c r="J27" s="29">
        <v>216</v>
      </c>
      <c r="K27" s="27">
        <f t="shared" si="0"/>
        <v>2510</v>
      </c>
      <c r="L27" s="25"/>
      <c r="M27" s="28">
        <v>51</v>
      </c>
      <c r="N27" s="28">
        <v>7</v>
      </c>
      <c r="O27" s="28">
        <v>10</v>
      </c>
      <c r="P27" s="28">
        <v>0</v>
      </c>
      <c r="R27" s="19"/>
      <c r="U27" s="258"/>
      <c r="V27" s="30"/>
      <c r="W27" s="257">
        <f t="shared" si="2"/>
        <v>2492.4113999531578</v>
      </c>
      <c r="X27" s="257"/>
      <c r="Y27" s="256"/>
      <c r="Z27" s="257"/>
      <c r="AA27" s="257"/>
    </row>
    <row r="28" spans="1:27" ht="12.95" customHeight="1" x14ac:dyDescent="0.25">
      <c r="A28" s="10">
        <v>2006</v>
      </c>
      <c r="B28" s="29">
        <v>906</v>
      </c>
      <c r="C28" s="29"/>
      <c r="D28" s="30"/>
      <c r="E28" s="25"/>
      <c r="F28" s="26"/>
      <c r="G28" s="25"/>
      <c r="H28" s="29">
        <v>12</v>
      </c>
      <c r="I28" s="29">
        <v>2537</v>
      </c>
      <c r="J28" s="29">
        <v>394</v>
      </c>
      <c r="K28" s="27">
        <f t="shared" si="0"/>
        <v>2943</v>
      </c>
      <c r="L28" s="25"/>
      <c r="M28" s="28">
        <v>43</v>
      </c>
      <c r="N28" s="28">
        <v>21</v>
      </c>
      <c r="O28" s="28">
        <v>2</v>
      </c>
      <c r="P28" s="28">
        <v>0</v>
      </c>
      <c r="R28" s="19"/>
      <c r="U28" s="258"/>
      <c r="V28" s="30"/>
      <c r="W28" s="257">
        <f t="shared" si="2"/>
        <v>2224.7534269532621</v>
      </c>
      <c r="X28" s="257"/>
      <c r="Z28" s="257"/>
      <c r="AA28" s="257"/>
    </row>
    <row r="29" spans="1:27" ht="12.95" customHeight="1" x14ac:dyDescent="0.25">
      <c r="A29" s="10">
        <v>2007</v>
      </c>
      <c r="B29" s="29">
        <v>1948</v>
      </c>
      <c r="C29" s="29"/>
      <c r="D29" s="30"/>
      <c r="E29" s="25"/>
      <c r="F29" s="26">
        <v>554</v>
      </c>
      <c r="G29" s="25"/>
      <c r="H29" s="29">
        <v>13</v>
      </c>
      <c r="I29" s="29">
        <v>1666</v>
      </c>
      <c r="J29" s="29">
        <v>147</v>
      </c>
      <c r="K29" s="27">
        <f t="shared" si="0"/>
        <v>1826</v>
      </c>
      <c r="L29" s="25"/>
      <c r="M29" s="28">
        <v>52</v>
      </c>
      <c r="N29" s="28">
        <v>23</v>
      </c>
      <c r="O29" s="28">
        <v>6</v>
      </c>
      <c r="P29" s="28">
        <v>0</v>
      </c>
      <c r="R29" s="19"/>
      <c r="U29" s="258"/>
      <c r="V29" s="30"/>
      <c r="W29" s="257">
        <f t="shared" si="2"/>
        <v>4783.4654257229076</v>
      </c>
      <c r="X29" s="257"/>
      <c r="Z29" s="257"/>
      <c r="AA29" s="257"/>
    </row>
    <row r="30" spans="1:27" ht="12.95" customHeight="1" x14ac:dyDescent="0.25">
      <c r="A30" s="10">
        <v>2008</v>
      </c>
      <c r="B30" s="29">
        <v>905</v>
      </c>
      <c r="C30" s="29"/>
      <c r="D30" s="30"/>
      <c r="E30" s="25"/>
      <c r="F30" s="26"/>
      <c r="G30" s="25"/>
      <c r="H30" s="29">
        <v>65</v>
      </c>
      <c r="I30" s="29">
        <v>1402</v>
      </c>
      <c r="J30" s="29">
        <v>580</v>
      </c>
      <c r="K30" s="27">
        <f t="shared" si="0"/>
        <v>2047</v>
      </c>
      <c r="L30" s="25"/>
      <c r="M30" s="28">
        <v>16</v>
      </c>
      <c r="N30" s="28">
        <v>71</v>
      </c>
      <c r="O30" s="28">
        <v>10</v>
      </c>
      <c r="P30" s="28">
        <v>0</v>
      </c>
      <c r="R30" s="18"/>
      <c r="U30" s="258"/>
      <c r="V30" s="30"/>
      <c r="W30" s="257">
        <f t="shared" si="2"/>
        <v>2222.2978492193183</v>
      </c>
      <c r="X30" s="257"/>
      <c r="Z30" s="257"/>
      <c r="AA30" s="257"/>
    </row>
    <row r="31" spans="1:27" ht="12.95" customHeight="1" x14ac:dyDescent="0.25">
      <c r="A31" s="10">
        <v>2009</v>
      </c>
      <c r="B31" s="29">
        <v>2357</v>
      </c>
      <c r="C31" s="29"/>
      <c r="D31" s="30">
        <v>0.34</v>
      </c>
      <c r="E31" s="25"/>
      <c r="F31" s="26"/>
      <c r="G31" s="25"/>
      <c r="H31" s="29">
        <v>80</v>
      </c>
      <c r="I31" s="29">
        <v>1892</v>
      </c>
      <c r="J31" s="29">
        <v>236</v>
      </c>
      <c r="K31" s="27">
        <f t="shared" si="0"/>
        <v>2208</v>
      </c>
      <c r="L31" s="25"/>
      <c r="M31" s="28">
        <v>58</v>
      </c>
      <c r="N31" s="28">
        <v>24</v>
      </c>
      <c r="O31" s="28">
        <v>31</v>
      </c>
      <c r="P31" s="28">
        <v>2</v>
      </c>
      <c r="R31" s="17"/>
      <c r="U31" s="258">
        <f>B31/D31</f>
        <v>6932.3529411764703</v>
      </c>
      <c r="V31" s="30">
        <f t="shared" si="1"/>
        <v>0.34</v>
      </c>
      <c r="X31" s="258"/>
      <c r="Z31" s="258"/>
      <c r="AA31" s="258"/>
    </row>
    <row r="32" spans="1:27" ht="12.95" customHeight="1" x14ac:dyDescent="0.25">
      <c r="A32" s="10">
        <v>2010</v>
      </c>
      <c r="B32" s="29">
        <v>1256</v>
      </c>
      <c r="C32" s="27">
        <v>1021</v>
      </c>
      <c r="D32" s="30">
        <v>0.55000000000000004</v>
      </c>
      <c r="E32" s="25"/>
      <c r="F32" s="26"/>
      <c r="G32" s="25"/>
      <c r="H32" s="29">
        <v>124</v>
      </c>
      <c r="I32" s="29">
        <v>1257</v>
      </c>
      <c r="J32" s="29">
        <v>61</v>
      </c>
      <c r="K32" s="27">
        <f t="shared" si="0"/>
        <v>1442</v>
      </c>
      <c r="L32" s="25"/>
      <c r="M32" s="28">
        <v>18</v>
      </c>
      <c r="N32" s="28">
        <v>8</v>
      </c>
      <c r="O32" s="28">
        <v>7</v>
      </c>
      <c r="P32" s="28">
        <v>0</v>
      </c>
      <c r="R32" s="17"/>
      <c r="T32" s="259">
        <f>B32+C32</f>
        <v>2277</v>
      </c>
      <c r="V32" s="30">
        <f t="shared" si="1"/>
        <v>0.55000000000000004</v>
      </c>
      <c r="X32" s="260"/>
      <c r="Z32" s="260"/>
      <c r="AA32" s="260"/>
    </row>
    <row r="33" spans="1:27" ht="12.95" customHeight="1" x14ac:dyDescent="0.25">
      <c r="A33" s="10">
        <v>2011</v>
      </c>
      <c r="B33" s="29">
        <v>841</v>
      </c>
      <c r="C33" s="27">
        <v>1030</v>
      </c>
      <c r="D33" s="27"/>
      <c r="E33" s="25"/>
      <c r="F33" s="26">
        <v>433</v>
      </c>
      <c r="G33" s="25"/>
      <c r="H33" s="29">
        <v>124</v>
      </c>
      <c r="I33" s="29">
        <v>607</v>
      </c>
      <c r="J33" s="29">
        <v>54</v>
      </c>
      <c r="K33" s="27">
        <f t="shared" si="0"/>
        <v>785</v>
      </c>
      <c r="L33" s="25"/>
      <c r="M33" s="27"/>
      <c r="N33" s="30"/>
      <c r="O33" s="32"/>
      <c r="P33" s="25"/>
      <c r="T33" s="259">
        <f t="shared" ref="T33:T39" si="3">B33+C33</f>
        <v>1871</v>
      </c>
      <c r="V33" s="262">
        <f t="shared" ref="V33:V41" si="4">B33/SUM(B33:C33)</f>
        <v>0.44949225013361838</v>
      </c>
      <c r="X33" s="260"/>
      <c r="Z33" s="260"/>
      <c r="AA33" s="260"/>
    </row>
    <row r="34" spans="1:27" ht="12.6" customHeight="1" x14ac:dyDescent="0.25">
      <c r="A34" s="10">
        <v>2012</v>
      </c>
      <c r="B34" s="29">
        <v>972</v>
      </c>
      <c r="C34" s="27">
        <v>823</v>
      </c>
      <c r="D34" s="27"/>
      <c r="E34" s="25"/>
      <c r="F34" s="26"/>
      <c r="G34" s="25"/>
      <c r="H34" s="29">
        <v>157</v>
      </c>
      <c r="I34" s="29">
        <v>808</v>
      </c>
      <c r="J34" s="29">
        <v>0</v>
      </c>
      <c r="K34" s="27">
        <f t="shared" si="0"/>
        <v>965</v>
      </c>
      <c r="L34" s="25"/>
      <c r="M34" s="27"/>
      <c r="N34" s="30"/>
      <c r="O34" s="32"/>
      <c r="P34" s="25"/>
      <c r="T34" s="259">
        <f t="shared" si="3"/>
        <v>1795</v>
      </c>
      <c r="V34" s="262">
        <f t="shared" si="4"/>
        <v>0.54150417827298047</v>
      </c>
      <c r="X34" s="260"/>
      <c r="Z34" s="260"/>
      <c r="AA34" s="260"/>
    </row>
    <row r="35" spans="1:27" ht="12.6" customHeight="1" x14ac:dyDescent="0.25">
      <c r="A35" s="10">
        <v>2013</v>
      </c>
      <c r="B35" s="29"/>
      <c r="C35" s="27"/>
      <c r="D35" s="27"/>
      <c r="E35" s="25"/>
      <c r="F35" s="26">
        <v>339</v>
      </c>
      <c r="G35" s="25"/>
      <c r="H35" s="29">
        <v>131</v>
      </c>
      <c r="I35" s="29">
        <v>468</v>
      </c>
      <c r="J35" s="29">
        <v>0</v>
      </c>
      <c r="K35" s="27">
        <f t="shared" si="0"/>
        <v>599</v>
      </c>
      <c r="L35" s="25"/>
      <c r="M35" s="27"/>
      <c r="N35" s="30"/>
      <c r="O35" s="32"/>
      <c r="P35" s="25"/>
      <c r="T35" s="259"/>
      <c r="V35" s="262"/>
      <c r="X35" s="260"/>
      <c r="Z35" s="260"/>
      <c r="AA35" s="260"/>
    </row>
    <row r="36" spans="1:27" ht="12.6" customHeight="1" x14ac:dyDescent="0.25">
      <c r="A36" s="10">
        <v>2014</v>
      </c>
      <c r="B36" s="29">
        <v>3454</v>
      </c>
      <c r="C36" s="27"/>
      <c r="D36" s="27"/>
      <c r="E36" s="25"/>
      <c r="F36" s="26"/>
      <c r="G36" s="25"/>
      <c r="H36" s="29">
        <v>70</v>
      </c>
      <c r="I36" s="29">
        <v>442</v>
      </c>
      <c r="J36" s="29">
        <v>0</v>
      </c>
      <c r="K36" s="27">
        <f t="shared" si="0"/>
        <v>512</v>
      </c>
      <c r="L36" s="25"/>
      <c r="M36" s="33"/>
      <c r="N36" s="30"/>
      <c r="O36" s="32"/>
      <c r="P36" s="25"/>
      <c r="T36" s="259">
        <f t="shared" si="3"/>
        <v>3454</v>
      </c>
      <c r="V36" s="262"/>
      <c r="X36" s="260"/>
      <c r="Z36" s="260"/>
      <c r="AA36" s="260"/>
    </row>
    <row r="37" spans="1:27" ht="12.6" customHeight="1" x14ac:dyDescent="0.25">
      <c r="A37" s="10">
        <v>2015</v>
      </c>
      <c r="B37" s="29">
        <v>1950</v>
      </c>
      <c r="C37" s="27">
        <v>2789</v>
      </c>
      <c r="D37" s="27"/>
      <c r="E37" s="25"/>
      <c r="F37" s="26"/>
      <c r="G37" s="25"/>
      <c r="H37" s="29">
        <v>384</v>
      </c>
      <c r="I37" s="29">
        <v>961</v>
      </c>
      <c r="J37" s="29">
        <v>0</v>
      </c>
      <c r="K37" s="27">
        <f t="shared" si="0"/>
        <v>1345</v>
      </c>
      <c r="L37" s="25"/>
      <c r="M37" s="27"/>
      <c r="N37" s="30"/>
      <c r="O37" s="32"/>
      <c r="P37" s="25"/>
      <c r="T37" s="259">
        <f t="shared" si="3"/>
        <v>4739</v>
      </c>
      <c r="V37" s="262">
        <f t="shared" si="4"/>
        <v>0.41147921502426671</v>
      </c>
      <c r="X37" s="260"/>
      <c r="Z37" s="260"/>
      <c r="AA37" s="260"/>
    </row>
    <row r="38" spans="1:27" ht="12.6" customHeight="1" x14ac:dyDescent="0.25">
      <c r="A38" s="10">
        <v>2016</v>
      </c>
      <c r="B38" s="29"/>
      <c r="C38" s="34"/>
      <c r="D38" s="34"/>
      <c r="E38" s="25"/>
      <c r="F38" s="26"/>
      <c r="G38" s="25"/>
      <c r="H38" s="29">
        <v>101</v>
      </c>
      <c r="I38" s="29">
        <v>687</v>
      </c>
      <c r="J38" s="29">
        <v>78</v>
      </c>
      <c r="K38" s="27">
        <f t="shared" si="0"/>
        <v>866</v>
      </c>
      <c r="L38" s="25"/>
      <c r="M38" s="33"/>
      <c r="N38" s="30"/>
      <c r="O38" s="32"/>
      <c r="P38" s="25"/>
      <c r="T38" s="259"/>
      <c r="V38" s="262"/>
      <c r="X38" s="260"/>
      <c r="Z38" s="260"/>
      <c r="AA38" s="260"/>
    </row>
    <row r="39" spans="1:27" ht="12.6" customHeight="1" x14ac:dyDescent="0.25">
      <c r="A39" s="10">
        <v>2017</v>
      </c>
      <c r="B39" s="29">
        <v>1044</v>
      </c>
      <c r="C39" s="27">
        <v>2934</v>
      </c>
      <c r="D39" s="27"/>
      <c r="E39" s="25"/>
      <c r="F39" s="26"/>
      <c r="G39" s="25"/>
      <c r="H39" s="29">
        <v>327</v>
      </c>
      <c r="I39" s="29"/>
      <c r="J39" s="29"/>
      <c r="K39" s="27">
        <f t="shared" si="0"/>
        <v>327</v>
      </c>
      <c r="L39" s="25"/>
      <c r="M39" s="27"/>
      <c r="N39" s="30"/>
      <c r="O39" s="32"/>
      <c r="P39" s="25"/>
      <c r="T39" s="259">
        <f t="shared" si="3"/>
        <v>3978</v>
      </c>
      <c r="V39" s="262">
        <f t="shared" si="4"/>
        <v>0.26244343891402716</v>
      </c>
      <c r="X39" s="260"/>
      <c r="Z39" s="260"/>
      <c r="AA39" s="260"/>
    </row>
    <row r="40" spans="1:27" ht="12.95" customHeight="1" x14ac:dyDescent="0.2">
      <c r="A40" s="10">
        <v>2018</v>
      </c>
      <c r="B40" s="35"/>
      <c r="C40" s="35"/>
      <c r="N40" s="11"/>
    </row>
    <row r="41" spans="1:27" ht="12.95" customHeight="1" x14ac:dyDescent="0.2">
      <c r="A41" s="10">
        <v>2019</v>
      </c>
      <c r="B41" s="36">
        <v>3300</v>
      </c>
      <c r="C41" s="36">
        <v>6400</v>
      </c>
      <c r="N41" s="13"/>
      <c r="V41" s="262">
        <f t="shared" si="4"/>
        <v>0.34020618556701032</v>
      </c>
    </row>
    <row r="45" spans="1:27" ht="12.95" customHeight="1" x14ac:dyDescent="0.2">
      <c r="B45" s="14"/>
      <c r="C45" s="14"/>
      <c r="D45" s="14"/>
      <c r="E45" s="14"/>
      <c r="F45" s="14"/>
      <c r="G45" s="14"/>
      <c r="H45" s="14"/>
      <c r="I45" s="14"/>
      <c r="J45" s="14"/>
    </row>
    <row r="50" spans="2:10" ht="12.95" customHeight="1" x14ac:dyDescent="0.2">
      <c r="B50" s="12"/>
      <c r="C50" s="12"/>
      <c r="D50" s="12"/>
      <c r="E50" s="12"/>
      <c r="F50" s="12"/>
      <c r="G50" s="12"/>
      <c r="H50" s="12"/>
      <c r="I50" s="12"/>
      <c r="J50" s="12"/>
    </row>
    <row r="51" spans="2:10" ht="12.95" customHeight="1" x14ac:dyDescent="0.2">
      <c r="B51" s="12"/>
      <c r="C51" s="12"/>
      <c r="D51" s="12"/>
      <c r="E51" s="12"/>
      <c r="F51" s="12"/>
      <c r="G51" s="12"/>
      <c r="H51" s="12"/>
      <c r="I51" s="12"/>
      <c r="J51" s="12"/>
    </row>
    <row r="52" spans="2:10" ht="12.95" customHeight="1" x14ac:dyDescent="0.2">
      <c r="B52" s="12"/>
      <c r="C52" s="12"/>
      <c r="D52" s="12"/>
      <c r="E52" s="12"/>
      <c r="F52" s="12"/>
      <c r="G52" s="12"/>
      <c r="H52" s="12"/>
      <c r="I52" s="12"/>
      <c r="J52" s="12"/>
    </row>
    <row r="53" spans="2:10" ht="12.95" customHeight="1" x14ac:dyDescent="0.2">
      <c r="B53" s="12"/>
      <c r="C53" s="12"/>
      <c r="D53" s="12"/>
      <c r="E53" s="12"/>
      <c r="F53" s="12"/>
      <c r="G53" s="12"/>
      <c r="H53" s="12"/>
      <c r="I53" s="12"/>
      <c r="J53" s="12"/>
    </row>
    <row r="54" spans="2:10" ht="12.95" customHeight="1" x14ac:dyDescent="0.2">
      <c r="B54" s="12"/>
      <c r="C54" s="12"/>
      <c r="D54" s="12"/>
      <c r="E54" s="12"/>
      <c r="F54" s="12"/>
      <c r="G54" s="12"/>
      <c r="H54" s="12"/>
      <c r="I54" s="12"/>
      <c r="J54" s="12"/>
    </row>
    <row r="55" spans="2:10" ht="12.95" customHeight="1" x14ac:dyDescent="0.2">
      <c r="B55" s="12"/>
      <c r="C55" s="12"/>
      <c r="D55" s="12"/>
      <c r="E55" s="12"/>
      <c r="F55" s="12"/>
      <c r="G55" s="12"/>
      <c r="H55" s="12"/>
      <c r="I55" s="12"/>
      <c r="J55" s="12"/>
    </row>
    <row r="56" spans="2:10" ht="12.95" customHeight="1" x14ac:dyDescent="0.2">
      <c r="B56" s="12"/>
      <c r="C56" s="12"/>
      <c r="D56" s="12"/>
      <c r="E56" s="12"/>
      <c r="F56" s="12"/>
      <c r="G56" s="12"/>
      <c r="H56" s="12"/>
      <c r="I56" s="12"/>
      <c r="J56" s="12"/>
    </row>
    <row r="57" spans="2:10" ht="12.95" customHeight="1" x14ac:dyDescent="0.2">
      <c r="B57" s="12"/>
      <c r="C57" s="12"/>
      <c r="D57" s="12"/>
      <c r="E57" s="12"/>
      <c r="F57" s="12"/>
      <c r="G57" s="12"/>
      <c r="H57" s="12"/>
      <c r="I57" s="12"/>
      <c r="J57" s="12"/>
    </row>
    <row r="58" spans="2:10" ht="12.95" customHeight="1" x14ac:dyDescent="0.2">
      <c r="B58" s="12"/>
      <c r="C58" s="12"/>
      <c r="D58" s="12"/>
      <c r="E58" s="12"/>
      <c r="F58" s="12"/>
      <c r="G58" s="12"/>
      <c r="H58" s="12"/>
      <c r="I58" s="12"/>
      <c r="J58" s="12"/>
    </row>
    <row r="59" spans="2:10" ht="12.95" customHeight="1" x14ac:dyDescent="0.2">
      <c r="B59" s="12"/>
      <c r="C59" s="12"/>
      <c r="D59" s="12"/>
      <c r="E59" s="12"/>
      <c r="F59" s="12"/>
      <c r="G59" s="12"/>
      <c r="H59" s="12"/>
      <c r="I59" s="12"/>
      <c r="J59" s="12"/>
    </row>
    <row r="60" spans="2:10" ht="12.95" customHeight="1" x14ac:dyDescent="0.2">
      <c r="B60" s="12"/>
      <c r="C60" s="12"/>
      <c r="D60" s="12"/>
      <c r="E60" s="12"/>
      <c r="F60" s="12"/>
      <c r="G60" s="12"/>
      <c r="H60" s="12"/>
      <c r="I60" s="15"/>
      <c r="J60" s="12"/>
    </row>
    <row r="61" spans="2:10" ht="12.95" customHeight="1" x14ac:dyDescent="0.2">
      <c r="B61" s="12"/>
      <c r="C61" s="12"/>
      <c r="D61" s="12"/>
      <c r="E61" s="12"/>
      <c r="F61" s="12"/>
      <c r="G61" s="12"/>
      <c r="H61" s="12"/>
      <c r="I61" s="12"/>
      <c r="J61" s="12"/>
    </row>
    <row r="62" spans="2:10" ht="12.95" customHeight="1" x14ac:dyDescent="0.2">
      <c r="B62" s="12"/>
      <c r="C62" s="12"/>
      <c r="D62" s="12"/>
      <c r="E62" s="12"/>
      <c r="F62" s="12"/>
      <c r="G62" s="12"/>
      <c r="H62" s="12"/>
      <c r="I62" s="12"/>
      <c r="J62" s="12"/>
    </row>
    <row r="63" spans="2:10" ht="12.95" customHeight="1" x14ac:dyDescent="0.2">
      <c r="B63" s="12"/>
      <c r="C63" s="12"/>
      <c r="D63" s="12"/>
      <c r="E63" s="12"/>
      <c r="F63" s="12"/>
      <c r="G63" s="12"/>
      <c r="H63" s="12"/>
      <c r="I63" s="12"/>
      <c r="J63" s="12"/>
    </row>
    <row r="64" spans="2:10" ht="12.95" customHeight="1" x14ac:dyDescent="0.2">
      <c r="B64" s="12"/>
      <c r="C64" s="12"/>
      <c r="D64" s="12"/>
      <c r="E64" s="12"/>
      <c r="F64" s="12"/>
      <c r="G64" s="12"/>
      <c r="H64" s="12"/>
      <c r="I64" s="12"/>
      <c r="J64" s="12"/>
    </row>
    <row r="65" spans="2:10" ht="12.95" customHeight="1" x14ac:dyDescent="0.2">
      <c r="B65" s="12"/>
      <c r="C65" s="12"/>
      <c r="D65" s="12"/>
      <c r="E65" s="12"/>
      <c r="F65" s="12"/>
      <c r="G65" s="12"/>
      <c r="H65" s="12"/>
      <c r="I65" s="12"/>
      <c r="J65" s="12"/>
    </row>
    <row r="66" spans="2:10" ht="12.95" customHeight="1" x14ac:dyDescent="0.2">
      <c r="B66" s="12"/>
      <c r="C66" s="12"/>
      <c r="D66" s="12"/>
      <c r="E66" s="12"/>
      <c r="F66" s="12"/>
      <c r="G66" s="12"/>
      <c r="H66" s="12"/>
      <c r="I66" s="12"/>
      <c r="J66" s="12"/>
    </row>
    <row r="67" spans="2:10" ht="12.95" customHeight="1" x14ac:dyDescent="0.2">
      <c r="B67" s="12"/>
      <c r="C67" s="12"/>
      <c r="D67" s="12"/>
      <c r="E67" s="12"/>
      <c r="F67" s="12"/>
      <c r="G67" s="12"/>
      <c r="H67" s="12"/>
      <c r="I67" s="12"/>
      <c r="J67" s="12"/>
    </row>
  </sheetData>
  <mergeCells count="4">
    <mergeCell ref="H2:K2"/>
    <mergeCell ref="M2:P2"/>
    <mergeCell ref="T2:Z2"/>
    <mergeCell ref="B1:F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M1017"/>
  <sheetViews>
    <sheetView zoomScale="70" zoomScaleNormal="70" workbookViewId="0">
      <selection activeCell="V49" sqref="V49"/>
    </sheetView>
  </sheetViews>
  <sheetFormatPr defaultColWidth="8.7109375" defaultRowHeight="12.75" x14ac:dyDescent="0.2"/>
  <cols>
    <col min="1" max="1" width="7.42578125" style="107" customWidth="1"/>
    <col min="2" max="2" width="8.5703125" style="107" customWidth="1"/>
    <col min="3" max="3" width="11.28515625" style="107" customWidth="1"/>
    <col min="4" max="4" width="8.28515625" style="107" customWidth="1"/>
    <col min="5" max="5" width="6" style="107" customWidth="1"/>
    <col min="6" max="6" width="6.42578125" style="107" customWidth="1"/>
    <col min="7" max="8" width="7.5703125" style="107" customWidth="1"/>
    <col min="9" max="9" width="7.28515625" style="107" customWidth="1"/>
    <col min="10" max="10" width="5.140625" style="107" customWidth="1"/>
    <col min="11" max="11" width="5.140625" style="109" customWidth="1"/>
    <col min="12" max="12" width="5.7109375" style="110" customWidth="1"/>
    <col min="13" max="13" width="13.7109375" style="107" customWidth="1"/>
    <col min="14" max="14" width="8.28515625" style="107" bestFit="1" customWidth="1"/>
    <col min="15" max="15" width="11.140625" style="107" bestFit="1" customWidth="1"/>
    <col min="16" max="16" width="7.42578125" style="107" customWidth="1"/>
    <col min="17" max="17" width="4.7109375" style="107" customWidth="1"/>
    <col min="18" max="18" width="0.85546875" style="107" customWidth="1"/>
    <col min="19" max="24" width="11" style="107" customWidth="1"/>
    <col min="25" max="16384" width="8.7109375" style="107"/>
  </cols>
  <sheetData>
    <row r="1" spans="1:39" ht="18" x14ac:dyDescent="0.25">
      <c r="A1" s="105" t="s">
        <v>62</v>
      </c>
      <c r="B1" s="106"/>
      <c r="E1" s="108"/>
    </row>
    <row r="2" spans="1:39" ht="18" x14ac:dyDescent="0.25">
      <c r="A2" s="106" t="s">
        <v>63</v>
      </c>
      <c r="B2" s="106"/>
      <c r="E2" s="108"/>
      <c r="M2" s="111" t="s">
        <v>64</v>
      </c>
      <c r="N2" s="112"/>
      <c r="R2" s="113"/>
    </row>
    <row r="3" spans="1:39" ht="18.75" thickBot="1" x14ac:dyDescent="0.3">
      <c r="B3" s="105"/>
      <c r="C3" s="111" t="s">
        <v>65</v>
      </c>
      <c r="D3" s="114"/>
      <c r="E3" s="114"/>
      <c r="F3" s="114"/>
      <c r="G3" s="114"/>
      <c r="H3" s="111" t="s">
        <v>66</v>
      </c>
      <c r="I3" s="114"/>
      <c r="K3" s="115"/>
      <c r="M3" s="116" t="s">
        <v>67</v>
      </c>
      <c r="N3" s="116" t="s">
        <v>68</v>
      </c>
      <c r="R3" s="113"/>
      <c r="AH3" s="307" t="s">
        <v>69</v>
      </c>
      <c r="AI3" s="307"/>
    </row>
    <row r="4" spans="1:39" ht="18" x14ac:dyDescent="0.25">
      <c r="B4" s="116" t="s">
        <v>70</v>
      </c>
      <c r="C4" s="117">
        <v>1.5</v>
      </c>
      <c r="D4" s="118">
        <f>C4 + D6^2/2</f>
        <v>1.58</v>
      </c>
      <c r="E4" s="119">
        <f>EXP(C4)</f>
        <v>4.4816890703380645</v>
      </c>
      <c r="F4" s="120" t="s">
        <v>71</v>
      </c>
      <c r="G4" s="121"/>
      <c r="H4" s="117">
        <v>0.4</v>
      </c>
      <c r="I4" s="122" t="s">
        <v>72</v>
      </c>
      <c r="K4" s="115"/>
      <c r="L4" s="116" t="s">
        <v>73</v>
      </c>
      <c r="M4" s="123">
        <f ca="1">AI4</f>
        <v>1.5385405981238178</v>
      </c>
      <c r="N4" s="124">
        <f ca="1">(M4-C4)/C4</f>
        <v>2.5693732082545218E-2</v>
      </c>
      <c r="O4" s="125">
        <f ca="1">AI4+M6^2/2</f>
        <v>1.616354613196552</v>
      </c>
      <c r="P4" s="126" t="s">
        <v>74</v>
      </c>
      <c r="R4" s="113"/>
      <c r="AH4" s="127">
        <f t="array" aca="1" ref="AH4:AI8" ca="1">LINEST(M79:M118,B78:B117,1,1)</f>
        <v>-1.3643802460595218E-3</v>
      </c>
      <c r="AI4" s="128">
        <f ca="1"/>
        <v>1.5385405981238178</v>
      </c>
    </row>
    <row r="5" spans="1:39" ht="18.75" x14ac:dyDescent="0.3">
      <c r="A5" s="114"/>
      <c r="B5" s="136" t="s">
        <v>8</v>
      </c>
      <c r="C5" s="137">
        <v>1E-3</v>
      </c>
      <c r="D5" s="115"/>
      <c r="E5" s="114"/>
      <c r="F5" s="114"/>
      <c r="H5" s="138">
        <f>1-EXP(-H4)</f>
        <v>0.32967995396436067</v>
      </c>
      <c r="I5" s="122" t="s">
        <v>75</v>
      </c>
      <c r="K5" s="115"/>
      <c r="L5" s="136" t="s">
        <v>76</v>
      </c>
      <c r="M5" s="139">
        <f ca="1">-AH4</f>
        <v>1.3643802460595218E-3</v>
      </c>
      <c r="N5" s="124">
        <f ca="1">(M5-C5)/C5</f>
        <v>0.3643802460595218</v>
      </c>
      <c r="R5" s="113"/>
      <c r="AH5" s="129">
        <f ca="1"/>
        <v>6.03040464950884E-4</v>
      </c>
      <c r="AI5" s="130">
        <f ca="1"/>
        <v>0.21838198496804476</v>
      </c>
    </row>
    <row r="6" spans="1:39" ht="21" x14ac:dyDescent="0.35">
      <c r="A6" s="114"/>
      <c r="B6" s="136" t="s">
        <v>77</v>
      </c>
      <c r="C6" s="140">
        <v>0.4</v>
      </c>
      <c r="D6" s="141">
        <f>SQRT(C6^2/(1-C7^2))</f>
        <v>0.4</v>
      </c>
      <c r="E6" s="142" t="s">
        <v>78</v>
      </c>
      <c r="F6" s="114"/>
      <c r="G6" s="143"/>
      <c r="H6" s="144">
        <v>250</v>
      </c>
      <c r="I6" s="122" t="s">
        <v>79</v>
      </c>
      <c r="K6" s="115"/>
      <c r="L6" s="136" t="s">
        <v>80</v>
      </c>
      <c r="M6" s="145">
        <f ca="1">SQRT(AI8/AI7)</f>
        <v>0.39449718648612492</v>
      </c>
      <c r="N6" s="124">
        <f ca="1">(M6-C6)/C6</f>
        <v>-1.3757033784687761E-2</v>
      </c>
      <c r="AH6" s="131">
        <f ca="1"/>
        <v>0.11871623358831063</v>
      </c>
      <c r="AI6" s="130">
        <f ca="1"/>
        <v>0.39449718648612492</v>
      </c>
    </row>
    <row r="7" spans="1:39" ht="18" x14ac:dyDescent="0.25">
      <c r="A7" s="114"/>
      <c r="B7" s="136" t="s">
        <v>81</v>
      </c>
      <c r="C7" s="140">
        <v>0</v>
      </c>
      <c r="D7" s="146"/>
      <c r="E7" s="147"/>
      <c r="F7" s="114"/>
      <c r="G7" s="121"/>
      <c r="H7" s="148">
        <v>2.5</v>
      </c>
      <c r="I7" s="122" t="s">
        <v>82</v>
      </c>
      <c r="K7" s="115"/>
      <c r="L7" s="149"/>
      <c r="M7" s="122"/>
      <c r="N7" s="124"/>
      <c r="AH7" s="132">
        <f ca="1"/>
        <v>5.1189152101644426</v>
      </c>
      <c r="AI7" s="133">
        <f ca="1"/>
        <v>38</v>
      </c>
    </row>
    <row r="8" spans="1:39" ht="21" x14ac:dyDescent="0.35">
      <c r="A8" s="114"/>
      <c r="B8" s="150" t="s">
        <v>83</v>
      </c>
      <c r="C8" s="151">
        <f>1/C5</f>
        <v>1000</v>
      </c>
      <c r="D8" s="110"/>
      <c r="E8" s="114"/>
      <c r="F8" s="152"/>
      <c r="H8" s="138">
        <f>1-EXP(-H7)</f>
        <v>0.91791500137610116</v>
      </c>
      <c r="I8" s="153" t="s">
        <v>84</v>
      </c>
      <c r="J8" s="114"/>
      <c r="K8" s="115"/>
      <c r="L8" s="150" t="s">
        <v>85</v>
      </c>
      <c r="M8" s="154">
        <f ca="1">1/M5</f>
        <v>732.93350800710323</v>
      </c>
      <c r="N8" s="124">
        <f ca="1">(M8-C8)/C8</f>
        <v>-0.26706649199289678</v>
      </c>
      <c r="AH8" s="134">
        <f ca="1"/>
        <v>0.79664669063956861</v>
      </c>
      <c r="AI8" s="135">
        <f ca="1"/>
        <v>5.9138651455278</v>
      </c>
    </row>
    <row r="9" spans="1:39" ht="21.75" thickBot="1" x14ac:dyDescent="0.4">
      <c r="A9" s="155"/>
      <c r="B9" s="150" t="s">
        <v>86</v>
      </c>
      <c r="C9" s="151">
        <f>D4/C5</f>
        <v>1580</v>
      </c>
      <c r="E9" s="114"/>
      <c r="F9" s="152"/>
      <c r="G9" s="114"/>
      <c r="H9" s="156">
        <v>0.4</v>
      </c>
      <c r="I9" s="120" t="s">
        <v>87</v>
      </c>
      <c r="J9" s="114"/>
      <c r="K9" s="115"/>
      <c r="L9" s="150" t="s">
        <v>88</v>
      </c>
      <c r="M9" s="157">
        <f ca="1">O4/M5</f>
        <v>1184.6804568336133</v>
      </c>
      <c r="N9" s="124">
        <f ca="1">(M9-C9)/C9</f>
        <v>-0.25020224251037132</v>
      </c>
      <c r="O9" s="158"/>
      <c r="P9" s="159"/>
      <c r="AC9" s="160"/>
    </row>
    <row r="10" spans="1:39" ht="21" x14ac:dyDescent="0.35">
      <c r="A10" s="155"/>
      <c r="B10" s="150" t="s">
        <v>89</v>
      </c>
      <c r="C10" s="161">
        <f>D4/C5*(0.5-0.07*D4)</f>
        <v>615.25199999999995</v>
      </c>
      <c r="G10" s="122"/>
      <c r="H10" s="162"/>
      <c r="I10" s="114"/>
      <c r="J10" s="114"/>
      <c r="K10" s="115"/>
      <c r="L10" s="150" t="s">
        <v>90</v>
      </c>
      <c r="M10" s="157">
        <f ca="1">O4/M5*(0.5-0.07*O4)</f>
        <v>458.29976790712999</v>
      </c>
      <c r="N10" s="124">
        <f ca="1">(M10-C10)/C10</f>
        <v>-0.25510235170770673</v>
      </c>
      <c r="O10" s="158"/>
      <c r="P10" s="159"/>
      <c r="Y10" s="108"/>
      <c r="Z10" s="112"/>
      <c r="AA10" s="108"/>
    </row>
    <row r="11" spans="1:39" ht="21" x14ac:dyDescent="0.35">
      <c r="A11" s="155"/>
      <c r="B11" s="150" t="s">
        <v>91</v>
      </c>
      <c r="C11" s="138">
        <f>D4*(0.5-0.07*D4)</f>
        <v>0.61525200000000002</v>
      </c>
      <c r="G11" s="116" t="s">
        <v>92</v>
      </c>
      <c r="H11" s="163">
        <f ca="1">MEDIAN(A19:A1017)</f>
        <v>293.08947354235556</v>
      </c>
      <c r="J11" s="164"/>
      <c r="K11" s="115"/>
      <c r="L11" s="150" t="s">
        <v>93</v>
      </c>
      <c r="M11" s="165">
        <f ca="1">O4*(0.5-0.07*O4)</f>
        <v>0.62529515010615178</v>
      </c>
      <c r="N11" s="124">
        <f ca="1">(M11-C11)/C11</f>
        <v>1.6323636666198165E-2</v>
      </c>
      <c r="O11" s="158"/>
      <c r="P11" s="159"/>
      <c r="Y11" s="166"/>
      <c r="Z11" s="166"/>
      <c r="AA11" s="166"/>
      <c r="AH11" s="167" t="s">
        <v>94</v>
      </c>
    </row>
    <row r="12" spans="1:39" ht="21" x14ac:dyDescent="0.35">
      <c r="A12" s="162"/>
      <c r="B12" s="150" t="s">
        <v>95</v>
      </c>
      <c r="C12" s="151">
        <f>C10*EXP(D4-C5*C10)</f>
        <v>1614.4989502179633</v>
      </c>
      <c r="E12" s="114"/>
      <c r="G12" s="116" t="s">
        <v>96</v>
      </c>
      <c r="H12" s="168">
        <f ca="1">AVERAGE(O19:O118)</f>
        <v>2.1509327916067478</v>
      </c>
      <c r="J12" s="114"/>
      <c r="K12" s="115"/>
      <c r="O12" s="169"/>
      <c r="AH12" s="107">
        <v>0</v>
      </c>
      <c r="AI12" s="107">
        <v>0</v>
      </c>
      <c r="AK12" s="107">
        <v>0</v>
      </c>
      <c r="AL12" s="170">
        <f>C10*T41</f>
        <v>100</v>
      </c>
      <c r="AM12" s="171">
        <f>$U$41*C10</f>
        <v>250</v>
      </c>
    </row>
    <row r="13" spans="1:39" ht="18.75" thickBot="1" x14ac:dyDescent="0.3">
      <c r="A13" s="162"/>
      <c r="B13" s="150" t="s">
        <v>97</v>
      </c>
      <c r="C13" s="172">
        <f>C12-C10</f>
        <v>999.24695021796333</v>
      </c>
      <c r="D13" s="173"/>
      <c r="F13" s="150"/>
      <c r="G13" s="174" t="s">
        <v>98</v>
      </c>
      <c r="H13" s="175"/>
      <c r="I13" s="115"/>
      <c r="J13" s="115"/>
      <c r="K13" s="115"/>
      <c r="L13" s="150" t="s">
        <v>99</v>
      </c>
      <c r="O13" s="169"/>
      <c r="Y13" s="176"/>
      <c r="Z13" s="177"/>
      <c r="AA13" s="177"/>
      <c r="AH13" s="171">
        <f ca="1">AI13</f>
        <v>2509.1006548028599</v>
      </c>
      <c r="AI13" s="178">
        <f ca="1">MAX(E18:E218)</f>
        <v>2509.1006548028599</v>
      </c>
      <c r="AK13" s="107">
        <v>100</v>
      </c>
      <c r="AL13" s="179">
        <f>AL12</f>
        <v>100</v>
      </c>
      <c r="AM13" s="171">
        <f>AM12</f>
        <v>250</v>
      </c>
    </row>
    <row r="14" spans="1:39" ht="16.5" customHeight="1" thickBot="1" x14ac:dyDescent="0.3">
      <c r="A14" s="162"/>
      <c r="C14" s="136"/>
      <c r="D14" s="120"/>
      <c r="E14" s="114"/>
      <c r="F14" s="152"/>
      <c r="G14" s="114"/>
      <c r="H14" s="114"/>
      <c r="I14" s="114"/>
      <c r="J14" s="114"/>
      <c r="K14" s="115"/>
      <c r="L14" s="150" t="s">
        <v>100</v>
      </c>
      <c r="P14" s="108"/>
      <c r="Y14" s="176"/>
      <c r="Z14" s="177"/>
      <c r="AA14" s="177"/>
    </row>
    <row r="15" spans="1:39" ht="21.75" thickBot="1" x14ac:dyDescent="0.4">
      <c r="A15" s="180"/>
      <c r="B15" s="136" t="s">
        <v>101</v>
      </c>
      <c r="C15" s="181">
        <v>0.1</v>
      </c>
      <c r="D15" s="114"/>
      <c r="E15" s="114"/>
      <c r="Y15" s="176"/>
      <c r="Z15" s="177"/>
      <c r="AA15" s="177"/>
      <c r="AC15" s="108"/>
      <c r="AH15" s="107">
        <v>0</v>
      </c>
      <c r="AI15" s="171">
        <f>$H$6</f>
        <v>250</v>
      </c>
    </row>
    <row r="16" spans="1:39" ht="18" x14ac:dyDescent="0.25">
      <c r="A16" s="180"/>
      <c r="B16" s="182"/>
      <c r="C16" s="114"/>
      <c r="D16" s="114"/>
      <c r="E16" s="114"/>
      <c r="F16" s="183" t="s">
        <v>102</v>
      </c>
      <c r="G16" s="183" t="s">
        <v>103</v>
      </c>
      <c r="H16" s="184"/>
      <c r="I16" s="184"/>
      <c r="J16" s="184"/>
      <c r="K16" s="115"/>
      <c r="L16" s="185"/>
      <c r="M16" s="108" t="s">
        <v>104</v>
      </c>
      <c r="N16" s="108" t="s">
        <v>105</v>
      </c>
      <c r="Y16" s="176"/>
      <c r="Z16" s="177"/>
      <c r="AA16" s="177"/>
      <c r="AC16" s="108"/>
      <c r="AH16" s="171">
        <f ca="1">AI13</f>
        <v>2509.1006548028599</v>
      </c>
      <c r="AI16" s="171">
        <f>$H$6</f>
        <v>250</v>
      </c>
    </row>
    <row r="17" spans="1:36" s="166" customFormat="1" ht="20.25" thickBot="1" x14ac:dyDescent="0.4">
      <c r="A17" s="116" t="s">
        <v>59</v>
      </c>
      <c r="B17" s="116" t="s">
        <v>106</v>
      </c>
      <c r="C17" s="183" t="s">
        <v>107</v>
      </c>
      <c r="D17" s="183" t="s">
        <v>108</v>
      </c>
      <c r="E17" s="116" t="s">
        <v>109</v>
      </c>
      <c r="F17" s="183" t="s">
        <v>110</v>
      </c>
      <c r="G17" s="183" t="s">
        <v>110</v>
      </c>
      <c r="H17" s="186" t="s">
        <v>111</v>
      </c>
      <c r="I17" s="183" t="s">
        <v>112</v>
      </c>
      <c r="J17" s="183" t="s">
        <v>113</v>
      </c>
      <c r="K17" s="150" t="s">
        <v>114</v>
      </c>
      <c r="L17" s="187" t="s">
        <v>115</v>
      </c>
      <c r="M17" s="166" t="s">
        <v>116</v>
      </c>
      <c r="N17" s="166" t="s">
        <v>109</v>
      </c>
      <c r="O17" s="166" t="s">
        <v>117</v>
      </c>
      <c r="Y17" s="176"/>
      <c r="Z17" s="177"/>
      <c r="AA17" s="177"/>
    </row>
    <row r="18" spans="1:36" ht="18.75" thickBot="1" x14ac:dyDescent="0.3">
      <c r="A18" s="188">
        <v>900</v>
      </c>
      <c r="B18" s="189">
        <f ca="1">EXP(NORMINV(RAND(),LN(A18),$C$15))</f>
        <v>765.11354472197786</v>
      </c>
      <c r="C18" s="114"/>
      <c r="D18" s="114"/>
      <c r="E18" s="114"/>
      <c r="F18" s="190">
        <v>0</v>
      </c>
      <c r="G18" s="114"/>
      <c r="H18" s="114"/>
      <c r="I18" s="114"/>
      <c r="J18" s="114"/>
      <c r="K18" s="115"/>
      <c r="P18" s="107">
        <f ca="1">AVERAGE(P19:P118)</f>
        <v>0.97</v>
      </c>
      <c r="Q18" s="107">
        <v>0</v>
      </c>
      <c r="Y18" s="176"/>
      <c r="Z18" s="177"/>
      <c r="AA18" s="177"/>
      <c r="AH18" s="191" t="s">
        <v>118</v>
      </c>
      <c r="AI18" s="191" t="s">
        <v>59</v>
      </c>
      <c r="AJ18" s="191" t="s">
        <v>109</v>
      </c>
    </row>
    <row r="19" spans="1:36" x14ac:dyDescent="0.2">
      <c r="A19" s="192">
        <f ca="1">IF(E19&lt;I19,E19*EXP(-J19),$H$6+(E19-I19)*EXP(-$H$7*EXP(H19)))</f>
        <v>290.54951271122849</v>
      </c>
      <c r="B19" s="193">
        <f t="shared" ref="B19:B82" ca="1" si="0">EXP(NORMINV(RAND(),LN(A19),$C$15))</f>
        <v>265.27098673862224</v>
      </c>
      <c r="C19" s="171">
        <f>A18*EXP($C$4-$C$5*A18)</f>
        <v>1639.906920351458</v>
      </c>
      <c r="D19" s="171">
        <f>C19*EXP($C$7*F18)</f>
        <v>1639.906920351458</v>
      </c>
      <c r="E19" s="194">
        <f ca="1">D19*EXP(NORMINV(RAND(),0,$C$6))</f>
        <v>2183.5848337527414</v>
      </c>
      <c r="F19" s="177">
        <f ca="1">LN(E19/C19)</f>
        <v>0.28632846103468962</v>
      </c>
      <c r="G19" s="177">
        <f ca="1">LN(E19/D19)</f>
        <v>0.28632846103468962</v>
      </c>
      <c r="H19" s="176">
        <f t="shared" ref="H19:H82" ca="1" si="1">NORMINV(RAND(),0,$H$9)</f>
        <v>0.40603505258065953</v>
      </c>
      <c r="I19" s="171">
        <f ca="1">$H$6/EXP(-J19)</f>
        <v>455.6855471319908</v>
      </c>
      <c r="J19" s="176">
        <f t="shared" ref="J19:J82" ca="1" si="2">$H$4*EXP(H19)</f>
        <v>0.60034206415302416</v>
      </c>
      <c r="K19" s="195">
        <f ca="1">E19-A19</f>
        <v>1893.0353210415128</v>
      </c>
      <c r="L19" s="195">
        <f ca="1">B19+K19</f>
        <v>2158.3063077801353</v>
      </c>
      <c r="M19" s="177">
        <f t="shared" ref="M19:M82" ca="1" si="3">LN(L19/B18)</f>
        <v>1.037054829043518</v>
      </c>
      <c r="N19" s="171">
        <f ca="1">A18*EXP($AI$4+$AH$4*A18)</f>
        <v>1227.817080046028</v>
      </c>
      <c r="P19" s="107">
        <f ca="1">IF(E19&gt;I19,1, 0)</f>
        <v>1</v>
      </c>
      <c r="Q19" s="107">
        <v>1</v>
      </c>
      <c r="Y19" s="176"/>
      <c r="Z19" s="177"/>
      <c r="AA19" s="177"/>
      <c r="AH19" s="107">
        <v>0</v>
      </c>
      <c r="AI19" s="107">
        <f t="array" aca="1" ref="AI19:AI49" ca="1">FREQUENCY(B19:B518,AH19:AH49)</f>
        <v>0</v>
      </c>
      <c r="AJ19" s="107">
        <f t="array" aca="1" ref="AJ19:AJ49" ca="1">FREQUENCY(E19:E518,AH19:AH49)</f>
        <v>0</v>
      </c>
    </row>
    <row r="20" spans="1:36" x14ac:dyDescent="0.2">
      <c r="A20" s="192">
        <f t="shared" ref="A20:A83" ca="1" si="4">IF(E20&lt;I20,E20*EXP(-J20),$H$6+(E20-I20)*EXP(-$H$7*EXP(H20)))</f>
        <v>276.89036870981948</v>
      </c>
      <c r="B20" s="193">
        <f t="shared" ca="1" si="0"/>
        <v>305.64126713853733</v>
      </c>
      <c r="C20" s="171">
        <f t="shared" ref="C20:C83" ca="1" si="5">A19*EXP($C$4-$C$5*A19)</f>
        <v>973.81805922469391</v>
      </c>
      <c r="D20" s="171">
        <f t="shared" ref="D20:D83" ca="1" si="6">C20*EXP($C$7*F19)</f>
        <v>973.81805922469391</v>
      </c>
      <c r="E20" s="196">
        <f t="shared" ref="E20:E83" ca="1" si="7">D20*EXP(NORMINV(RAND(),0,$C$6))</f>
        <v>1620.0051558769983</v>
      </c>
      <c r="F20" s="177">
        <f t="shared" ref="F20:F83" ca="1" si="8">LN(E20/C20)</f>
        <v>0.50896012217836162</v>
      </c>
      <c r="G20" s="177">
        <f t="shared" ref="G20:G83" ca="1" si="9">LN(E20/D20)</f>
        <v>0.50896012217836162</v>
      </c>
      <c r="H20" s="176">
        <f t="shared" ca="1" si="1"/>
        <v>0.41003609672628527</v>
      </c>
      <c r="I20" s="171">
        <f t="shared" ref="I20:I83" ca="1" si="10">$H$6/EXP(-J20)</f>
        <v>456.78361507607707</v>
      </c>
      <c r="J20" s="176">
        <f t="shared" ca="1" si="2"/>
        <v>0.6027488709134754</v>
      </c>
      <c r="K20" s="195">
        <f t="shared" ref="K20:K83" ca="1" si="11">E20-A20</f>
        <v>1343.1147871671787</v>
      </c>
      <c r="L20" s="195">
        <f t="shared" ref="L20:L83" ca="1" si="12">B20+K20</f>
        <v>1648.7560543057161</v>
      </c>
      <c r="M20" s="177">
        <f t="shared" ca="1" si="3"/>
        <v>1.8270244811206027</v>
      </c>
      <c r="N20" s="171">
        <f t="shared" ref="N20:N83" ca="1" si="13">A19*EXP($AI$4+$AH$4*A19)</f>
        <v>910.40957791420658</v>
      </c>
      <c r="P20" s="107">
        <f t="shared" ref="P20:P83" ca="1" si="14">IF(E20&gt;I20,1, 0)</f>
        <v>1</v>
      </c>
      <c r="Q20" s="107">
        <v>2</v>
      </c>
      <c r="Y20" s="176"/>
      <c r="Z20" s="177"/>
      <c r="AA20" s="177"/>
      <c r="AC20" s="197"/>
      <c r="AH20" s="107">
        <v>300</v>
      </c>
      <c r="AI20" s="107">
        <f ca="1"/>
        <v>46</v>
      </c>
      <c r="AJ20" s="107">
        <f ca="1"/>
        <v>1</v>
      </c>
    </row>
    <row r="21" spans="1:36" x14ac:dyDescent="0.2">
      <c r="A21" s="192">
        <f t="shared" ca="1" si="4"/>
        <v>472.4794049527394</v>
      </c>
      <c r="B21" s="193">
        <f t="shared" ca="1" si="0"/>
        <v>445.7569654132364</v>
      </c>
      <c r="C21" s="171">
        <f t="shared" ca="1" si="5"/>
        <v>940.80065965181836</v>
      </c>
      <c r="D21" s="171">
        <f t="shared" ca="1" si="6"/>
        <v>940.80065965181836</v>
      </c>
      <c r="E21" s="196">
        <f t="shared" ca="1" si="7"/>
        <v>1131.2283576188156</v>
      </c>
      <c r="F21" s="177">
        <f t="shared" ca="1" si="8"/>
        <v>0.18432808513980842</v>
      </c>
      <c r="G21" s="177">
        <f t="shared" ca="1" si="9"/>
        <v>0.18432808513980842</v>
      </c>
      <c r="H21" s="176">
        <f t="shared" ca="1" si="1"/>
        <v>-0.64767671170459495</v>
      </c>
      <c r="I21" s="171">
        <f t="shared" ca="1" si="10"/>
        <v>308.20493580719125</v>
      </c>
      <c r="J21" s="176">
        <f t="shared" ca="1" si="2"/>
        <v>0.20930401984423727</v>
      </c>
      <c r="K21" s="195">
        <f t="shared" ca="1" si="11"/>
        <v>658.74895266607621</v>
      </c>
      <c r="L21" s="195">
        <f t="shared" ca="1" si="12"/>
        <v>1104.5059180793126</v>
      </c>
      <c r="M21" s="177">
        <f t="shared" ca="1" si="3"/>
        <v>1.2847412963743468</v>
      </c>
      <c r="N21" s="171">
        <f t="shared" ca="1" si="13"/>
        <v>883.93054959648055</v>
      </c>
      <c r="P21" s="107">
        <f t="shared" ca="1" si="14"/>
        <v>1</v>
      </c>
      <c r="Q21" s="107">
        <v>3</v>
      </c>
      <c r="Y21" s="176"/>
      <c r="Z21" s="177"/>
      <c r="AA21" s="177"/>
      <c r="AC21" s="197"/>
      <c r="AH21" s="107">
        <v>600</v>
      </c>
      <c r="AI21" s="107">
        <f ca="1"/>
        <v>53</v>
      </c>
      <c r="AJ21" s="107">
        <f ca="1"/>
        <v>12</v>
      </c>
    </row>
    <row r="22" spans="1:36" x14ac:dyDescent="0.2">
      <c r="A22" s="192">
        <f t="shared" ca="1" si="4"/>
        <v>370.18296186574526</v>
      </c>
      <c r="B22" s="193">
        <f t="shared" ca="1" si="0"/>
        <v>360.01650114888747</v>
      </c>
      <c r="C22" s="171">
        <f t="shared" ca="1" si="5"/>
        <v>1320.1686249944614</v>
      </c>
      <c r="D22" s="171">
        <f t="shared" ca="1" si="6"/>
        <v>1320.1686249944614</v>
      </c>
      <c r="E22" s="196">
        <f t="shared" ca="1" si="7"/>
        <v>580.08595290776032</v>
      </c>
      <c r="F22" s="177">
        <f t="shared" ca="1" si="8"/>
        <v>-0.82233846640021768</v>
      </c>
      <c r="G22" s="177">
        <f t="shared" ca="1" si="9"/>
        <v>-0.82233846640021768</v>
      </c>
      <c r="H22" s="176">
        <f t="shared" ca="1" si="1"/>
        <v>-1.0355993724457206</v>
      </c>
      <c r="I22" s="171">
        <f t="shared" ca="1" si="10"/>
        <v>288.14572178381849</v>
      </c>
      <c r="J22" s="176">
        <f t="shared" ca="1" si="2"/>
        <v>0.14200541272582004</v>
      </c>
      <c r="K22" s="195">
        <f t="shared" ca="1" si="11"/>
        <v>209.90299104201506</v>
      </c>
      <c r="L22" s="195">
        <f t="shared" ca="1" si="12"/>
        <v>569.91949219090247</v>
      </c>
      <c r="M22" s="177">
        <f t="shared" ca="1" si="3"/>
        <v>0.24572122618393882</v>
      </c>
      <c r="N22" s="171">
        <f t="shared" ca="1" si="13"/>
        <v>1155.0433906569158</v>
      </c>
      <c r="P22" s="107">
        <f t="shared" ca="1" si="14"/>
        <v>1</v>
      </c>
      <c r="Q22" s="107">
        <v>4</v>
      </c>
      <c r="Y22" s="176"/>
      <c r="Z22" s="177"/>
      <c r="AA22" s="177"/>
      <c r="AC22" s="197"/>
      <c r="AH22" s="107">
        <v>900</v>
      </c>
      <c r="AI22" s="107">
        <f ca="1"/>
        <v>1</v>
      </c>
      <c r="AJ22" s="107">
        <f ca="1"/>
        <v>23</v>
      </c>
    </row>
    <row r="23" spans="1:36" x14ac:dyDescent="0.2">
      <c r="A23" s="192">
        <f t="shared" ca="1" si="4"/>
        <v>441.77954747701818</v>
      </c>
      <c r="B23" s="193">
        <f t="shared" ca="1" si="0"/>
        <v>428.59892995616394</v>
      </c>
      <c r="C23" s="171">
        <f t="shared" ca="1" si="5"/>
        <v>1145.7496444643045</v>
      </c>
      <c r="D23" s="171">
        <f t="shared" ca="1" si="6"/>
        <v>1145.7496444643045</v>
      </c>
      <c r="E23" s="196">
        <f t="shared" ca="1" si="7"/>
        <v>1836.6803716150418</v>
      </c>
      <c r="F23" s="177">
        <f t="shared" ca="1" si="8"/>
        <v>0.47190066222946081</v>
      </c>
      <c r="G23" s="177">
        <f t="shared" ca="1" si="9"/>
        <v>0.47190066222946081</v>
      </c>
      <c r="H23" s="176">
        <f t="shared" ca="1" si="1"/>
        <v>-0.19847980272126947</v>
      </c>
      <c r="I23" s="171">
        <f t="shared" ca="1" si="10"/>
        <v>347.04395750332327</v>
      </c>
      <c r="J23" s="176">
        <f t="shared" ca="1" si="2"/>
        <v>0.32799053274547463</v>
      </c>
      <c r="K23" s="195">
        <f t="shared" ca="1" si="11"/>
        <v>1394.9008241380236</v>
      </c>
      <c r="L23" s="195">
        <f t="shared" ca="1" si="12"/>
        <v>1823.4997540941877</v>
      </c>
      <c r="M23" s="177">
        <f t="shared" ca="1" si="3"/>
        <v>1.6223630084705944</v>
      </c>
      <c r="N23" s="171">
        <f t="shared" ca="1" si="13"/>
        <v>1040.5114524712862</v>
      </c>
      <c r="P23" s="107">
        <f t="shared" ca="1" si="14"/>
        <v>1</v>
      </c>
      <c r="Q23" s="107">
        <v>5</v>
      </c>
      <c r="Y23" s="176"/>
      <c r="Z23" s="177"/>
      <c r="AA23" s="177"/>
      <c r="AC23" s="197"/>
      <c r="AH23" s="107">
        <v>1200</v>
      </c>
      <c r="AI23" s="107">
        <f ca="1"/>
        <v>0</v>
      </c>
      <c r="AJ23" s="107">
        <f ca="1"/>
        <v>34</v>
      </c>
    </row>
    <row r="24" spans="1:36" x14ac:dyDescent="0.2">
      <c r="A24" s="192">
        <f t="shared" ca="1" si="4"/>
        <v>316.45106848629797</v>
      </c>
      <c r="B24" s="193">
        <f t="shared" ca="1" si="0"/>
        <v>322.40202350441757</v>
      </c>
      <c r="C24" s="171">
        <f t="shared" ca="1" si="5"/>
        <v>1272.8725157600552</v>
      </c>
      <c r="D24" s="171">
        <f t="shared" ca="1" si="6"/>
        <v>1272.8725157600552</v>
      </c>
      <c r="E24" s="196">
        <f t="shared" ca="1" si="7"/>
        <v>846.0096007261609</v>
      </c>
      <c r="F24" s="177">
        <f t="shared" ca="1" si="8"/>
        <v>-0.4085007408957374</v>
      </c>
      <c r="G24" s="177">
        <f t="shared" ca="1" si="9"/>
        <v>-0.4085007408957374</v>
      </c>
      <c r="H24" s="176">
        <f t="shared" ca="1" si="1"/>
        <v>-0.21346529018293614</v>
      </c>
      <c r="I24" s="171">
        <f t="shared" ca="1" si="10"/>
        <v>345.35504261442105</v>
      </c>
      <c r="J24" s="176">
        <f t="shared" ca="1" si="2"/>
        <v>0.32311207902674344</v>
      </c>
      <c r="K24" s="195">
        <f t="shared" ca="1" si="11"/>
        <v>529.55853223986287</v>
      </c>
      <c r="L24" s="195">
        <f t="shared" ca="1" si="12"/>
        <v>851.96055574428044</v>
      </c>
      <c r="M24" s="177">
        <f t="shared" ca="1" si="3"/>
        <v>0.68701864324898165</v>
      </c>
      <c r="N24" s="171">
        <f t="shared" ca="1" si="13"/>
        <v>1126.1908709507898</v>
      </c>
      <c r="O24" s="197"/>
      <c r="P24" s="107">
        <f t="shared" ca="1" si="14"/>
        <v>1</v>
      </c>
      <c r="Q24" s="107">
        <v>6</v>
      </c>
      <c r="Y24" s="176"/>
      <c r="Z24" s="177"/>
      <c r="AA24" s="177"/>
      <c r="AC24" s="197"/>
      <c r="AH24" s="107">
        <v>1500</v>
      </c>
      <c r="AI24" s="107">
        <f ca="1"/>
        <v>0</v>
      </c>
      <c r="AJ24" s="107">
        <f ca="1"/>
        <v>10</v>
      </c>
    </row>
    <row r="25" spans="1:36" x14ac:dyDescent="0.2">
      <c r="A25" s="192">
        <f t="shared" ca="1" si="4"/>
        <v>417.03352045762585</v>
      </c>
      <c r="B25" s="193">
        <f t="shared" ca="1" si="0"/>
        <v>423.01617354708804</v>
      </c>
      <c r="C25" s="171">
        <f t="shared" ca="1" si="5"/>
        <v>1033.511554682409</v>
      </c>
      <c r="D25" s="171">
        <f t="shared" ca="1" si="6"/>
        <v>1033.511554682409</v>
      </c>
      <c r="E25" s="196">
        <f t="shared" ca="1" si="7"/>
        <v>1306.4779382042564</v>
      </c>
      <c r="F25" s="177">
        <f t="shared" ca="1" si="8"/>
        <v>0.23437263943009515</v>
      </c>
      <c r="G25" s="177">
        <f t="shared" ca="1" si="9"/>
        <v>0.23437263943009515</v>
      </c>
      <c r="H25" s="176">
        <f t="shared" ca="1" si="1"/>
        <v>-0.34860168641396544</v>
      </c>
      <c r="I25" s="171">
        <f t="shared" ca="1" si="10"/>
        <v>331.53406993830401</v>
      </c>
      <c r="J25" s="176">
        <f t="shared" ca="1" si="2"/>
        <v>0.28226966156051442</v>
      </c>
      <c r="K25" s="195">
        <f t="shared" ca="1" si="11"/>
        <v>889.44441774663051</v>
      </c>
      <c r="L25" s="195">
        <f t="shared" ca="1" si="12"/>
        <v>1312.4605912937186</v>
      </c>
      <c r="M25" s="177">
        <f t="shared" ca="1" si="3"/>
        <v>1.4038596813427793</v>
      </c>
      <c r="N25" s="171">
        <f t="shared" ca="1" si="13"/>
        <v>957.13996926155892</v>
      </c>
      <c r="O25" s="197"/>
      <c r="P25" s="107">
        <f t="shared" ca="1" si="14"/>
        <v>1</v>
      </c>
      <c r="Q25" s="107">
        <v>7</v>
      </c>
      <c r="Y25" s="176"/>
      <c r="Z25" s="177"/>
      <c r="AA25" s="177"/>
      <c r="AC25" s="197"/>
      <c r="AH25" s="107">
        <v>1800</v>
      </c>
      <c r="AI25" s="107">
        <f ca="1"/>
        <v>0</v>
      </c>
      <c r="AJ25" s="107">
        <f ca="1"/>
        <v>13</v>
      </c>
    </row>
    <row r="26" spans="1:36" x14ac:dyDescent="0.2">
      <c r="A26" s="192">
        <f t="shared" ca="1" si="4"/>
        <v>257.8859925306154</v>
      </c>
      <c r="B26" s="193">
        <f t="shared" ca="1" si="0"/>
        <v>261.46281817442645</v>
      </c>
      <c r="C26" s="171">
        <f t="shared" ca="1" si="5"/>
        <v>1231.6784145893969</v>
      </c>
      <c r="D26" s="171">
        <f t="shared" ca="1" si="6"/>
        <v>1231.6784145893969</v>
      </c>
      <c r="E26" s="196">
        <f t="shared" ca="1" si="7"/>
        <v>1116.0659125678858</v>
      </c>
      <c r="F26" s="177">
        <f t="shared" ca="1" si="8"/>
        <v>-9.8567880263005225E-2</v>
      </c>
      <c r="G26" s="177">
        <f t="shared" ca="1" si="9"/>
        <v>-9.8567880263005225E-2</v>
      </c>
      <c r="H26" s="176">
        <f t="shared" ca="1" si="1"/>
        <v>0.55509305176858448</v>
      </c>
      <c r="I26" s="171">
        <f t="shared" ca="1" si="10"/>
        <v>501.85044203192655</v>
      </c>
      <c r="J26" s="176">
        <f t="shared" ca="1" si="2"/>
        <v>0.69684123320205005</v>
      </c>
      <c r="K26" s="195">
        <f t="shared" ca="1" si="11"/>
        <v>858.17992003727045</v>
      </c>
      <c r="L26" s="195">
        <f t="shared" ca="1" si="12"/>
        <v>1119.642738211697</v>
      </c>
      <c r="M26" s="177">
        <f t="shared" ca="1" si="3"/>
        <v>0.97335451601221767</v>
      </c>
      <c r="N26" s="171">
        <f t="shared" ca="1" si="13"/>
        <v>1099.6144575635665</v>
      </c>
      <c r="O26" s="197"/>
      <c r="P26" s="107">
        <f t="shared" ca="1" si="14"/>
        <v>1</v>
      </c>
      <c r="Q26" s="107">
        <v>8</v>
      </c>
      <c r="Y26" s="176"/>
      <c r="Z26" s="177"/>
      <c r="AA26" s="177"/>
      <c r="AC26" s="197"/>
      <c r="AH26" s="107">
        <v>2100</v>
      </c>
      <c r="AI26" s="107">
        <f ca="1"/>
        <v>0</v>
      </c>
      <c r="AJ26" s="107">
        <f ca="1"/>
        <v>4</v>
      </c>
    </row>
    <row r="27" spans="1:36" x14ac:dyDescent="0.2">
      <c r="A27" s="192">
        <f t="shared" ca="1" si="4"/>
        <v>231.03749622360215</v>
      </c>
      <c r="B27" s="193">
        <f t="shared" ca="1" si="0"/>
        <v>227.49396640323255</v>
      </c>
      <c r="C27" s="171">
        <f t="shared" ca="1" si="5"/>
        <v>893.04020772684919</v>
      </c>
      <c r="D27" s="171">
        <f t="shared" ca="1" si="6"/>
        <v>893.04020772684919</v>
      </c>
      <c r="E27" s="196">
        <f t="shared" ca="1" si="7"/>
        <v>280.51962796679533</v>
      </c>
      <c r="F27" s="177">
        <f t="shared" ca="1" si="8"/>
        <v>-1.1579879078720763</v>
      </c>
      <c r="G27" s="177">
        <f t="shared" ca="1" si="9"/>
        <v>-1.1579879078720763</v>
      </c>
      <c r="H27" s="176">
        <f t="shared" ca="1" si="1"/>
        <v>-0.72327820078338156</v>
      </c>
      <c r="I27" s="171">
        <f t="shared" ca="1" si="10"/>
        <v>303.54339939619962</v>
      </c>
      <c r="J27" s="176">
        <f t="shared" ca="1" si="2"/>
        <v>0.19406367877739705</v>
      </c>
      <c r="K27" s="195">
        <f t="shared" ca="1" si="11"/>
        <v>49.482131743193179</v>
      </c>
      <c r="L27" s="195">
        <f t="shared" ca="1" si="12"/>
        <v>276.97609814642573</v>
      </c>
      <c r="M27" s="177">
        <f t="shared" ca="1" si="3"/>
        <v>5.7639127502225058E-2</v>
      </c>
      <c r="N27" s="171">
        <f t="shared" ca="1" si="13"/>
        <v>844.88763486432322</v>
      </c>
      <c r="O27" s="197"/>
      <c r="P27" s="107">
        <f t="shared" ca="1" si="14"/>
        <v>0</v>
      </c>
      <c r="Q27" s="107">
        <v>9</v>
      </c>
      <c r="Y27" s="176"/>
      <c r="Z27" s="177"/>
      <c r="AA27" s="177"/>
      <c r="AC27" s="197"/>
      <c r="AH27" s="107">
        <v>2400</v>
      </c>
      <c r="AI27" s="107">
        <f ca="1"/>
        <v>0</v>
      </c>
      <c r="AJ27" s="107">
        <f ca="1"/>
        <v>2</v>
      </c>
    </row>
    <row r="28" spans="1:36" x14ac:dyDescent="0.2">
      <c r="A28" s="192">
        <f t="shared" ca="1" si="4"/>
        <v>196.95527652386599</v>
      </c>
      <c r="B28" s="193">
        <f t="shared" ca="1" si="0"/>
        <v>217.33293363438577</v>
      </c>
      <c r="C28" s="171">
        <f t="shared" ca="1" si="5"/>
        <v>821.83736480039863</v>
      </c>
      <c r="D28" s="171">
        <f t="shared" ca="1" si="6"/>
        <v>821.83736480039863</v>
      </c>
      <c r="E28" s="196">
        <f t="shared" ca="1" si="7"/>
        <v>947.674631064962</v>
      </c>
      <c r="F28" s="177">
        <f t="shared" ca="1" si="8"/>
        <v>0.14246870472686204</v>
      </c>
      <c r="G28" s="177">
        <f t="shared" ca="1" si="9"/>
        <v>0.14246870472686204</v>
      </c>
      <c r="H28" s="176">
        <f t="shared" ca="1" si="1"/>
        <v>1.368025081309248</v>
      </c>
      <c r="I28" s="171">
        <f t="shared" ca="1" si="10"/>
        <v>1202.9058675030317</v>
      </c>
      <c r="J28" s="176">
        <f t="shared" ca="1" si="2"/>
        <v>1.5710345469237323</v>
      </c>
      <c r="K28" s="195">
        <f t="shared" ca="1" si="11"/>
        <v>750.71935454109598</v>
      </c>
      <c r="L28" s="195">
        <f t="shared" ca="1" si="12"/>
        <v>968.05228817548175</v>
      </c>
      <c r="M28" s="177">
        <f t="shared" ca="1" si="3"/>
        <v>1.4481623857930985</v>
      </c>
      <c r="N28" s="171">
        <f t="shared" ca="1" si="13"/>
        <v>785.16793186068264</v>
      </c>
      <c r="O28" s="197"/>
      <c r="P28" s="107">
        <f t="shared" ca="1" si="14"/>
        <v>0</v>
      </c>
      <c r="Q28" s="107">
        <v>10</v>
      </c>
      <c r="Y28" s="176"/>
      <c r="Z28" s="177"/>
      <c r="AA28" s="177"/>
      <c r="AC28" s="197"/>
      <c r="AH28" s="107">
        <v>2700</v>
      </c>
      <c r="AI28" s="107">
        <f ca="1"/>
        <v>0</v>
      </c>
      <c r="AJ28" s="107">
        <f ca="1"/>
        <v>1</v>
      </c>
    </row>
    <row r="29" spans="1:36" x14ac:dyDescent="0.2">
      <c r="A29" s="192">
        <f t="shared" ca="1" si="4"/>
        <v>280.16751755743178</v>
      </c>
      <c r="B29" s="193">
        <f t="shared" ca="1" si="0"/>
        <v>288.20240834019251</v>
      </c>
      <c r="C29" s="171">
        <f t="shared" ca="1" si="5"/>
        <v>724.89107610986139</v>
      </c>
      <c r="D29" s="171">
        <f t="shared" ca="1" si="6"/>
        <v>724.89107610986139</v>
      </c>
      <c r="E29" s="196">
        <f t="shared" ca="1" si="7"/>
        <v>875.131826667366</v>
      </c>
      <c r="F29" s="177">
        <f t="shared" ca="1" si="8"/>
        <v>0.18835313033902687</v>
      </c>
      <c r="G29" s="177">
        <f t="shared" ca="1" si="9"/>
        <v>0.18835313033902687</v>
      </c>
      <c r="H29" s="176">
        <f t="shared" ca="1" si="1"/>
        <v>0.10538320106461262</v>
      </c>
      <c r="I29" s="171">
        <f t="shared" ca="1" si="10"/>
        <v>389.90980565426833</v>
      </c>
      <c r="J29" s="176">
        <f t="shared" ca="1" si="2"/>
        <v>0.44445452696182319</v>
      </c>
      <c r="K29" s="195">
        <f t="shared" ca="1" si="11"/>
        <v>594.96430910993422</v>
      </c>
      <c r="L29" s="195">
        <f t="shared" ca="1" si="12"/>
        <v>883.16671745012673</v>
      </c>
      <c r="M29" s="177">
        <f t="shared" ca="1" si="3"/>
        <v>1.4020835566149992</v>
      </c>
      <c r="N29" s="171">
        <f t="shared" ca="1" si="13"/>
        <v>701.20156835708747</v>
      </c>
      <c r="O29" s="197"/>
      <c r="P29" s="107">
        <f t="shared" ca="1" si="14"/>
        <v>1</v>
      </c>
      <c r="Q29" s="107">
        <v>11</v>
      </c>
      <c r="Y29" s="176"/>
      <c r="Z29" s="177"/>
      <c r="AC29" s="197"/>
      <c r="AH29" s="107">
        <v>3000</v>
      </c>
      <c r="AI29" s="107">
        <f ca="1"/>
        <v>0</v>
      </c>
      <c r="AJ29" s="107">
        <f ca="1"/>
        <v>0</v>
      </c>
    </row>
    <row r="30" spans="1:36" x14ac:dyDescent="0.2">
      <c r="A30" s="192">
        <f t="shared" ca="1" si="4"/>
        <v>260.70036798543401</v>
      </c>
      <c r="B30" s="193">
        <f t="shared" ca="1" si="0"/>
        <v>269.06459993490637</v>
      </c>
      <c r="C30" s="171">
        <f t="shared" ca="1" si="5"/>
        <v>948.82102133602484</v>
      </c>
      <c r="D30" s="171">
        <f t="shared" ca="1" si="6"/>
        <v>948.82102133602484</v>
      </c>
      <c r="E30" s="196">
        <f t="shared" ca="1" si="7"/>
        <v>1710.4942578933897</v>
      </c>
      <c r="F30" s="177">
        <f t="shared" ca="1" si="8"/>
        <v>0.58931746373019822</v>
      </c>
      <c r="G30" s="177">
        <f t="shared" ca="1" si="9"/>
        <v>0.58931746373019822</v>
      </c>
      <c r="H30" s="176">
        <f t="shared" ca="1" si="1"/>
        <v>0.63189644872109785</v>
      </c>
      <c r="I30" s="171">
        <f t="shared" ca="1" si="10"/>
        <v>530.55881439069378</v>
      </c>
      <c r="J30" s="176">
        <f t="shared" ca="1" si="2"/>
        <v>0.75246990000456782</v>
      </c>
      <c r="K30" s="195">
        <f t="shared" ca="1" si="11"/>
        <v>1449.7938899079556</v>
      </c>
      <c r="L30" s="195">
        <f t="shared" ca="1" si="12"/>
        <v>1718.8584898428621</v>
      </c>
      <c r="M30" s="177">
        <f t="shared" ca="1" si="3"/>
        <v>1.7857526407662079</v>
      </c>
      <c r="N30" s="171">
        <f t="shared" ca="1" si="13"/>
        <v>890.40220185804537</v>
      </c>
      <c r="O30" s="197"/>
      <c r="P30" s="107">
        <f t="shared" ca="1" si="14"/>
        <v>1</v>
      </c>
      <c r="Q30" s="107">
        <v>12</v>
      </c>
      <c r="Y30" s="176"/>
      <c r="Z30" s="177"/>
      <c r="AC30" s="197"/>
      <c r="AH30" s="107">
        <v>3300</v>
      </c>
      <c r="AI30" s="107">
        <f ca="1"/>
        <v>0</v>
      </c>
      <c r="AJ30" s="107">
        <f ca="1"/>
        <v>0</v>
      </c>
    </row>
    <row r="31" spans="1:36" x14ac:dyDescent="0.2">
      <c r="A31" s="192">
        <f t="shared" ca="1" si="4"/>
        <v>360.12032050896028</v>
      </c>
      <c r="B31" s="193">
        <f t="shared" ca="1" si="0"/>
        <v>320.45962155799333</v>
      </c>
      <c r="C31" s="171">
        <f t="shared" ca="1" si="5"/>
        <v>900.24897547319961</v>
      </c>
      <c r="D31" s="171">
        <f t="shared" ca="1" si="6"/>
        <v>900.24897547319961</v>
      </c>
      <c r="E31" s="196">
        <f t="shared" ca="1" si="7"/>
        <v>1459.5989921327528</v>
      </c>
      <c r="F31" s="177">
        <f t="shared" ca="1" si="8"/>
        <v>0.48324564957149158</v>
      </c>
      <c r="G31" s="177">
        <f t="shared" ca="1" si="9"/>
        <v>0.48324564957149158</v>
      </c>
      <c r="H31" s="176">
        <f t="shared" ca="1" si="1"/>
        <v>-8.3370961504223476E-2</v>
      </c>
      <c r="I31" s="171">
        <f t="shared" ca="1" si="10"/>
        <v>361.21192506903037</v>
      </c>
      <c r="J31" s="176">
        <f t="shared" ca="1" si="2"/>
        <v>0.36800391827687634</v>
      </c>
      <c r="K31" s="195">
        <f t="shared" ca="1" si="11"/>
        <v>1099.4786716237925</v>
      </c>
      <c r="L31" s="195">
        <f t="shared" ca="1" si="12"/>
        <v>1419.9382931817859</v>
      </c>
      <c r="M31" s="177">
        <f t="shared" ca="1" si="3"/>
        <v>1.6634171949175889</v>
      </c>
      <c r="N31" s="171">
        <f t="shared" ca="1" si="13"/>
        <v>850.83472614873881</v>
      </c>
      <c r="O31" s="197"/>
      <c r="P31" s="107">
        <f t="shared" ca="1" si="14"/>
        <v>1</v>
      </c>
      <c r="Q31" s="107">
        <v>13</v>
      </c>
      <c r="Y31" s="176"/>
      <c r="AC31" s="197"/>
      <c r="AH31" s="107">
        <v>3600</v>
      </c>
      <c r="AI31" s="107">
        <f ca="1"/>
        <v>0</v>
      </c>
      <c r="AJ31" s="107">
        <f ca="1"/>
        <v>0</v>
      </c>
    </row>
    <row r="32" spans="1:36" x14ac:dyDescent="0.2">
      <c r="A32" s="192">
        <f t="shared" ca="1" si="4"/>
        <v>305.90816615190778</v>
      </c>
      <c r="B32" s="193">
        <f t="shared" ca="1" si="0"/>
        <v>302.26325609330053</v>
      </c>
      <c r="C32" s="171">
        <f t="shared" ca="1" si="5"/>
        <v>1125.8773515421476</v>
      </c>
      <c r="D32" s="171">
        <f t="shared" ca="1" si="6"/>
        <v>1125.8773515421476</v>
      </c>
      <c r="E32" s="196">
        <f t="shared" ca="1" si="7"/>
        <v>1072.9270713579328</v>
      </c>
      <c r="F32" s="177">
        <f t="shared" ca="1" si="8"/>
        <v>-4.8172105463677284E-2</v>
      </c>
      <c r="G32" s="177">
        <f t="shared" ca="1" si="9"/>
        <v>-4.8172105463677284E-2</v>
      </c>
      <c r="H32" s="176">
        <f t="shared" ca="1" si="1"/>
        <v>1.0019808398332136E-2</v>
      </c>
      <c r="I32" s="171">
        <f t="shared" ca="1" si="10"/>
        <v>374.46149769006144</v>
      </c>
      <c r="J32" s="176">
        <f t="shared" ca="1" si="2"/>
        <v>0.404028069903349</v>
      </c>
      <c r="K32" s="195">
        <f t="shared" ca="1" si="11"/>
        <v>767.01890520602501</v>
      </c>
      <c r="L32" s="195">
        <f t="shared" ca="1" si="12"/>
        <v>1069.2821612993255</v>
      </c>
      <c r="M32" s="177">
        <f t="shared" ca="1" si="3"/>
        <v>1.2049865423813753</v>
      </c>
      <c r="N32" s="171">
        <f t="shared" ca="1" si="13"/>
        <v>1026.2203265087849</v>
      </c>
      <c r="O32" s="197"/>
      <c r="P32" s="107">
        <f t="shared" ca="1" si="14"/>
        <v>1</v>
      </c>
      <c r="Q32" s="107">
        <v>14</v>
      </c>
      <c r="Y32" s="176"/>
      <c r="AC32" s="197"/>
      <c r="AH32" s="107">
        <v>3900</v>
      </c>
      <c r="AI32" s="107">
        <f ca="1"/>
        <v>0</v>
      </c>
      <c r="AJ32" s="107">
        <f ca="1"/>
        <v>0</v>
      </c>
    </row>
    <row r="33" spans="1:36" x14ac:dyDescent="0.2">
      <c r="A33" s="192">
        <f t="shared" ca="1" si="4"/>
        <v>280.12388121384515</v>
      </c>
      <c r="B33" s="193">
        <f t="shared" ca="1" si="0"/>
        <v>272.21657342173103</v>
      </c>
      <c r="C33" s="171">
        <f t="shared" ca="1" si="5"/>
        <v>1009.6679366105108</v>
      </c>
      <c r="D33" s="171">
        <f t="shared" ca="1" si="6"/>
        <v>1009.6679366105108</v>
      </c>
      <c r="E33" s="196">
        <f t="shared" ca="1" si="7"/>
        <v>1134.2333757439458</v>
      </c>
      <c r="F33" s="177">
        <f t="shared" ca="1" si="8"/>
        <v>0.11633548168645826</v>
      </c>
      <c r="G33" s="177">
        <f t="shared" ca="1" si="9"/>
        <v>0.11633548168645826</v>
      </c>
      <c r="H33" s="176">
        <f t="shared" ca="1" si="1"/>
        <v>0.23820492560956527</v>
      </c>
      <c r="I33" s="171">
        <f t="shared" ca="1" si="10"/>
        <v>415.31970703974173</v>
      </c>
      <c r="J33" s="176">
        <f t="shared" ca="1" si="2"/>
        <v>0.50758768418833555</v>
      </c>
      <c r="K33" s="195">
        <f t="shared" ca="1" si="11"/>
        <v>854.10949453010062</v>
      </c>
      <c r="L33" s="195">
        <f t="shared" ca="1" si="12"/>
        <v>1126.3260679518316</v>
      </c>
      <c r="M33" s="177">
        <f t="shared" ca="1" si="3"/>
        <v>1.3154180009779721</v>
      </c>
      <c r="N33" s="171">
        <f t="shared" ca="1" si="13"/>
        <v>938.65733336598657</v>
      </c>
      <c r="O33" s="197"/>
      <c r="P33" s="107">
        <f t="shared" ca="1" si="14"/>
        <v>1</v>
      </c>
      <c r="Q33" s="107">
        <v>15</v>
      </c>
      <c r="Y33" s="176"/>
      <c r="Z33" s="177"/>
      <c r="AA33" s="177"/>
      <c r="AC33" s="197"/>
      <c r="AH33" s="107">
        <v>4200</v>
      </c>
      <c r="AI33" s="107">
        <f ca="1"/>
        <v>0</v>
      </c>
      <c r="AJ33" s="107">
        <f ca="1"/>
        <v>0</v>
      </c>
    </row>
    <row r="34" spans="1:36" x14ac:dyDescent="0.2">
      <c r="A34" s="192">
        <f t="shared" ca="1" si="4"/>
        <v>253.53942380278335</v>
      </c>
      <c r="B34" s="193">
        <f t="shared" ca="1" si="0"/>
        <v>256.87278760066386</v>
      </c>
      <c r="C34" s="171">
        <f t="shared" ca="1" si="5"/>
        <v>948.71463914079538</v>
      </c>
      <c r="D34" s="171">
        <f t="shared" ca="1" si="6"/>
        <v>948.71463914079538</v>
      </c>
      <c r="E34" s="196">
        <f t="shared" ca="1" si="7"/>
        <v>477.20290797928402</v>
      </c>
      <c r="F34" s="177">
        <f t="shared" ca="1" si="8"/>
        <v>-0.68716627297466015</v>
      </c>
      <c r="G34" s="177">
        <f t="shared" ca="1" si="9"/>
        <v>-0.68716627297466015</v>
      </c>
      <c r="H34" s="176">
        <f t="shared" ca="1" si="1"/>
        <v>0.18742498911903233</v>
      </c>
      <c r="I34" s="171">
        <f t="shared" ca="1" si="10"/>
        <v>405.01205286756607</v>
      </c>
      <c r="J34" s="176">
        <f t="shared" ca="1" si="2"/>
        <v>0.4824559089682976</v>
      </c>
      <c r="K34" s="195">
        <f t="shared" ca="1" si="11"/>
        <v>223.66348417650067</v>
      </c>
      <c r="L34" s="195">
        <f t="shared" ca="1" si="12"/>
        <v>480.53627177716453</v>
      </c>
      <c r="M34" s="177">
        <f t="shared" ca="1" si="3"/>
        <v>0.56830473783927249</v>
      </c>
      <c r="N34" s="171">
        <f t="shared" ca="1" si="13"/>
        <v>890.31652572191683</v>
      </c>
      <c r="O34" s="197"/>
      <c r="P34" s="107">
        <f t="shared" ca="1" si="14"/>
        <v>1</v>
      </c>
      <c r="Q34" s="107">
        <v>16</v>
      </c>
      <c r="Y34" s="176"/>
      <c r="Z34" s="177"/>
      <c r="AA34" s="177"/>
      <c r="AC34" s="197"/>
      <c r="AH34" s="107">
        <v>4500</v>
      </c>
      <c r="AI34" s="107">
        <f ca="1"/>
        <v>0</v>
      </c>
      <c r="AJ34" s="107">
        <f ca="1"/>
        <v>0</v>
      </c>
    </row>
    <row r="35" spans="1:36" x14ac:dyDescent="0.2">
      <c r="A35" s="192">
        <f t="shared" ca="1" si="4"/>
        <v>259.40322399280876</v>
      </c>
      <c r="B35" s="193">
        <f t="shared" ca="1" si="0"/>
        <v>288.52030880650585</v>
      </c>
      <c r="C35" s="171">
        <f t="shared" ca="1" si="5"/>
        <v>881.81290274424077</v>
      </c>
      <c r="D35" s="171">
        <f t="shared" ca="1" si="6"/>
        <v>881.81290274424077</v>
      </c>
      <c r="E35" s="196">
        <f t="shared" ca="1" si="7"/>
        <v>656.54241306548022</v>
      </c>
      <c r="F35" s="177">
        <f t="shared" ca="1" si="8"/>
        <v>-0.29499260861868665</v>
      </c>
      <c r="G35" s="177">
        <f t="shared" ca="1" si="9"/>
        <v>-0.29499260861868665</v>
      </c>
      <c r="H35" s="176">
        <f t="shared" ca="1" si="1"/>
        <v>0.25585465384252271</v>
      </c>
      <c r="I35" s="171">
        <f t="shared" ca="1" si="10"/>
        <v>419.09051128378729</v>
      </c>
      <c r="J35" s="176">
        <f t="shared" ca="1" si="2"/>
        <v>0.5166259961152363</v>
      </c>
      <c r="K35" s="195">
        <f t="shared" ca="1" si="11"/>
        <v>397.13918907267146</v>
      </c>
      <c r="L35" s="195">
        <f t="shared" ca="1" si="12"/>
        <v>685.65949787917725</v>
      </c>
      <c r="M35" s="177">
        <f t="shared" ca="1" si="3"/>
        <v>0.98180017325577817</v>
      </c>
      <c r="N35" s="171">
        <f t="shared" ca="1" si="13"/>
        <v>835.58806429700724</v>
      </c>
      <c r="O35" s="197"/>
      <c r="P35" s="107">
        <f t="shared" ca="1" si="14"/>
        <v>1</v>
      </c>
      <c r="Q35" s="107">
        <v>17</v>
      </c>
      <c r="Y35" s="176"/>
      <c r="Z35" s="177"/>
      <c r="AA35" s="177"/>
      <c r="AC35" s="197"/>
      <c r="AH35" s="107">
        <v>4800</v>
      </c>
      <c r="AI35" s="107">
        <f ca="1"/>
        <v>0</v>
      </c>
      <c r="AJ35" s="107">
        <f ca="1"/>
        <v>0</v>
      </c>
    </row>
    <row r="36" spans="1:36" x14ac:dyDescent="0.2">
      <c r="A36" s="192">
        <f t="shared" ca="1" si="4"/>
        <v>567.32952692550384</v>
      </c>
      <c r="B36" s="193">
        <f t="shared" ca="1" si="0"/>
        <v>534.44383549758538</v>
      </c>
      <c r="C36" s="171">
        <f t="shared" ca="1" si="5"/>
        <v>896.93238167215213</v>
      </c>
      <c r="D36" s="171">
        <f t="shared" ca="1" si="6"/>
        <v>896.93238167215213</v>
      </c>
      <c r="E36" s="196">
        <f t="shared" ca="1" si="7"/>
        <v>1699.4739907896369</v>
      </c>
      <c r="F36" s="177">
        <f t="shared" ca="1" si="8"/>
        <v>0.639093588516218</v>
      </c>
      <c r="G36" s="177">
        <f t="shared" ca="1" si="9"/>
        <v>0.639093588516218</v>
      </c>
      <c r="H36" s="176">
        <f t="shared" ca="1" si="1"/>
        <v>-0.52958410814895973</v>
      </c>
      <c r="I36" s="171">
        <f t="shared" ca="1" si="10"/>
        <v>316.39797777028497</v>
      </c>
      <c r="J36" s="176">
        <f t="shared" ca="1" si="2"/>
        <v>0.23553992664004675</v>
      </c>
      <c r="K36" s="195">
        <f t="shared" ca="1" si="11"/>
        <v>1132.1444638641331</v>
      </c>
      <c r="L36" s="195">
        <f t="shared" ca="1" si="12"/>
        <v>1666.5882993617183</v>
      </c>
      <c r="M36" s="177">
        <f t="shared" ca="1" si="3"/>
        <v>1.753768403312463</v>
      </c>
      <c r="N36" s="171">
        <f t="shared" ca="1" si="13"/>
        <v>848.10094193021973</v>
      </c>
      <c r="O36" s="197"/>
      <c r="P36" s="107">
        <f t="shared" ca="1" si="14"/>
        <v>1</v>
      </c>
      <c r="Q36" s="107">
        <v>18</v>
      </c>
      <c r="Y36" s="176"/>
      <c r="AC36" s="197"/>
      <c r="AH36" s="107">
        <v>5100</v>
      </c>
      <c r="AI36" s="107">
        <f ca="1"/>
        <v>0</v>
      </c>
      <c r="AJ36" s="107">
        <f ca="1"/>
        <v>0</v>
      </c>
    </row>
    <row r="37" spans="1:36" x14ac:dyDescent="0.2">
      <c r="A37" s="192">
        <f t="shared" ca="1" si="4"/>
        <v>527.83299921134926</v>
      </c>
      <c r="B37" s="193">
        <f t="shared" ca="1" si="0"/>
        <v>598.63950335968764</v>
      </c>
      <c r="C37" s="171">
        <f t="shared" ca="1" si="5"/>
        <v>1441.7469027273839</v>
      </c>
      <c r="D37" s="171">
        <f t="shared" ca="1" si="6"/>
        <v>1441.7469027273839</v>
      </c>
      <c r="E37" s="196">
        <f t="shared" ca="1" si="7"/>
        <v>1135.2789923260586</v>
      </c>
      <c r="F37" s="177">
        <f t="shared" ca="1" si="8"/>
        <v>-0.23897707629379689</v>
      </c>
      <c r="G37" s="177">
        <f t="shared" ca="1" si="9"/>
        <v>-0.23897707629379689</v>
      </c>
      <c r="H37" s="176">
        <f t="shared" ca="1" si="1"/>
        <v>-0.8183982323453427</v>
      </c>
      <c r="I37" s="171">
        <f t="shared" ca="1" si="10"/>
        <v>298.24520790011809</v>
      </c>
      <c r="J37" s="176">
        <f t="shared" ca="1" si="2"/>
        <v>0.17645507559396648</v>
      </c>
      <c r="K37" s="195">
        <f t="shared" ca="1" si="11"/>
        <v>607.44599311470938</v>
      </c>
      <c r="L37" s="195">
        <f t="shared" ca="1" si="12"/>
        <v>1206.0854964743971</v>
      </c>
      <c r="M37" s="177">
        <f t="shared" ca="1" si="3"/>
        <v>0.81390862101204087</v>
      </c>
      <c r="N37" s="171">
        <f t="shared" ca="1" si="13"/>
        <v>1218.5631646083057</v>
      </c>
      <c r="O37" s="197"/>
      <c r="P37" s="107">
        <f t="shared" ca="1" si="14"/>
        <v>1</v>
      </c>
      <c r="Q37" s="107">
        <v>19</v>
      </c>
      <c r="Y37" s="176"/>
      <c r="AC37" s="197"/>
      <c r="AH37" s="107">
        <v>5400</v>
      </c>
      <c r="AI37" s="107">
        <f ca="1"/>
        <v>0</v>
      </c>
      <c r="AJ37" s="107">
        <f ca="1"/>
        <v>0</v>
      </c>
    </row>
    <row r="38" spans="1:36" x14ac:dyDescent="0.2">
      <c r="A38" s="192">
        <f t="shared" ca="1" si="4"/>
        <v>282.92159820550637</v>
      </c>
      <c r="B38" s="193">
        <f t="shared" ca="1" si="0"/>
        <v>265.17005137902993</v>
      </c>
      <c r="C38" s="171">
        <f t="shared" ca="1" si="5"/>
        <v>1395.4147265534248</v>
      </c>
      <c r="D38" s="171">
        <f t="shared" ca="1" si="6"/>
        <v>1395.4147265534248</v>
      </c>
      <c r="E38" s="196">
        <f t="shared" ca="1" si="7"/>
        <v>456.50709028155256</v>
      </c>
      <c r="F38" s="177">
        <f t="shared" ca="1" si="8"/>
        <v>-1.1173427133454932</v>
      </c>
      <c r="G38" s="177">
        <f t="shared" ca="1" si="9"/>
        <v>-1.1173427133454932</v>
      </c>
      <c r="H38" s="176">
        <f t="shared" ca="1" si="1"/>
        <v>-0.54156196251938471</v>
      </c>
      <c r="I38" s="171">
        <f t="shared" ca="1" si="10"/>
        <v>315.51190361694813</v>
      </c>
      <c r="J38" s="176">
        <f t="shared" ca="1" si="2"/>
        <v>0.23273549277954683</v>
      </c>
      <c r="K38" s="195">
        <f t="shared" ca="1" si="11"/>
        <v>173.58549207604619</v>
      </c>
      <c r="L38" s="195">
        <f t="shared" ca="1" si="12"/>
        <v>438.75554345507612</v>
      </c>
      <c r="M38" s="177">
        <f t="shared" ca="1" si="3"/>
        <v>-0.31071717680174271</v>
      </c>
      <c r="N38" s="171">
        <f t="shared" ca="1" si="13"/>
        <v>1196.4996622721976</v>
      </c>
      <c r="O38" s="197"/>
      <c r="P38" s="107">
        <f t="shared" ca="1" si="14"/>
        <v>1</v>
      </c>
      <c r="Q38" s="107">
        <v>20</v>
      </c>
      <c r="Y38" s="176"/>
      <c r="AC38" s="197"/>
      <c r="AH38" s="107">
        <v>5700</v>
      </c>
      <c r="AI38" s="107">
        <f ca="1"/>
        <v>0</v>
      </c>
      <c r="AJ38" s="107">
        <f ca="1"/>
        <v>0</v>
      </c>
    </row>
    <row r="39" spans="1:36" x14ac:dyDescent="0.2">
      <c r="A39" s="192">
        <f t="shared" ca="1" si="4"/>
        <v>311.34827558385086</v>
      </c>
      <c r="B39" s="193">
        <f t="shared" ca="1" si="0"/>
        <v>287.32639480709247</v>
      </c>
      <c r="C39" s="171">
        <f t="shared" ca="1" si="5"/>
        <v>955.51286038287515</v>
      </c>
      <c r="D39" s="171">
        <f t="shared" ca="1" si="6"/>
        <v>955.51286038287515</v>
      </c>
      <c r="E39" s="196">
        <f t="shared" ca="1" si="7"/>
        <v>2012.2597454007175</v>
      </c>
      <c r="F39" s="177">
        <f t="shared" ca="1" si="8"/>
        <v>0.74476539808638553</v>
      </c>
      <c r="G39" s="177">
        <f t="shared" ca="1" si="9"/>
        <v>0.74476539808638553</v>
      </c>
      <c r="H39" s="176">
        <f t="shared" ca="1" si="1"/>
        <v>0.2641410228238783</v>
      </c>
      <c r="I39" s="171">
        <f t="shared" ca="1" si="10"/>
        <v>420.8959499949467</v>
      </c>
      <c r="J39" s="176">
        <f t="shared" ca="1" si="2"/>
        <v>0.52092473561791708</v>
      </c>
      <c r="K39" s="195">
        <f t="shared" ca="1" si="11"/>
        <v>1700.9114698168667</v>
      </c>
      <c r="L39" s="195">
        <f t="shared" ca="1" si="12"/>
        <v>1988.237864623959</v>
      </c>
      <c r="M39" s="177">
        <f t="shared" ca="1" si="3"/>
        <v>2.0146327067724816</v>
      </c>
      <c r="N39" s="171">
        <f t="shared" ca="1" si="13"/>
        <v>895.78262674864743</v>
      </c>
      <c r="O39" s="197">
        <f ca="1">MAX(A39:A53)/MIN(A39:A53)</f>
        <v>1.8452211726852428</v>
      </c>
      <c r="P39" s="107">
        <f t="shared" ca="1" si="14"/>
        <v>1</v>
      </c>
      <c r="Q39" s="107">
        <v>21</v>
      </c>
      <c r="Y39" s="176"/>
      <c r="Z39" s="177"/>
      <c r="AA39" s="177"/>
      <c r="AC39" s="197"/>
      <c r="AH39" s="107">
        <v>6000</v>
      </c>
      <c r="AI39" s="107">
        <f ca="1"/>
        <v>0</v>
      </c>
      <c r="AJ39" s="107">
        <f ca="1"/>
        <v>0</v>
      </c>
    </row>
    <row r="40" spans="1:36" x14ac:dyDescent="0.2">
      <c r="A40" s="192">
        <f t="shared" ca="1" si="4"/>
        <v>267.68055082695309</v>
      </c>
      <c r="B40" s="193">
        <f t="shared" ca="1" si="0"/>
        <v>276.35487254308538</v>
      </c>
      <c r="C40" s="171">
        <f t="shared" ca="1" si="5"/>
        <v>1022.0481336973991</v>
      </c>
      <c r="D40" s="171">
        <f t="shared" ca="1" si="6"/>
        <v>1022.0481336973991</v>
      </c>
      <c r="E40" s="196">
        <f t="shared" ca="1" si="7"/>
        <v>767.14512173277024</v>
      </c>
      <c r="F40" s="177">
        <f t="shared" ca="1" si="8"/>
        <v>-0.28688787678322347</v>
      </c>
      <c r="G40" s="177">
        <f t="shared" ca="1" si="9"/>
        <v>-0.28688787678322347</v>
      </c>
      <c r="H40" s="176">
        <f t="shared" ca="1" si="1"/>
        <v>0.18860482482293328</v>
      </c>
      <c r="I40" s="171">
        <f t="shared" ca="1" si="10"/>
        <v>405.24279506192829</v>
      </c>
      <c r="J40" s="176">
        <f t="shared" ca="1" si="2"/>
        <v>0.48302546359963217</v>
      </c>
      <c r="K40" s="195">
        <f t="shared" ca="1" si="11"/>
        <v>499.46457090581714</v>
      </c>
      <c r="L40" s="195">
        <f t="shared" ca="1" si="12"/>
        <v>775.81944344890258</v>
      </c>
      <c r="M40" s="177">
        <f t="shared" ca="1" si="3"/>
        <v>0.99330098344119988</v>
      </c>
      <c r="N40" s="171">
        <f t="shared" ca="1" si="13"/>
        <v>948.28520300587491</v>
      </c>
      <c r="O40" s="197"/>
      <c r="P40" s="107">
        <f t="shared" ca="1" si="14"/>
        <v>1</v>
      </c>
      <c r="Q40" s="107">
        <v>22</v>
      </c>
      <c r="Y40" s="176"/>
      <c r="Z40" s="177"/>
      <c r="AA40" s="177"/>
      <c r="AC40" s="197"/>
      <c r="AH40" s="107">
        <v>6300</v>
      </c>
      <c r="AI40" s="107">
        <f ca="1"/>
        <v>0</v>
      </c>
      <c r="AJ40" s="107">
        <f ca="1"/>
        <v>0</v>
      </c>
    </row>
    <row r="41" spans="1:36" ht="15.75" x14ac:dyDescent="0.25">
      <c r="A41" s="192">
        <f t="shared" ca="1" si="4"/>
        <v>319.94093932188468</v>
      </c>
      <c r="B41" s="193">
        <f t="shared" ca="1" si="0"/>
        <v>305.99126108416226</v>
      </c>
      <c r="C41" s="171">
        <f t="shared" ca="1" si="5"/>
        <v>917.92321578908729</v>
      </c>
      <c r="D41" s="171">
        <f t="shared" ca="1" si="6"/>
        <v>917.92321578908729</v>
      </c>
      <c r="E41" s="196">
        <f t="shared" ca="1" si="7"/>
        <v>671.09658706569269</v>
      </c>
      <c r="F41" s="177">
        <f t="shared" ca="1" si="8"/>
        <v>-0.31320067262202433</v>
      </c>
      <c r="G41" s="177">
        <f t="shared" ca="1" si="9"/>
        <v>-0.31320067262202433</v>
      </c>
      <c r="H41" s="176">
        <f t="shared" ca="1" si="1"/>
        <v>-0.44356640598759545</v>
      </c>
      <c r="I41" s="171">
        <f t="shared" ca="1" si="10"/>
        <v>323.16349270985324</v>
      </c>
      <c r="J41" s="176">
        <f t="shared" ca="1" si="2"/>
        <v>0.25669744668025168</v>
      </c>
      <c r="K41" s="195">
        <f t="shared" ca="1" si="11"/>
        <v>351.155647743808</v>
      </c>
      <c r="L41" s="195">
        <f t="shared" ca="1" si="12"/>
        <v>657.14690882797026</v>
      </c>
      <c r="M41" s="177">
        <f t="shared" ca="1" si="3"/>
        <v>0.86622178910434344</v>
      </c>
      <c r="N41" s="171">
        <f t="shared" ca="1" si="13"/>
        <v>865.33510569636258</v>
      </c>
      <c r="O41" s="197"/>
      <c r="P41" s="107">
        <f t="shared" ca="1" si="14"/>
        <v>1</v>
      </c>
      <c r="Q41" s="107">
        <v>23</v>
      </c>
      <c r="T41" s="198">
        <f>T43/C10</f>
        <v>0.16253502629816727</v>
      </c>
      <c r="U41" s="198">
        <f>U43/C10</f>
        <v>0.40633756574541818</v>
      </c>
      <c r="Y41" s="176"/>
      <c r="Z41" s="177"/>
      <c r="AA41" s="177"/>
      <c r="AC41" s="197"/>
      <c r="AH41" s="107">
        <v>6600</v>
      </c>
      <c r="AI41" s="107">
        <f ca="1"/>
        <v>0</v>
      </c>
      <c r="AJ41" s="107">
        <f ca="1"/>
        <v>0</v>
      </c>
    </row>
    <row r="42" spans="1:36" x14ac:dyDescent="0.2">
      <c r="A42" s="192">
        <f t="shared" ca="1" si="4"/>
        <v>292.55044027467704</v>
      </c>
      <c r="B42" s="193">
        <f t="shared" ca="1" si="0"/>
        <v>279.06227411147898</v>
      </c>
      <c r="C42" s="171">
        <f t="shared" ca="1" si="5"/>
        <v>1041.2690356167525</v>
      </c>
      <c r="D42" s="171">
        <f t="shared" ca="1" si="6"/>
        <v>1041.2690356167525</v>
      </c>
      <c r="E42" s="196">
        <f t="shared" ca="1" si="7"/>
        <v>1568.5575239848165</v>
      </c>
      <c r="F42" s="177">
        <f t="shared" ca="1" si="8"/>
        <v>0.40971622665973234</v>
      </c>
      <c r="G42" s="177">
        <f t="shared" ca="1" si="9"/>
        <v>0.40971622665973234</v>
      </c>
      <c r="H42" s="176">
        <f t="shared" ca="1" si="1"/>
        <v>0.27539316924798241</v>
      </c>
      <c r="I42" s="171">
        <f t="shared" ca="1" si="10"/>
        <v>423.3842995887299</v>
      </c>
      <c r="J42" s="176">
        <f t="shared" ca="1" si="2"/>
        <v>0.52681935840494098</v>
      </c>
      <c r="K42" s="195">
        <f t="shared" ca="1" si="11"/>
        <v>1276.0070837101393</v>
      </c>
      <c r="L42" s="195">
        <f t="shared" ca="1" si="12"/>
        <v>1555.0693578216183</v>
      </c>
      <c r="M42" s="177">
        <f t="shared" ca="1" si="3"/>
        <v>1.6257188837232766</v>
      </c>
      <c r="N42" s="171">
        <f t="shared" ca="1" si="13"/>
        <v>963.09871539978565</v>
      </c>
      <c r="O42" s="197"/>
      <c r="P42" s="107">
        <f t="shared" ca="1" si="14"/>
        <v>1</v>
      </c>
      <c r="Q42" s="107">
        <v>24</v>
      </c>
      <c r="T42" s="108" t="s">
        <v>119</v>
      </c>
      <c r="U42" s="108" t="s">
        <v>120</v>
      </c>
      <c r="Y42" s="176"/>
      <c r="Z42" s="177"/>
      <c r="AA42" s="177"/>
      <c r="AC42" s="197"/>
      <c r="AH42" s="107">
        <v>6900</v>
      </c>
      <c r="AI42" s="107">
        <f ca="1"/>
        <v>0</v>
      </c>
      <c r="AJ42" s="107">
        <f ca="1"/>
        <v>0</v>
      </c>
    </row>
    <row r="43" spans="1:36" ht="15.75" x14ac:dyDescent="0.25">
      <c r="A43" s="192">
        <f t="shared" ca="1" si="4"/>
        <v>252.81178494285879</v>
      </c>
      <c r="B43" s="193">
        <f t="shared" ca="1" si="0"/>
        <v>246.58886612777621</v>
      </c>
      <c r="C43" s="171">
        <f t="shared" ca="1" si="5"/>
        <v>978.56445599378696</v>
      </c>
      <c r="D43" s="171">
        <f t="shared" ca="1" si="6"/>
        <v>978.56445599378696</v>
      </c>
      <c r="E43" s="196">
        <f t="shared" ca="1" si="7"/>
        <v>791.03825360978738</v>
      </c>
      <c r="F43" s="177">
        <f t="shared" ca="1" si="8"/>
        <v>-0.21274032924113415</v>
      </c>
      <c r="G43" s="177">
        <f t="shared" ca="1" si="9"/>
        <v>-0.21274032924113415</v>
      </c>
      <c r="H43" s="176">
        <f t="shared" ca="1" si="1"/>
        <v>0.60333595468255663</v>
      </c>
      <c r="I43" s="171">
        <f t="shared" ca="1" si="10"/>
        <v>519.4361520823827</v>
      </c>
      <c r="J43" s="176">
        <f t="shared" ca="1" si="2"/>
        <v>0.73128298249132362</v>
      </c>
      <c r="K43" s="195">
        <f t="shared" ca="1" si="11"/>
        <v>538.22646866692855</v>
      </c>
      <c r="L43" s="195">
        <f t="shared" ca="1" si="12"/>
        <v>784.81533479470477</v>
      </c>
      <c r="M43" s="177">
        <f t="shared" ca="1" si="3"/>
        <v>1.0340134861933152</v>
      </c>
      <c r="N43" s="171">
        <f t="shared" ca="1" si="13"/>
        <v>914.18015085625427</v>
      </c>
      <c r="O43" s="197"/>
      <c r="P43" s="107">
        <f t="shared" ca="1" si="14"/>
        <v>1</v>
      </c>
      <c r="Q43" s="107">
        <v>25</v>
      </c>
      <c r="T43" s="199">
        <v>100</v>
      </c>
      <c r="U43" s="200">
        <f>H6</f>
        <v>250</v>
      </c>
      <c r="Y43" s="176"/>
      <c r="Z43" s="177"/>
      <c r="AA43" s="177"/>
      <c r="AC43" s="197"/>
      <c r="AH43" s="107">
        <v>7200</v>
      </c>
      <c r="AI43" s="107">
        <f ca="1"/>
        <v>0</v>
      </c>
      <c r="AJ43" s="107">
        <f ca="1"/>
        <v>0</v>
      </c>
    </row>
    <row r="44" spans="1:36" x14ac:dyDescent="0.2">
      <c r="A44" s="192">
        <f t="shared" ca="1" si="4"/>
        <v>283.28813281144255</v>
      </c>
      <c r="B44" s="193">
        <f t="shared" ca="1" si="0"/>
        <v>330.94701637639895</v>
      </c>
      <c r="C44" s="171">
        <f t="shared" ca="1" si="5"/>
        <v>879.9221994931288</v>
      </c>
      <c r="D44" s="171">
        <f t="shared" ca="1" si="6"/>
        <v>879.9221994931288</v>
      </c>
      <c r="E44" s="196">
        <f t="shared" ca="1" si="7"/>
        <v>990.04179437373296</v>
      </c>
      <c r="F44" s="177">
        <f t="shared" ca="1" si="8"/>
        <v>0.11791366487967875</v>
      </c>
      <c r="G44" s="177">
        <f t="shared" ca="1" si="9"/>
        <v>0.11791366487967875</v>
      </c>
      <c r="H44" s="176">
        <f t="shared" ca="1" si="1"/>
        <v>0.141870890490259</v>
      </c>
      <c r="I44" s="171">
        <f t="shared" ca="1" si="10"/>
        <v>396.40327238317445</v>
      </c>
      <c r="J44" s="176">
        <f t="shared" ca="1" si="2"/>
        <v>0.4609711398147453</v>
      </c>
      <c r="K44" s="195">
        <f t="shared" ca="1" si="11"/>
        <v>706.7536615622904</v>
      </c>
      <c r="L44" s="195">
        <f t="shared" ca="1" si="12"/>
        <v>1037.7006779386893</v>
      </c>
      <c r="M44" s="177">
        <f t="shared" ca="1" si="3"/>
        <v>1.4370402177313877</v>
      </c>
      <c r="N44" s="171">
        <f t="shared" ca="1" si="13"/>
        <v>834.01757194614618</v>
      </c>
      <c r="O44" s="197"/>
      <c r="P44" s="107">
        <f t="shared" ca="1" si="14"/>
        <v>1</v>
      </c>
      <c r="Q44" s="107">
        <v>26</v>
      </c>
      <c r="Y44" s="176"/>
      <c r="Z44" s="177"/>
      <c r="AA44" s="177"/>
      <c r="AC44" s="197"/>
      <c r="AH44" s="107">
        <v>7500</v>
      </c>
      <c r="AI44" s="107">
        <f ca="1"/>
        <v>0</v>
      </c>
      <c r="AJ44" s="107">
        <f ca="1"/>
        <v>0</v>
      </c>
    </row>
    <row r="45" spans="1:36" x14ac:dyDescent="0.2">
      <c r="A45" s="192">
        <f t="shared" ca="1" si="4"/>
        <v>409.99071353180028</v>
      </c>
      <c r="B45" s="193">
        <f t="shared" ca="1" si="0"/>
        <v>403.87101343230535</v>
      </c>
      <c r="C45" s="171">
        <f t="shared" ca="1" si="5"/>
        <v>956.40014196845129</v>
      </c>
      <c r="D45" s="171">
        <f t="shared" ca="1" si="6"/>
        <v>956.40014196845129</v>
      </c>
      <c r="E45" s="196">
        <f t="shared" ca="1" si="7"/>
        <v>1447.5947752883906</v>
      </c>
      <c r="F45" s="177">
        <f t="shared" ca="1" si="8"/>
        <v>0.41448229843518775</v>
      </c>
      <c r="G45" s="177">
        <f t="shared" ca="1" si="9"/>
        <v>0.41448229843518775</v>
      </c>
      <c r="H45" s="176">
        <f t="shared" ca="1" si="1"/>
        <v>-0.2565873371055914</v>
      </c>
      <c r="I45" s="171">
        <f t="shared" ca="1" si="10"/>
        <v>340.67736504964046</v>
      </c>
      <c r="J45" s="176">
        <f t="shared" ca="1" si="2"/>
        <v>0.30947496799549495</v>
      </c>
      <c r="K45" s="195">
        <f t="shared" ca="1" si="11"/>
        <v>1037.6040617565902</v>
      </c>
      <c r="L45" s="195">
        <f t="shared" ca="1" si="12"/>
        <v>1441.4750751888955</v>
      </c>
      <c r="M45" s="177">
        <f t="shared" ca="1" si="3"/>
        <v>1.4714639348498284</v>
      </c>
      <c r="N45" s="171">
        <f t="shared" ca="1" si="13"/>
        <v>896.49470130948714</v>
      </c>
      <c r="O45" s="197"/>
      <c r="P45" s="107">
        <f t="shared" ca="1" si="14"/>
        <v>1</v>
      </c>
      <c r="Q45" s="107">
        <v>27</v>
      </c>
      <c r="Y45" s="176"/>
      <c r="Z45" s="177"/>
      <c r="AA45" s="177"/>
      <c r="AC45" s="197"/>
      <c r="AH45" s="107">
        <v>7800</v>
      </c>
      <c r="AI45" s="107">
        <f ca="1"/>
        <v>0</v>
      </c>
      <c r="AJ45" s="107">
        <f ca="1"/>
        <v>0</v>
      </c>
    </row>
    <row r="46" spans="1:36" x14ac:dyDescent="0.2">
      <c r="A46" s="192">
        <f t="shared" ca="1" si="4"/>
        <v>405.62574423870126</v>
      </c>
      <c r="B46" s="193">
        <f t="shared" ca="1" si="0"/>
        <v>485.00591811192299</v>
      </c>
      <c r="C46" s="171">
        <f t="shared" ca="1" si="5"/>
        <v>1219.4360734510012</v>
      </c>
      <c r="D46" s="171">
        <f t="shared" ca="1" si="6"/>
        <v>1219.4360734510012</v>
      </c>
      <c r="E46" s="196">
        <f t="shared" ca="1" si="7"/>
        <v>2380.5199180622822</v>
      </c>
      <c r="F46" s="177">
        <f t="shared" ca="1" si="8"/>
        <v>0.66893039978788937</v>
      </c>
      <c r="G46" s="177">
        <f t="shared" ca="1" si="9"/>
        <v>0.66893039978788937</v>
      </c>
      <c r="H46" s="176">
        <f t="shared" ca="1" si="1"/>
        <v>2.1981762353544199E-2</v>
      </c>
      <c r="I46" s="171">
        <f t="shared" ca="1" si="10"/>
        <v>376.28655759645926</v>
      </c>
      <c r="J46" s="176">
        <f t="shared" ca="1" si="2"/>
        <v>0.40889005652788379</v>
      </c>
      <c r="K46" s="195">
        <f t="shared" ca="1" si="11"/>
        <v>1974.8941738235808</v>
      </c>
      <c r="L46" s="195">
        <f t="shared" ca="1" si="12"/>
        <v>2459.900091935504</v>
      </c>
      <c r="M46" s="177">
        <f t="shared" ca="1" si="3"/>
        <v>1.8067804617672845</v>
      </c>
      <c r="N46" s="171">
        <f t="shared" ca="1" si="13"/>
        <v>1091.4822098329619</v>
      </c>
      <c r="O46" s="197"/>
      <c r="P46" s="107">
        <f t="shared" ca="1" si="14"/>
        <v>1</v>
      </c>
      <c r="Q46" s="107">
        <v>28</v>
      </c>
      <c r="AC46" s="197"/>
      <c r="AH46" s="107">
        <v>8100</v>
      </c>
      <c r="AI46" s="107">
        <f ca="1"/>
        <v>0</v>
      </c>
      <c r="AJ46" s="107">
        <f ca="1"/>
        <v>0</v>
      </c>
    </row>
    <row r="47" spans="1:36" x14ac:dyDescent="0.2">
      <c r="A47" s="192">
        <f t="shared" ca="1" si="4"/>
        <v>312.14655274367692</v>
      </c>
      <c r="B47" s="193">
        <f t="shared" ca="1" si="0"/>
        <v>319.99923719559536</v>
      </c>
      <c r="C47" s="171">
        <f t="shared" ca="1" si="5"/>
        <v>1211.7309796578268</v>
      </c>
      <c r="D47" s="171">
        <f t="shared" ca="1" si="6"/>
        <v>1211.7309796578268</v>
      </c>
      <c r="E47" s="196">
        <f t="shared" ca="1" si="7"/>
        <v>1309.3295629068691</v>
      </c>
      <c r="F47" s="177">
        <f t="shared" ca="1" si="8"/>
        <v>7.7465323135568281E-2</v>
      </c>
      <c r="G47" s="177">
        <f t="shared" ca="1" si="9"/>
        <v>7.7465323135568281E-2</v>
      </c>
      <c r="H47" s="176">
        <f t="shared" ca="1" si="1"/>
        <v>7.6781401165482557E-2</v>
      </c>
      <c r="I47" s="171">
        <f t="shared" ca="1" si="10"/>
        <v>385.05389841213145</v>
      </c>
      <c r="J47" s="176">
        <f t="shared" ca="1" si="2"/>
        <v>0.43192240250269576</v>
      </c>
      <c r="K47" s="195">
        <f t="shared" ca="1" si="11"/>
        <v>997.18301016319219</v>
      </c>
      <c r="L47" s="195">
        <f t="shared" ca="1" si="12"/>
        <v>1317.1822473587877</v>
      </c>
      <c r="M47" s="177">
        <f t="shared" ca="1" si="3"/>
        <v>0.9990889796963478</v>
      </c>
      <c r="N47" s="171">
        <f t="shared" ca="1" si="13"/>
        <v>1086.3120169378649</v>
      </c>
      <c r="O47" s="197"/>
      <c r="P47" s="107">
        <f t="shared" ca="1" si="14"/>
        <v>1</v>
      </c>
      <c r="Q47" s="107">
        <v>29</v>
      </c>
      <c r="AC47" s="197"/>
      <c r="AH47" s="107">
        <v>8400</v>
      </c>
      <c r="AI47" s="107">
        <f ca="1"/>
        <v>0</v>
      </c>
      <c r="AJ47" s="107">
        <f ca="1"/>
        <v>0</v>
      </c>
    </row>
    <row r="48" spans="1:36" x14ac:dyDescent="0.2">
      <c r="A48" s="192">
        <f t="shared" ca="1" si="4"/>
        <v>336.64302348038387</v>
      </c>
      <c r="B48" s="193">
        <f t="shared" ca="1" si="0"/>
        <v>327.1694998084397</v>
      </c>
      <c r="C48" s="171">
        <f t="shared" ca="1" si="5"/>
        <v>1023.8509569105942</v>
      </c>
      <c r="D48" s="171">
        <f t="shared" ca="1" si="6"/>
        <v>1023.8509569105942</v>
      </c>
      <c r="E48" s="196">
        <f t="shared" ca="1" si="7"/>
        <v>915.61757389130753</v>
      </c>
      <c r="F48" s="177">
        <f t="shared" ca="1" si="8"/>
        <v>-0.11172746336737499</v>
      </c>
      <c r="G48" s="177">
        <f t="shared" ca="1" si="9"/>
        <v>-0.11172746336737499</v>
      </c>
      <c r="H48" s="176">
        <f t="shared" ca="1" si="1"/>
        <v>-0.27650798643945701</v>
      </c>
      <c r="I48" s="171">
        <f t="shared" ca="1" si="10"/>
        <v>338.6042233678462</v>
      </c>
      <c r="J48" s="176">
        <f t="shared" ca="1" si="2"/>
        <v>0.30337102478867073</v>
      </c>
      <c r="K48" s="195">
        <f t="shared" ca="1" si="11"/>
        <v>578.97455041092371</v>
      </c>
      <c r="L48" s="195">
        <f t="shared" ca="1" si="12"/>
        <v>906.14405021936341</v>
      </c>
      <c r="M48" s="177">
        <f t="shared" ca="1" si="3"/>
        <v>1.0408796772044278</v>
      </c>
      <c r="N48" s="171">
        <f t="shared" ca="1" si="13"/>
        <v>949.68163325841738</v>
      </c>
      <c r="O48" s="197"/>
      <c r="P48" s="107">
        <f t="shared" ca="1" si="14"/>
        <v>1</v>
      </c>
      <c r="Q48" s="107">
        <v>30</v>
      </c>
      <c r="AC48" s="197"/>
      <c r="AH48" s="107">
        <v>8700</v>
      </c>
      <c r="AI48" s="107">
        <f ca="1"/>
        <v>0</v>
      </c>
      <c r="AJ48" s="107">
        <f ca="1"/>
        <v>0</v>
      </c>
    </row>
    <row r="49" spans="1:36" x14ac:dyDescent="0.2">
      <c r="A49" s="192">
        <f t="shared" ca="1" si="4"/>
        <v>466.49365828091129</v>
      </c>
      <c r="B49" s="193">
        <f t="shared" ca="1" si="0"/>
        <v>383.53873050873096</v>
      </c>
      <c r="C49" s="171">
        <f t="shared" ca="1" si="5"/>
        <v>1077.479792708011</v>
      </c>
      <c r="D49" s="171">
        <f t="shared" ca="1" si="6"/>
        <v>1077.479792708011</v>
      </c>
      <c r="E49" s="196">
        <f t="shared" ca="1" si="7"/>
        <v>939.52129850475626</v>
      </c>
      <c r="F49" s="177">
        <f t="shared" ca="1" si="8"/>
        <v>-0.1370095792958968</v>
      </c>
      <c r="G49" s="177">
        <f t="shared" ca="1" si="9"/>
        <v>-0.1370095792958968</v>
      </c>
      <c r="H49" s="176">
        <f t="shared" ca="1" si="1"/>
        <v>-0.83280432825962414</v>
      </c>
      <c r="I49" s="171">
        <f t="shared" ca="1" si="10"/>
        <v>297.49344390729112</v>
      </c>
      <c r="J49" s="176">
        <f t="shared" ca="1" si="2"/>
        <v>0.17393126959419716</v>
      </c>
      <c r="K49" s="195">
        <f t="shared" ca="1" si="11"/>
        <v>473.02764022384497</v>
      </c>
      <c r="L49" s="195">
        <f ca="1">B49+K49</f>
        <v>856.56637073257593</v>
      </c>
      <c r="M49" s="177">
        <f t="shared" ca="1" si="3"/>
        <v>0.96245342076189122</v>
      </c>
      <c r="N49" s="171">
        <f t="shared" ca="1" si="13"/>
        <v>990.5443082251702</v>
      </c>
      <c r="O49" s="197"/>
      <c r="P49" s="107">
        <f t="shared" ca="1" si="14"/>
        <v>1</v>
      </c>
      <c r="Q49" s="107">
        <v>31</v>
      </c>
      <c r="AC49" s="197"/>
      <c r="AH49" s="107">
        <v>9000</v>
      </c>
      <c r="AI49" s="107">
        <f ca="1"/>
        <v>0</v>
      </c>
      <c r="AJ49" s="107">
        <f ca="1"/>
        <v>0</v>
      </c>
    </row>
    <row r="50" spans="1:36" x14ac:dyDescent="0.2">
      <c r="A50" s="192">
        <f t="shared" ca="1" si="4"/>
        <v>293.31540387199834</v>
      </c>
      <c r="B50" s="193">
        <f t="shared" ca="1" si="0"/>
        <v>277.83440168730044</v>
      </c>
      <c r="C50" s="171">
        <f t="shared" ca="1" si="5"/>
        <v>1311.2691548149201</v>
      </c>
      <c r="D50" s="171">
        <f t="shared" ca="1" si="6"/>
        <v>1311.2691548149201</v>
      </c>
      <c r="E50" s="196">
        <f t="shared" ca="1" si="7"/>
        <v>884.75652825795055</v>
      </c>
      <c r="F50" s="177">
        <f t="shared" ca="1" si="8"/>
        <v>-0.3934382698155765</v>
      </c>
      <c r="G50" s="177">
        <f t="shared" ca="1" si="9"/>
        <v>-0.3934382698155765</v>
      </c>
      <c r="H50" s="176">
        <f t="shared" ca="1" si="1"/>
        <v>-1.1017271258786789E-2</v>
      </c>
      <c r="I50" s="171">
        <f t="shared" ca="1" si="10"/>
        <v>371.32518810935346</v>
      </c>
      <c r="J50" s="176">
        <f t="shared" ca="1" si="2"/>
        <v>0.3956172786427416</v>
      </c>
      <c r="K50" s="195">
        <f t="shared" ca="1" si="11"/>
        <v>591.44112438595221</v>
      </c>
      <c r="L50" s="195">
        <f t="shared" ca="1" si="12"/>
        <v>869.27552607325265</v>
      </c>
      <c r="M50" s="177">
        <f t="shared" ca="1" si="3"/>
        <v>0.81821952817806765</v>
      </c>
      <c r="N50" s="171">
        <f t="shared" ca="1" si="13"/>
        <v>1149.7620556232555</v>
      </c>
      <c r="O50" s="197"/>
      <c r="P50" s="107">
        <f t="shared" ca="1" si="14"/>
        <v>1</v>
      </c>
      <c r="Q50" s="107">
        <v>32</v>
      </c>
      <c r="AC50" s="197"/>
    </row>
    <row r="51" spans="1:36" x14ac:dyDescent="0.2">
      <c r="A51" s="192">
        <f t="shared" ca="1" si="4"/>
        <v>293.85160495459144</v>
      </c>
      <c r="B51" s="193">
        <f t="shared" ca="1" si="0"/>
        <v>311.11156229276514</v>
      </c>
      <c r="C51" s="171">
        <f t="shared" ca="1" si="5"/>
        <v>980.37297882919472</v>
      </c>
      <c r="D51" s="171">
        <f t="shared" ca="1" si="6"/>
        <v>980.37297882919472</v>
      </c>
      <c r="E51" s="196">
        <f t="shared" ca="1" si="7"/>
        <v>1082.9430192807122</v>
      </c>
      <c r="F51" s="177">
        <f t="shared" ca="1" si="8"/>
        <v>9.9504541940542868E-2</v>
      </c>
      <c r="G51" s="177">
        <f t="shared" ca="1" si="9"/>
        <v>9.9504541940542868E-2</v>
      </c>
      <c r="H51" s="176">
        <f t="shared" ca="1" si="1"/>
        <v>9.9561231177671794E-2</v>
      </c>
      <c r="I51" s="171">
        <f t="shared" ca="1" si="10"/>
        <v>388.90510265845211</v>
      </c>
      <c r="J51" s="176">
        <f t="shared" ca="1" si="2"/>
        <v>0.44187444396023445</v>
      </c>
      <c r="K51" s="195">
        <f t="shared" ca="1" si="11"/>
        <v>789.09141432612068</v>
      </c>
      <c r="L51" s="195">
        <f t="shared" ca="1" si="12"/>
        <v>1100.2029766188857</v>
      </c>
      <c r="M51" s="177">
        <f t="shared" ca="1" si="3"/>
        <v>1.3762247071423865</v>
      </c>
      <c r="N51" s="171">
        <f t="shared" ca="1" si="13"/>
        <v>915.61443080281151</v>
      </c>
      <c r="O51" s="197"/>
      <c r="P51" s="107">
        <f t="shared" ca="1" si="14"/>
        <v>1</v>
      </c>
      <c r="Q51" s="107">
        <v>33</v>
      </c>
      <c r="AC51" s="197"/>
    </row>
    <row r="52" spans="1:36" x14ac:dyDescent="0.2">
      <c r="A52" s="192">
        <f t="shared" ca="1" si="4"/>
        <v>262.812529850695</v>
      </c>
      <c r="B52" s="193">
        <f t="shared" ca="1" si="0"/>
        <v>245.41204148089992</v>
      </c>
      <c r="C52" s="171">
        <f t="shared" ca="1" si="5"/>
        <v>981.63867237433431</v>
      </c>
      <c r="D52" s="171">
        <f t="shared" ca="1" si="6"/>
        <v>981.63867237433431</v>
      </c>
      <c r="E52" s="196">
        <f t="shared" ca="1" si="7"/>
        <v>1032.8566606908983</v>
      </c>
      <c r="F52" s="177">
        <f t="shared" ca="1" si="8"/>
        <v>5.0860409364749573E-2</v>
      </c>
      <c r="G52" s="177">
        <f t="shared" ca="1" si="9"/>
        <v>5.0860409364749573E-2</v>
      </c>
      <c r="H52" s="176">
        <f t="shared" ca="1" si="1"/>
        <v>0.4190899033315133</v>
      </c>
      <c r="I52" s="171">
        <f t="shared" ca="1" si="10"/>
        <v>459.29455639294213</v>
      </c>
      <c r="J52" s="176">
        <f t="shared" ca="1" si="2"/>
        <v>0.60823082143528229</v>
      </c>
      <c r="K52" s="195">
        <f t="shared" ca="1" si="11"/>
        <v>770.04413084020325</v>
      </c>
      <c r="L52" s="195">
        <f t="shared" ca="1" si="12"/>
        <v>1015.4561723211032</v>
      </c>
      <c r="M52" s="177">
        <f t="shared" ca="1" si="3"/>
        <v>1.1829416523175496</v>
      </c>
      <c r="N52" s="171">
        <f t="shared" ca="1" si="13"/>
        <v>916.61741174816711</v>
      </c>
      <c r="O52" s="197"/>
      <c r="P52" s="107">
        <f t="shared" ca="1" si="14"/>
        <v>1</v>
      </c>
      <c r="Q52" s="107">
        <v>34</v>
      </c>
      <c r="AC52" s="197"/>
    </row>
    <row r="53" spans="1:36" x14ac:dyDescent="0.2">
      <c r="A53" s="192">
        <f t="shared" ca="1" si="4"/>
        <v>262.7658373740494</v>
      </c>
      <c r="B53" s="193">
        <f t="shared" ca="1" si="0"/>
        <v>245.8656072769455</v>
      </c>
      <c r="C53" s="171">
        <f t="shared" ca="1" si="5"/>
        <v>905.62782630004369</v>
      </c>
      <c r="D53" s="171">
        <f t="shared" ca="1" si="6"/>
        <v>905.62782630004369</v>
      </c>
      <c r="E53" s="196">
        <f t="shared" ca="1" si="7"/>
        <v>961.85576424326484</v>
      </c>
      <c r="F53" s="177">
        <f t="shared" ca="1" si="8"/>
        <v>6.023607230725566E-2</v>
      </c>
      <c r="G53" s="177">
        <f t="shared" ca="1" si="9"/>
        <v>6.023607230725566E-2</v>
      </c>
      <c r="H53" s="176">
        <f t="shared" ca="1" si="1"/>
        <v>0.38909042909910496</v>
      </c>
      <c r="I53" s="171">
        <f t="shared" ca="1" si="10"/>
        <v>451.1122104558234</v>
      </c>
      <c r="J53" s="176">
        <f t="shared" ca="1" si="2"/>
        <v>0.59025519436538032</v>
      </c>
      <c r="K53" s="195">
        <f t="shared" ca="1" si="11"/>
        <v>699.08992686921545</v>
      </c>
      <c r="L53" s="195">
        <f t="shared" ca="1" si="12"/>
        <v>944.95553414616097</v>
      </c>
      <c r="M53" s="177">
        <f t="shared" ca="1" si="3"/>
        <v>1.3481992727107905</v>
      </c>
      <c r="N53" s="171">
        <f t="shared" ca="1" si="13"/>
        <v>855.25984729389199</v>
      </c>
      <c r="O53" s="197"/>
      <c r="P53" s="107">
        <f t="shared" ca="1" si="14"/>
        <v>1</v>
      </c>
      <c r="Q53" s="107">
        <v>35</v>
      </c>
      <c r="AC53" s="197"/>
    </row>
    <row r="54" spans="1:36" x14ac:dyDescent="0.2">
      <c r="A54" s="192">
        <f t="shared" ca="1" si="4"/>
        <v>256.93559828189393</v>
      </c>
      <c r="B54" s="193">
        <f t="shared" ca="1" si="0"/>
        <v>271.70525997306277</v>
      </c>
      <c r="C54" s="171">
        <f t="shared" ca="1" si="5"/>
        <v>905.50920779686362</v>
      </c>
      <c r="D54" s="171">
        <f t="shared" ca="1" si="6"/>
        <v>905.50920779686362</v>
      </c>
      <c r="E54" s="196">
        <f t="shared" ca="1" si="7"/>
        <v>918.22718536537934</v>
      </c>
      <c r="F54" s="177">
        <f t="shared" ca="1" si="8"/>
        <v>1.3947392599382651E-2</v>
      </c>
      <c r="G54" s="177">
        <f t="shared" ca="1" si="9"/>
        <v>1.3947392599382651E-2</v>
      </c>
      <c r="H54" s="176">
        <f t="shared" ca="1" si="1"/>
        <v>0.50336308437624966</v>
      </c>
      <c r="I54" s="171">
        <f t="shared" ca="1" si="10"/>
        <v>484.52599122137218</v>
      </c>
      <c r="J54" s="176">
        <f t="shared" ca="1" si="2"/>
        <v>0.66171015748145723</v>
      </c>
      <c r="K54" s="195">
        <f t="shared" ca="1" si="11"/>
        <v>661.29158708348541</v>
      </c>
      <c r="L54" s="195">
        <f t="shared" ca="1" si="12"/>
        <v>932.99684705654818</v>
      </c>
      <c r="M54" s="177">
        <f t="shared" ca="1" si="3"/>
        <v>1.3336167467137023</v>
      </c>
      <c r="N54" s="171">
        <f t="shared" ca="1" si="13"/>
        <v>855.16237540523559</v>
      </c>
      <c r="O54" s="197">
        <f ca="1">MAX(A54:A68)/MIN(A54:A68)</f>
        <v>2.0666724505187659</v>
      </c>
      <c r="P54" s="107">
        <f t="shared" ca="1" si="14"/>
        <v>1</v>
      </c>
      <c r="Q54" s="107">
        <v>36</v>
      </c>
      <c r="AC54" s="197"/>
    </row>
    <row r="55" spans="1:36" x14ac:dyDescent="0.2">
      <c r="A55" s="192">
        <f t="shared" ca="1" si="4"/>
        <v>250.00244826398767</v>
      </c>
      <c r="B55" s="193">
        <f t="shared" ca="1" si="0"/>
        <v>290.65956143178977</v>
      </c>
      <c r="C55" s="171">
        <f t="shared" ca="1" si="5"/>
        <v>890.59507675890006</v>
      </c>
      <c r="D55" s="171">
        <f t="shared" ca="1" si="6"/>
        <v>890.59507675890006</v>
      </c>
      <c r="E55" s="196">
        <f t="shared" ca="1" si="7"/>
        <v>1168.085640531993</v>
      </c>
      <c r="F55" s="177">
        <f t="shared" ca="1" si="8"/>
        <v>0.27123161820600578</v>
      </c>
      <c r="G55" s="177">
        <f t="shared" ca="1" si="9"/>
        <v>0.27123161820600578</v>
      </c>
      <c r="H55" s="176">
        <f t="shared" ca="1" si="1"/>
        <v>1.3312256031858518</v>
      </c>
      <c r="I55" s="171">
        <f t="shared" ca="1" si="10"/>
        <v>1136.5277189973526</v>
      </c>
      <c r="J55" s="176">
        <f t="shared" ca="1" si="2"/>
        <v>1.5142721149238207</v>
      </c>
      <c r="K55" s="195">
        <f t="shared" ca="1" si="11"/>
        <v>918.0831922680054</v>
      </c>
      <c r="L55" s="195">
        <f t="shared" ca="1" si="12"/>
        <v>1208.7427536997952</v>
      </c>
      <c r="M55" s="177">
        <f t="shared" ca="1" si="3"/>
        <v>1.4926181761450843</v>
      </c>
      <c r="N55" s="171">
        <f t="shared" ca="1" si="13"/>
        <v>842.86618307898175</v>
      </c>
      <c r="O55" s="197"/>
      <c r="P55" s="107">
        <f t="shared" ca="1" si="14"/>
        <v>1</v>
      </c>
      <c r="Q55" s="107">
        <v>37</v>
      </c>
      <c r="AC55" s="197"/>
    </row>
    <row r="56" spans="1:36" x14ac:dyDescent="0.2">
      <c r="A56" s="192">
        <f t="shared" ca="1" si="4"/>
        <v>399.44635355369041</v>
      </c>
      <c r="B56" s="193">
        <f t="shared" ca="1" si="0"/>
        <v>398.04055301097031</v>
      </c>
      <c r="C56" s="171">
        <f t="shared" ca="1" si="5"/>
        <v>872.59214830788005</v>
      </c>
      <c r="D56" s="171">
        <f t="shared" ca="1" si="6"/>
        <v>872.59214830788005</v>
      </c>
      <c r="E56" s="196">
        <f t="shared" ca="1" si="7"/>
        <v>900.4396139885057</v>
      </c>
      <c r="F56" s="177">
        <f t="shared" ca="1" si="8"/>
        <v>3.1414841447535299E-2</v>
      </c>
      <c r="G56" s="177">
        <f t="shared" ca="1" si="9"/>
        <v>3.1414841447535299E-2</v>
      </c>
      <c r="H56" s="176">
        <f t="shared" ca="1" si="1"/>
        <v>-0.6002850731489513</v>
      </c>
      <c r="I56" s="171">
        <f t="shared" ca="1" si="10"/>
        <v>311.35165617345939</v>
      </c>
      <c r="J56" s="176">
        <f t="shared" ca="1" si="2"/>
        <v>0.21946208277227219</v>
      </c>
      <c r="K56" s="195">
        <f t="shared" ca="1" si="11"/>
        <v>500.99326043481528</v>
      </c>
      <c r="L56" s="195">
        <f t="shared" ca="1" si="12"/>
        <v>899.03381344578565</v>
      </c>
      <c r="M56" s="177">
        <f t="shared" ca="1" si="3"/>
        <v>1.1291679557243499</v>
      </c>
      <c r="N56" s="171">
        <f t="shared" ca="1" si="13"/>
        <v>827.91699942154628</v>
      </c>
      <c r="O56" s="197"/>
      <c r="P56" s="107">
        <f t="shared" ca="1" si="14"/>
        <v>1</v>
      </c>
      <c r="Q56" s="107">
        <v>38</v>
      </c>
      <c r="AC56" s="197"/>
    </row>
    <row r="57" spans="1:36" x14ac:dyDescent="0.2">
      <c r="A57" s="192">
        <f t="shared" ca="1" si="4"/>
        <v>204.89755016457212</v>
      </c>
      <c r="B57" s="193">
        <f t="shared" ca="1" si="0"/>
        <v>184.27673407273898</v>
      </c>
      <c r="C57" s="171">
        <f t="shared" ca="1" si="5"/>
        <v>1200.6677251715168</v>
      </c>
      <c r="D57" s="171">
        <f t="shared" ca="1" si="6"/>
        <v>1200.6677251715168</v>
      </c>
      <c r="E57" s="196">
        <f t="shared" ca="1" si="7"/>
        <v>660.34016768042102</v>
      </c>
      <c r="F57" s="177">
        <f t="shared" ca="1" si="8"/>
        <v>-0.59787801084396885</v>
      </c>
      <c r="G57" s="177">
        <f t="shared" ca="1" si="9"/>
        <v>-0.59787801084396885</v>
      </c>
      <c r="H57" s="176">
        <f t="shared" ca="1" si="1"/>
        <v>1.0735038680741631</v>
      </c>
      <c r="I57" s="171">
        <f t="shared" ca="1" si="10"/>
        <v>805.69553802624887</v>
      </c>
      <c r="J57" s="176">
        <f t="shared" ca="1" si="2"/>
        <v>1.1702450088966934</v>
      </c>
      <c r="K57" s="195">
        <f t="shared" ca="1" si="11"/>
        <v>455.44261751584889</v>
      </c>
      <c r="L57" s="195">
        <f t="shared" ca="1" si="12"/>
        <v>639.71935158858787</v>
      </c>
      <c r="M57" s="177">
        <f t="shared" ca="1" si="3"/>
        <v>0.47447567495471643</v>
      </c>
      <c r="N57" s="171">
        <f t="shared" ca="1" si="13"/>
        <v>1078.820243794017</v>
      </c>
      <c r="O57" s="197"/>
      <c r="P57" s="107">
        <f t="shared" ca="1" si="14"/>
        <v>0</v>
      </c>
      <c r="Q57" s="107">
        <v>39</v>
      </c>
      <c r="AC57" s="197"/>
    </row>
    <row r="58" spans="1:36" x14ac:dyDescent="0.2">
      <c r="A58" s="192">
        <f t="shared" ca="1" si="4"/>
        <v>423.456122103908</v>
      </c>
      <c r="B58" s="193">
        <f t="shared" ca="1" si="0"/>
        <v>467.21388799778288</v>
      </c>
      <c r="C58" s="171">
        <f t="shared" ca="1" si="5"/>
        <v>748.1567753745926</v>
      </c>
      <c r="D58" s="171">
        <f t="shared" ca="1" si="6"/>
        <v>748.1567753745926</v>
      </c>
      <c r="E58" s="196">
        <f t="shared" ca="1" si="7"/>
        <v>965.26328538563791</v>
      </c>
      <c r="F58" s="177">
        <f t="shared" ca="1" si="8"/>
        <v>0.25478834996314415</v>
      </c>
      <c r="G58" s="177">
        <f t="shared" ca="1" si="9"/>
        <v>0.25478834996314415</v>
      </c>
      <c r="H58" s="176">
        <f t="shared" ca="1" si="1"/>
        <v>-0.63096911607337058</v>
      </c>
      <c r="I58" s="171">
        <f t="shared" ca="1" si="10"/>
        <v>309.29369073786086</v>
      </c>
      <c r="J58" s="176">
        <f t="shared" ca="1" si="2"/>
        <v>0.21283036310103803</v>
      </c>
      <c r="K58" s="195">
        <f t="shared" ca="1" si="11"/>
        <v>541.80716328172991</v>
      </c>
      <c r="L58" s="195">
        <f t="shared" ca="1" si="12"/>
        <v>1009.0210512795128</v>
      </c>
      <c r="M58" s="177">
        <f t="shared" ca="1" si="3"/>
        <v>1.7002972663686935</v>
      </c>
      <c r="N58" s="171">
        <f t="shared" ca="1" si="13"/>
        <v>721.61555670134305</v>
      </c>
      <c r="O58" s="197"/>
      <c r="P58" s="107">
        <f t="shared" ca="1" si="14"/>
        <v>1</v>
      </c>
      <c r="Q58" s="107">
        <v>40</v>
      </c>
      <c r="AC58" s="197"/>
    </row>
    <row r="59" spans="1:36" x14ac:dyDescent="0.2">
      <c r="A59" s="192">
        <f t="shared" ca="1" si="4"/>
        <v>262.04201698429767</v>
      </c>
      <c r="B59" s="193">
        <f t="shared" ca="1" si="0"/>
        <v>245.18080265500495</v>
      </c>
      <c r="C59" s="171">
        <f t="shared" ca="1" si="5"/>
        <v>1242.6404363629447</v>
      </c>
      <c r="D59" s="171">
        <f t="shared" ca="1" si="6"/>
        <v>1242.6404363629447</v>
      </c>
      <c r="E59" s="196">
        <f t="shared" ca="1" si="7"/>
        <v>1139.6606195980091</v>
      </c>
      <c r="F59" s="177">
        <f t="shared" ca="1" si="8"/>
        <v>-8.6507983878101449E-2</v>
      </c>
      <c r="G59" s="177">
        <f t="shared" ca="1" si="9"/>
        <v>-8.6507983878101449E-2</v>
      </c>
      <c r="H59" s="176">
        <f t="shared" ca="1" si="1"/>
        <v>0.47273681211454427</v>
      </c>
      <c r="I59" s="171">
        <f t="shared" ca="1" si="10"/>
        <v>474.95143066260562</v>
      </c>
      <c r="J59" s="176">
        <f t="shared" ca="1" si="2"/>
        <v>0.64175162970776101</v>
      </c>
      <c r="K59" s="195">
        <f t="shared" ca="1" si="11"/>
        <v>877.61860261371146</v>
      </c>
      <c r="L59" s="195">
        <f t="shared" ca="1" si="12"/>
        <v>1122.7994052687163</v>
      </c>
      <c r="M59" s="177">
        <f t="shared" ca="1" si="3"/>
        <v>0.87679315770686761</v>
      </c>
      <c r="N59" s="171">
        <f t="shared" ca="1" si="13"/>
        <v>1106.8078395817906</v>
      </c>
      <c r="O59" s="197"/>
      <c r="P59" s="107">
        <f t="shared" ca="1" si="14"/>
        <v>1</v>
      </c>
      <c r="Q59" s="107">
        <v>41</v>
      </c>
      <c r="AC59" s="197"/>
    </row>
    <row r="60" spans="1:36" x14ac:dyDescent="0.2">
      <c r="A60" s="192">
        <f t="shared" ca="1" si="4"/>
        <v>271.3287026849581</v>
      </c>
      <c r="B60" s="193">
        <f t="shared" ca="1" si="0"/>
        <v>255.92446938697734</v>
      </c>
      <c r="C60" s="171">
        <f t="shared" ca="1" si="5"/>
        <v>903.66872997262385</v>
      </c>
      <c r="D60" s="171">
        <f t="shared" ca="1" si="6"/>
        <v>903.66872997262385</v>
      </c>
      <c r="E60" s="196">
        <f t="shared" ca="1" si="7"/>
        <v>783.32593089597708</v>
      </c>
      <c r="F60" s="177">
        <f t="shared" ca="1" si="8"/>
        <v>-0.14291397558253857</v>
      </c>
      <c r="G60" s="177">
        <f t="shared" ca="1" si="9"/>
        <v>-0.14291397558253857</v>
      </c>
      <c r="H60" s="176">
        <f t="shared" ca="1" si="1"/>
        <v>0.14695607139886721</v>
      </c>
      <c r="I60" s="171">
        <f t="shared" ca="1" si="10"/>
        <v>397.33595201353444</v>
      </c>
      <c r="J60" s="176">
        <f t="shared" ca="1" si="2"/>
        <v>0.46332123171131079</v>
      </c>
      <c r="K60" s="195">
        <f t="shared" ca="1" si="11"/>
        <v>511.99722821101898</v>
      </c>
      <c r="L60" s="195">
        <f t="shared" ca="1" si="12"/>
        <v>767.92169759799629</v>
      </c>
      <c r="M60" s="177">
        <f t="shared" ca="1" si="3"/>
        <v>1.1416918632979993</v>
      </c>
      <c r="N60" s="171">
        <f t="shared" ca="1" si="13"/>
        <v>853.64934599154651</v>
      </c>
      <c r="O60" s="197"/>
      <c r="P60" s="107">
        <f t="shared" ca="1" si="14"/>
        <v>1</v>
      </c>
      <c r="Q60" s="107">
        <v>42</v>
      </c>
      <c r="AC60" s="197"/>
    </row>
    <row r="61" spans="1:36" x14ac:dyDescent="0.2">
      <c r="A61" s="192">
        <f t="shared" ca="1" si="4"/>
        <v>252.47461639232762</v>
      </c>
      <c r="B61" s="193">
        <f t="shared" ca="1" si="0"/>
        <v>212.49794114127204</v>
      </c>
      <c r="C61" s="171">
        <f t="shared" ca="1" si="5"/>
        <v>927.0451855529144</v>
      </c>
      <c r="D61" s="171">
        <f t="shared" ca="1" si="6"/>
        <v>927.0451855529144</v>
      </c>
      <c r="E61" s="196">
        <f t="shared" ca="1" si="7"/>
        <v>483.52166172648737</v>
      </c>
      <c r="F61" s="177">
        <f t="shared" ca="1" si="8"/>
        <v>-0.65090619242620595</v>
      </c>
      <c r="G61" s="177">
        <f t="shared" ca="1" si="9"/>
        <v>-0.65090619242620595</v>
      </c>
      <c r="H61" s="176">
        <f t="shared" ca="1" si="1"/>
        <v>0.26046644189575985</v>
      </c>
      <c r="I61" s="171">
        <f t="shared" ca="1" si="10"/>
        <v>420.09252556639018</v>
      </c>
      <c r="J61" s="176">
        <f t="shared" ca="1" si="2"/>
        <v>0.51901406812050899</v>
      </c>
      <c r="K61" s="195">
        <f t="shared" ca="1" si="11"/>
        <v>231.04704533415975</v>
      </c>
      <c r="L61" s="195">
        <f t="shared" ca="1" si="12"/>
        <v>443.54498647543176</v>
      </c>
      <c r="M61" s="177">
        <f t="shared" ca="1" si="3"/>
        <v>0.54991687223564134</v>
      </c>
      <c r="N61" s="171">
        <f t="shared" ca="1" si="13"/>
        <v>872.77351300771886</v>
      </c>
      <c r="O61" s="197"/>
      <c r="P61" s="107">
        <f t="shared" ca="1" si="14"/>
        <v>1</v>
      </c>
      <c r="Q61" s="107">
        <v>43</v>
      </c>
      <c r="AC61" s="197"/>
    </row>
    <row r="62" spans="1:36" x14ac:dyDescent="0.2">
      <c r="A62" s="192">
        <f t="shared" ca="1" si="4"/>
        <v>323.08780432572019</v>
      </c>
      <c r="B62" s="193">
        <f t="shared" ca="1" si="0"/>
        <v>318.66360300628992</v>
      </c>
      <c r="C62" s="171">
        <f t="shared" ca="1" si="5"/>
        <v>879.04500634351155</v>
      </c>
      <c r="D62" s="171">
        <f t="shared" ca="1" si="6"/>
        <v>879.04500634351155</v>
      </c>
      <c r="E62" s="196">
        <f t="shared" ca="1" si="7"/>
        <v>812.21442477729761</v>
      </c>
      <c r="F62" s="177">
        <f t="shared" ca="1" si="8"/>
        <v>-7.907172290626456E-2</v>
      </c>
      <c r="G62" s="177">
        <f t="shared" ca="1" si="9"/>
        <v>-7.907172290626456E-2</v>
      </c>
      <c r="H62" s="176">
        <f t="shared" ca="1" si="1"/>
        <v>-0.28953891006718063</v>
      </c>
      <c r="I62" s="171">
        <f t="shared" ca="1" si="10"/>
        <v>337.2769434211412</v>
      </c>
      <c r="J62" s="176">
        <f t="shared" ca="1" si="2"/>
        <v>0.29944346557231366</v>
      </c>
      <c r="K62" s="195">
        <f t="shared" ca="1" si="11"/>
        <v>489.12662045157742</v>
      </c>
      <c r="L62" s="195">
        <f t="shared" ca="1" si="12"/>
        <v>807.79022345786734</v>
      </c>
      <c r="M62" s="177">
        <f t="shared" ca="1" si="3"/>
        <v>1.3353701008089252</v>
      </c>
      <c r="N62" s="171">
        <f t="shared" ca="1" si="13"/>
        <v>833.28851055650307</v>
      </c>
      <c r="O62" s="197"/>
      <c r="P62" s="107">
        <f t="shared" ca="1" si="14"/>
        <v>1</v>
      </c>
      <c r="Q62" s="107">
        <v>44</v>
      </c>
      <c r="AC62" s="197"/>
    </row>
    <row r="63" spans="1:36" x14ac:dyDescent="0.2">
      <c r="A63" s="192">
        <f t="shared" ca="1" si="4"/>
        <v>291.0639329037765</v>
      </c>
      <c r="B63" s="193">
        <f t="shared" ca="1" si="0"/>
        <v>282.49877632161582</v>
      </c>
      <c r="C63" s="171">
        <f t="shared" ca="1" si="5"/>
        <v>1048.2069554640043</v>
      </c>
      <c r="D63" s="171">
        <f t="shared" ca="1" si="6"/>
        <v>1048.2069554640043</v>
      </c>
      <c r="E63" s="196">
        <f t="shared" ca="1" si="7"/>
        <v>826.37841573418962</v>
      </c>
      <c r="F63" s="177">
        <f t="shared" ca="1" si="8"/>
        <v>-0.23778352293276855</v>
      </c>
      <c r="G63" s="177">
        <f t="shared" ca="1" si="9"/>
        <v>-0.23778352293276855</v>
      </c>
      <c r="H63" s="176">
        <f t="shared" ca="1" si="1"/>
        <v>-3.542000965187668E-2</v>
      </c>
      <c r="I63" s="171">
        <f t="shared" ca="1" si="10"/>
        <v>367.800581426245</v>
      </c>
      <c r="J63" s="176">
        <f t="shared" ca="1" si="2"/>
        <v>0.38607997512848929</v>
      </c>
      <c r="K63" s="195">
        <f t="shared" ca="1" si="11"/>
        <v>535.31448283041311</v>
      </c>
      <c r="L63" s="195">
        <f t="shared" ca="1" si="12"/>
        <v>817.81325915202888</v>
      </c>
      <c r="M63" s="177">
        <f t="shared" ca="1" si="3"/>
        <v>0.94249801065544669</v>
      </c>
      <c r="N63" s="171">
        <f t="shared" ca="1" si="13"/>
        <v>968.40472715321675</v>
      </c>
      <c r="O63" s="197"/>
      <c r="P63" s="107">
        <f t="shared" ca="1" si="14"/>
        <v>1</v>
      </c>
      <c r="Q63" s="107">
        <v>45</v>
      </c>
      <c r="AC63" s="197"/>
    </row>
    <row r="64" spans="1:36" x14ac:dyDescent="0.2">
      <c r="A64" s="192">
        <f t="shared" ca="1" si="4"/>
        <v>361.02925588111259</v>
      </c>
      <c r="B64" s="193">
        <f t="shared" ca="1" si="0"/>
        <v>344.77289825216224</v>
      </c>
      <c r="C64" s="171">
        <f t="shared" ca="1" si="5"/>
        <v>975.04050218470184</v>
      </c>
      <c r="D64" s="171">
        <f t="shared" ca="1" si="6"/>
        <v>975.04050218470184</v>
      </c>
      <c r="E64" s="196">
        <f t="shared" ca="1" si="7"/>
        <v>993.58547924384902</v>
      </c>
      <c r="F64" s="177">
        <f t="shared" ca="1" si="8"/>
        <v>1.8841085947518644E-2</v>
      </c>
      <c r="G64" s="177">
        <f t="shared" ca="1" si="9"/>
        <v>1.8841085947518644E-2</v>
      </c>
      <c r="H64" s="176">
        <f t="shared" ca="1" si="1"/>
        <v>-0.33745444033888522</v>
      </c>
      <c r="I64" s="171">
        <f t="shared" ca="1" si="10"/>
        <v>332.58474896227233</v>
      </c>
      <c r="J64" s="176">
        <f t="shared" ca="1" si="2"/>
        <v>0.28543379385328915</v>
      </c>
      <c r="K64" s="195">
        <f t="shared" ca="1" si="11"/>
        <v>632.55622336273643</v>
      </c>
      <c r="L64" s="195">
        <f t="shared" ca="1" si="12"/>
        <v>977.32912161489867</v>
      </c>
      <c r="M64" s="177">
        <f t="shared" ca="1" si="3"/>
        <v>1.2411492459588069</v>
      </c>
      <c r="N64" s="171">
        <f t="shared" ca="1" si="13"/>
        <v>911.38157408510551</v>
      </c>
      <c r="O64" s="197"/>
      <c r="P64" s="107">
        <f t="shared" ca="1" si="14"/>
        <v>1</v>
      </c>
      <c r="Q64" s="107">
        <v>46</v>
      </c>
      <c r="AC64" s="197"/>
    </row>
    <row r="65" spans="1:29" x14ac:dyDescent="0.2">
      <c r="A65" s="192">
        <f t="shared" ca="1" si="4"/>
        <v>291.01147399200829</v>
      </c>
      <c r="B65" s="193">
        <f t="shared" ca="1" si="0"/>
        <v>307.31203042989773</v>
      </c>
      <c r="C65" s="171">
        <f t="shared" ca="1" si="5"/>
        <v>1127.6935734271772</v>
      </c>
      <c r="D65" s="171">
        <f t="shared" ca="1" si="6"/>
        <v>1127.6935734271772</v>
      </c>
      <c r="E65" s="196">
        <f t="shared" ca="1" si="7"/>
        <v>1849.8722614006865</v>
      </c>
      <c r="F65" s="177">
        <f t="shared" ca="1" si="8"/>
        <v>0.49494212740690979</v>
      </c>
      <c r="G65" s="177">
        <f t="shared" ca="1" si="9"/>
        <v>0.49494212740690979</v>
      </c>
      <c r="H65" s="176">
        <f t="shared" ca="1" si="1"/>
        <v>0.34704559698689413</v>
      </c>
      <c r="I65" s="171">
        <f t="shared" ca="1" si="10"/>
        <v>440.28111170638459</v>
      </c>
      <c r="J65" s="176">
        <f t="shared" ca="1" si="2"/>
        <v>0.565952495288359</v>
      </c>
      <c r="K65" s="195">
        <f t="shared" ca="1" si="11"/>
        <v>1558.8607874086783</v>
      </c>
      <c r="L65" s="195">
        <f t="shared" ca="1" si="12"/>
        <v>1866.1728178385761</v>
      </c>
      <c r="M65" s="177">
        <f t="shared" ca="1" si="3"/>
        <v>1.6887590568368223</v>
      </c>
      <c r="N65" s="171">
        <f t="shared" ca="1" si="13"/>
        <v>1027.5354113948927</v>
      </c>
      <c r="O65" s="197"/>
      <c r="P65" s="107">
        <f t="shared" ca="1" si="14"/>
        <v>1</v>
      </c>
      <c r="Q65" s="107">
        <v>47</v>
      </c>
      <c r="AC65" s="197"/>
    </row>
    <row r="66" spans="1:29" x14ac:dyDescent="0.2">
      <c r="A66" s="192">
        <f t="shared" ca="1" si="4"/>
        <v>293.55238525366894</v>
      </c>
      <c r="B66" s="193">
        <f t="shared" ca="1" si="0"/>
        <v>303.319962018544</v>
      </c>
      <c r="C66" s="171">
        <f t="shared" ca="1" si="5"/>
        <v>974.91591078322301</v>
      </c>
      <c r="D66" s="171">
        <f t="shared" ca="1" si="6"/>
        <v>974.91591078322301</v>
      </c>
      <c r="E66" s="196">
        <f t="shared" ca="1" si="7"/>
        <v>1561.7823487973467</v>
      </c>
      <c r="F66" s="177">
        <f t="shared" ca="1" si="8"/>
        <v>0.47123175740382661</v>
      </c>
      <c r="G66" s="177">
        <f t="shared" ca="1" si="9"/>
        <v>0.47123175740382661</v>
      </c>
      <c r="H66" s="176">
        <f t="shared" ca="1" si="1"/>
        <v>0.26698392471269256</v>
      </c>
      <c r="I66" s="171">
        <f t="shared" ca="1" si="10"/>
        <v>421.52062071850645</v>
      </c>
      <c r="J66" s="176">
        <f t="shared" ca="1" si="2"/>
        <v>0.52240778060959758</v>
      </c>
      <c r="K66" s="195">
        <f t="shared" ca="1" si="11"/>
        <v>1268.2299635436777</v>
      </c>
      <c r="L66" s="195">
        <f t="shared" ca="1" si="12"/>
        <v>1571.5499255622217</v>
      </c>
      <c r="M66" s="177">
        <f t="shared" ca="1" si="3"/>
        <v>1.6319540079192003</v>
      </c>
      <c r="N66" s="171">
        <f t="shared" ca="1" si="13"/>
        <v>911.2825360600209</v>
      </c>
      <c r="O66" s="197"/>
      <c r="P66" s="107">
        <f t="shared" ca="1" si="14"/>
        <v>1</v>
      </c>
      <c r="Q66" s="107">
        <v>48</v>
      </c>
      <c r="AC66" s="197"/>
    </row>
    <row r="67" spans="1:29" x14ac:dyDescent="0.2">
      <c r="A67" s="192">
        <f t="shared" ca="1" si="4"/>
        <v>297.48078030575465</v>
      </c>
      <c r="B67" s="193">
        <f t="shared" ca="1" si="0"/>
        <v>309.60988090815158</v>
      </c>
      <c r="C67" s="171">
        <f t="shared" ca="1" si="5"/>
        <v>980.93257151950638</v>
      </c>
      <c r="D67" s="171">
        <f t="shared" ca="1" si="6"/>
        <v>980.93257151950638</v>
      </c>
      <c r="E67" s="196">
        <f t="shared" ca="1" si="7"/>
        <v>833.99379801007171</v>
      </c>
      <c r="F67" s="177">
        <f t="shared" ca="1" si="8"/>
        <v>-0.16227775687595622</v>
      </c>
      <c r="G67" s="177">
        <f t="shared" ca="1" si="9"/>
        <v>-0.16227775687595622</v>
      </c>
      <c r="H67" s="176">
        <f t="shared" ca="1" si="1"/>
        <v>-8.4035764113755004E-2</v>
      </c>
      <c r="I67" s="171">
        <f t="shared" ca="1" si="10"/>
        <v>361.12359475394658</v>
      </c>
      <c r="J67" s="176">
        <f t="shared" ca="1" si="2"/>
        <v>0.36775934961563767</v>
      </c>
      <c r="K67" s="195">
        <f t="shared" ca="1" si="11"/>
        <v>536.51301770431701</v>
      </c>
      <c r="L67" s="195">
        <f t="shared" ca="1" si="12"/>
        <v>846.12289861246859</v>
      </c>
      <c r="M67" s="177">
        <f t="shared" ca="1" si="3"/>
        <v>1.0258763906693982</v>
      </c>
      <c r="N67" s="171">
        <f t="shared" ca="1" si="13"/>
        <v>916.05795334987806</v>
      </c>
      <c r="O67" s="197"/>
      <c r="P67" s="107">
        <f t="shared" ca="1" si="14"/>
        <v>1</v>
      </c>
      <c r="Q67" s="107">
        <v>49</v>
      </c>
      <c r="AC67" s="197"/>
    </row>
    <row r="68" spans="1:29" x14ac:dyDescent="0.2">
      <c r="A68" s="192">
        <f t="shared" ca="1" si="4"/>
        <v>360.39867426104348</v>
      </c>
      <c r="B68" s="193">
        <f t="shared" ca="1" si="0"/>
        <v>333.06822196162278</v>
      </c>
      <c r="C68" s="171">
        <f t="shared" ca="1" si="5"/>
        <v>990.16226979287114</v>
      </c>
      <c r="D68" s="171">
        <f t="shared" ca="1" si="6"/>
        <v>990.16226979287114</v>
      </c>
      <c r="E68" s="196">
        <f t="shared" ca="1" si="7"/>
        <v>951.6099226271557</v>
      </c>
      <c r="F68" s="177">
        <f t="shared" ca="1" si="8"/>
        <v>-3.971363289538514E-2</v>
      </c>
      <c r="G68" s="177">
        <f t="shared" ca="1" si="9"/>
        <v>-3.971363289538514E-2</v>
      </c>
      <c r="H68" s="176">
        <f t="shared" ca="1" si="1"/>
        <v>-0.36888576521538929</v>
      </c>
      <c r="I68" s="171">
        <f t="shared" ca="1" si="10"/>
        <v>329.66028267596477</v>
      </c>
      <c r="J68" s="176">
        <f t="shared" ca="1" si="2"/>
        <v>0.27660175991789004</v>
      </c>
      <c r="K68" s="195">
        <f t="shared" ca="1" si="11"/>
        <v>591.21124836611216</v>
      </c>
      <c r="L68" s="195">
        <f t="shared" ca="1" si="12"/>
        <v>924.279470327735</v>
      </c>
      <c r="M68" s="177">
        <f t="shared" ca="1" si="3"/>
        <v>1.0937014266911096</v>
      </c>
      <c r="N68" s="171">
        <f t="shared" ca="1" si="13"/>
        <v>923.35457602764052</v>
      </c>
      <c r="O68" s="197"/>
      <c r="P68" s="107">
        <f t="shared" ca="1" si="14"/>
        <v>1</v>
      </c>
      <c r="Q68" s="107">
        <v>50</v>
      </c>
      <c r="AC68" s="197"/>
    </row>
    <row r="69" spans="1:29" x14ac:dyDescent="0.2">
      <c r="A69" s="192">
        <f t="shared" ca="1" si="4"/>
        <v>403.86418957725255</v>
      </c>
      <c r="B69" s="193">
        <f t="shared" ca="1" si="0"/>
        <v>490.22951851805698</v>
      </c>
      <c r="C69" s="171">
        <f t="shared" ca="1" si="5"/>
        <v>1126.434003760133</v>
      </c>
      <c r="D69" s="171">
        <f t="shared" ca="1" si="6"/>
        <v>1126.434003760133</v>
      </c>
      <c r="E69" s="196">
        <f t="shared" ca="1" si="7"/>
        <v>1245.7940312605622</v>
      </c>
      <c r="F69" s="177">
        <f t="shared" ca="1" si="8"/>
        <v>0.10071620877354984</v>
      </c>
      <c r="G69" s="177">
        <f t="shared" ca="1" si="9"/>
        <v>0.10071620877354984</v>
      </c>
      <c r="H69" s="176">
        <f t="shared" ca="1" si="1"/>
        <v>-0.33908004717072071</v>
      </c>
      <c r="I69" s="171">
        <f t="shared" ca="1" si="10"/>
        <v>332.43058970239281</v>
      </c>
      <c r="J69" s="176">
        <f t="shared" ca="1" si="2"/>
        <v>0.28497016766701061</v>
      </c>
      <c r="K69" s="195">
        <f t="shared" ca="1" si="11"/>
        <v>841.92984168330963</v>
      </c>
      <c r="L69" s="195">
        <f t="shared" ca="1" si="12"/>
        <v>1332.1593602013666</v>
      </c>
      <c r="M69" s="177">
        <f t="shared" ca="1" si="3"/>
        <v>1.3862091439819608</v>
      </c>
      <c r="N69" s="171">
        <f t="shared" ca="1" si="13"/>
        <v>1026.6235744316743</v>
      </c>
      <c r="O69" s="197">
        <f ca="1">MAX(A69:A83)/MIN(A69:A83)</f>
        <v>1.9880189020734942</v>
      </c>
      <c r="P69" s="107">
        <f t="shared" ca="1" si="14"/>
        <v>1</v>
      </c>
      <c r="Q69" s="107">
        <v>51</v>
      </c>
      <c r="AC69" s="197"/>
    </row>
    <row r="70" spans="1:29" x14ac:dyDescent="0.2">
      <c r="A70" s="192">
        <f t="shared" ca="1" si="4"/>
        <v>508.97798321095411</v>
      </c>
      <c r="B70" s="193">
        <f t="shared" ca="1" si="0"/>
        <v>598.17226315537528</v>
      </c>
      <c r="C70" s="171">
        <f t="shared" ca="1" si="5"/>
        <v>1208.5957983429732</v>
      </c>
      <c r="D70" s="171">
        <f t="shared" ca="1" si="6"/>
        <v>1208.5957983429732</v>
      </c>
      <c r="E70" s="196">
        <f t="shared" ca="1" si="7"/>
        <v>1795.2077456478412</v>
      </c>
      <c r="F70" s="177">
        <f t="shared" ca="1" si="8"/>
        <v>0.39566156250724049</v>
      </c>
      <c r="G70" s="177">
        <f t="shared" ca="1" si="9"/>
        <v>0.39566156250724049</v>
      </c>
      <c r="H70" s="176">
        <f t="shared" ca="1" si="1"/>
        <v>-0.36638744786376559</v>
      </c>
      <c r="I70" s="171">
        <f t="shared" ca="1" si="10"/>
        <v>329.88845451310493</v>
      </c>
      <c r="J70" s="176">
        <f t="shared" ca="1" si="2"/>
        <v>0.27729366283082796</v>
      </c>
      <c r="K70" s="195">
        <f t="shared" ca="1" si="11"/>
        <v>1286.2297624368871</v>
      </c>
      <c r="L70" s="195">
        <f t="shared" ca="1" si="12"/>
        <v>1884.4020255922624</v>
      </c>
      <c r="M70" s="177">
        <f t="shared" ca="1" si="3"/>
        <v>1.3464921351760932</v>
      </c>
      <c r="N70" s="171">
        <f t="shared" ca="1" si="13"/>
        <v>1084.1970357795956</v>
      </c>
      <c r="O70" s="197"/>
      <c r="P70" s="107">
        <f t="shared" ca="1" si="14"/>
        <v>1</v>
      </c>
      <c r="Q70" s="107">
        <v>52</v>
      </c>
      <c r="AC70" s="197"/>
    </row>
    <row r="71" spans="1:29" x14ac:dyDescent="0.2">
      <c r="A71" s="192">
        <f t="shared" ca="1" si="4"/>
        <v>302.54775943670307</v>
      </c>
      <c r="B71" s="193">
        <f t="shared" ca="1" si="0"/>
        <v>276.43618750352647</v>
      </c>
      <c r="C71" s="171">
        <f t="shared" ca="1" si="5"/>
        <v>1371.1797469390112</v>
      </c>
      <c r="D71" s="171">
        <f t="shared" ca="1" si="6"/>
        <v>1371.1797469390112</v>
      </c>
      <c r="E71" s="196">
        <f t="shared" ca="1" si="7"/>
        <v>1275.1568867244166</v>
      </c>
      <c r="F71" s="177">
        <f t="shared" ca="1" si="8"/>
        <v>-7.2602278981743457E-2</v>
      </c>
      <c r="G71" s="177">
        <f t="shared" ca="1" si="9"/>
        <v>-7.2602278981743457E-2</v>
      </c>
      <c r="H71" s="176">
        <f t="shared" ca="1" si="1"/>
        <v>0.12082969053842266</v>
      </c>
      <c r="I71" s="171">
        <f t="shared" ca="1" si="10"/>
        <v>392.61677274584298</v>
      </c>
      <c r="J71" s="176">
        <f t="shared" ca="1" si="2"/>
        <v>0.45137308529333042</v>
      </c>
      <c r="K71" s="195">
        <f t="shared" ca="1" si="11"/>
        <v>972.60912728771359</v>
      </c>
      <c r="L71" s="195">
        <f t="shared" ca="1" si="12"/>
        <v>1249.0453147912401</v>
      </c>
      <c r="M71" s="177">
        <f t="shared" ca="1" si="3"/>
        <v>0.7362560123801668</v>
      </c>
      <c r="N71" s="171">
        <f t="shared" ca="1" si="13"/>
        <v>1183.8248251638254</v>
      </c>
      <c r="O71" s="197"/>
      <c r="P71" s="107">
        <f t="shared" ca="1" si="14"/>
        <v>1</v>
      </c>
      <c r="Q71" s="107">
        <v>53</v>
      </c>
      <c r="AC71" s="197"/>
    </row>
    <row r="72" spans="1:29" x14ac:dyDescent="0.2">
      <c r="A72" s="192">
        <f t="shared" ca="1" si="4"/>
        <v>263.98067947756056</v>
      </c>
      <c r="B72" s="193">
        <f t="shared" ca="1" si="0"/>
        <v>237.3092410205237</v>
      </c>
      <c r="C72" s="171">
        <f t="shared" ca="1" si="5"/>
        <v>1001.9379844945728</v>
      </c>
      <c r="D72" s="171">
        <f t="shared" ca="1" si="6"/>
        <v>1001.9379844945728</v>
      </c>
      <c r="E72" s="196">
        <f t="shared" ca="1" si="7"/>
        <v>501.30998084163087</v>
      </c>
      <c r="F72" s="177">
        <f t="shared" ca="1" si="8"/>
        <v>-0.69246675401872093</v>
      </c>
      <c r="G72" s="177">
        <f t="shared" ca="1" si="9"/>
        <v>-0.69246675401872093</v>
      </c>
      <c r="H72" s="176">
        <f t="shared" ca="1" si="1"/>
        <v>-8.1943634031742846E-2</v>
      </c>
      <c r="I72" s="171">
        <f t="shared" ca="1" si="10"/>
        <v>361.40184138194792</v>
      </c>
      <c r="J72" s="176">
        <f t="shared" ca="1" si="2"/>
        <v>0.36852955541834126</v>
      </c>
      <c r="K72" s="195">
        <f t="shared" ca="1" si="11"/>
        <v>237.32930136407032</v>
      </c>
      <c r="L72" s="195">
        <f t="shared" ca="1" si="12"/>
        <v>474.63854238459402</v>
      </c>
      <c r="M72" s="177">
        <f t="shared" ca="1" si="3"/>
        <v>0.5405735432327996</v>
      </c>
      <c r="N72" s="171">
        <f t="shared" ca="1" si="13"/>
        <v>932.61228683296963</v>
      </c>
      <c r="O72" s="197"/>
      <c r="P72" s="107">
        <f t="shared" ca="1" si="14"/>
        <v>1</v>
      </c>
      <c r="Q72" s="107">
        <v>54</v>
      </c>
      <c r="AC72" s="197"/>
    </row>
    <row r="73" spans="1:29" x14ac:dyDescent="0.2">
      <c r="A73" s="192">
        <f t="shared" ca="1" si="4"/>
        <v>256.18372954643991</v>
      </c>
      <c r="B73" s="193">
        <f t="shared" ca="1" si="0"/>
        <v>254.18978397605935</v>
      </c>
      <c r="C73" s="171">
        <f t="shared" ca="1" si="5"/>
        <v>908.59117196559623</v>
      </c>
      <c r="D73" s="171">
        <f t="shared" ca="1" si="6"/>
        <v>908.59117196559623</v>
      </c>
      <c r="E73" s="196">
        <f t="shared" ca="1" si="7"/>
        <v>944.55423676597582</v>
      </c>
      <c r="F73" s="177">
        <f t="shared" ca="1" si="8"/>
        <v>3.8817871885414745E-2</v>
      </c>
      <c r="G73" s="177">
        <f t="shared" ca="1" si="9"/>
        <v>3.8817871885414745E-2</v>
      </c>
      <c r="H73" s="176">
        <f t="shared" ca="1" si="1"/>
        <v>0.538546550191629</v>
      </c>
      <c r="I73" s="171">
        <f t="shared" ca="1" si="10"/>
        <v>496.14426211068081</v>
      </c>
      <c r="J73" s="176">
        <f t="shared" ca="1" si="2"/>
        <v>0.68540581760331842</v>
      </c>
      <c r="K73" s="195">
        <f t="shared" ca="1" si="11"/>
        <v>688.37050721953597</v>
      </c>
      <c r="L73" s="195">
        <f t="shared" ca="1" si="12"/>
        <v>942.56029119559525</v>
      </c>
      <c r="M73" s="177">
        <f t="shared" ca="1" si="3"/>
        <v>1.3792357816773611</v>
      </c>
      <c r="N73" s="171">
        <f t="shared" ca="1" si="13"/>
        <v>857.6932262363764</v>
      </c>
      <c r="O73" s="197"/>
      <c r="P73" s="107">
        <f t="shared" ca="1" si="14"/>
        <v>1</v>
      </c>
      <c r="Q73" s="107">
        <v>55</v>
      </c>
      <c r="AC73" s="197"/>
    </row>
    <row r="74" spans="1:29" x14ac:dyDescent="0.2">
      <c r="A74" s="192">
        <f t="shared" ca="1" si="4"/>
        <v>453.85373472131289</v>
      </c>
      <c r="B74" s="193">
        <f t="shared" ca="1" si="0"/>
        <v>427.82204814405168</v>
      </c>
      <c r="C74" s="171">
        <f t="shared" ca="1" si="5"/>
        <v>888.65683716526144</v>
      </c>
      <c r="D74" s="171">
        <f t="shared" ca="1" si="6"/>
        <v>888.65683716526144</v>
      </c>
      <c r="E74" s="196">
        <f t="shared" ca="1" si="7"/>
        <v>1670.1530947607685</v>
      </c>
      <c r="F74" s="177">
        <f t="shared" ca="1" si="8"/>
        <v>0.63095942366343161</v>
      </c>
      <c r="G74" s="177">
        <f t="shared" ca="1" si="9"/>
        <v>0.63095942366343161</v>
      </c>
      <c r="H74" s="176">
        <f t="shared" ca="1" si="1"/>
        <v>-0.28637549498874032</v>
      </c>
      <c r="I74" s="171">
        <f t="shared" ca="1" si="10"/>
        <v>337.59709144086941</v>
      </c>
      <c r="J74" s="176">
        <f t="shared" ca="1" si="2"/>
        <v>0.30039222942217453</v>
      </c>
      <c r="K74" s="195">
        <f t="shared" ca="1" si="11"/>
        <v>1216.2993600394557</v>
      </c>
      <c r="L74" s="195">
        <f t="shared" ca="1" si="12"/>
        <v>1644.1214081835074</v>
      </c>
      <c r="M74" s="177">
        <f t="shared" ca="1" si="3"/>
        <v>1.8668802531235615</v>
      </c>
      <c r="N74" s="171">
        <f t="shared" ca="1" si="13"/>
        <v>841.26226367319066</v>
      </c>
      <c r="O74" s="197"/>
      <c r="P74" s="107">
        <f t="shared" ca="1" si="14"/>
        <v>1</v>
      </c>
      <c r="Q74" s="107">
        <v>56</v>
      </c>
      <c r="AC74" s="197"/>
    </row>
    <row r="75" spans="1:29" x14ac:dyDescent="0.2">
      <c r="A75" s="192">
        <f t="shared" ca="1" si="4"/>
        <v>292.05904571042993</v>
      </c>
      <c r="B75" s="193">
        <f t="shared" ca="1" si="0"/>
        <v>231.53632910363763</v>
      </c>
      <c r="C75" s="171">
        <f t="shared" ca="1" si="5"/>
        <v>1291.9671278711542</v>
      </c>
      <c r="D75" s="171">
        <f t="shared" ca="1" si="6"/>
        <v>1291.9671278711542</v>
      </c>
      <c r="E75" s="196">
        <f t="shared" ca="1" si="7"/>
        <v>805.0823795303985</v>
      </c>
      <c r="F75" s="177">
        <f t="shared" ca="1" si="8"/>
        <v>-0.47297663419160524</v>
      </c>
      <c r="G75" s="177">
        <f t="shared" ca="1" si="9"/>
        <v>-0.47297663419160524</v>
      </c>
      <c r="H75" s="176">
        <f t="shared" ca="1" si="1"/>
        <v>-6.1911594924478543E-2</v>
      </c>
      <c r="I75" s="171">
        <f t="shared" ca="1" si="10"/>
        <v>364.10682877173252</v>
      </c>
      <c r="J75" s="176">
        <f t="shared" ca="1" si="2"/>
        <v>0.37598639235263703</v>
      </c>
      <c r="K75" s="195">
        <f t="shared" ca="1" si="11"/>
        <v>513.02333381996857</v>
      </c>
      <c r="L75" s="195">
        <f t="shared" ca="1" si="12"/>
        <v>744.5596629236062</v>
      </c>
      <c r="M75" s="177">
        <f t="shared" ca="1" si="3"/>
        <v>0.55408565339955052</v>
      </c>
      <c r="N75" s="171">
        <f t="shared" ca="1" si="13"/>
        <v>1138.0670177684578</v>
      </c>
      <c r="O75" s="197"/>
      <c r="P75" s="107">
        <f t="shared" ca="1" si="14"/>
        <v>1</v>
      </c>
      <c r="Q75" s="107">
        <v>57</v>
      </c>
      <c r="AC75" s="197"/>
    </row>
    <row r="76" spans="1:29" x14ac:dyDescent="0.2">
      <c r="A76" s="192">
        <f t="shared" ca="1" si="4"/>
        <v>270.85430551117844</v>
      </c>
      <c r="B76" s="193">
        <f t="shared" ca="1" si="0"/>
        <v>285.97841358853401</v>
      </c>
      <c r="C76" s="171">
        <f t="shared" ca="1" si="5"/>
        <v>977.40094086223962</v>
      </c>
      <c r="D76" s="171">
        <f t="shared" ca="1" si="6"/>
        <v>977.40094086223962</v>
      </c>
      <c r="E76" s="196">
        <f t="shared" ca="1" si="7"/>
        <v>477.87341662813503</v>
      </c>
      <c r="F76" s="177">
        <f t="shared" ca="1" si="8"/>
        <v>-0.71555106880180197</v>
      </c>
      <c r="G76" s="177">
        <f t="shared" ca="1" si="9"/>
        <v>-0.71555106880180197</v>
      </c>
      <c r="H76" s="176">
        <f t="shared" ca="1" si="1"/>
        <v>-0.27545337572151513</v>
      </c>
      <c r="I76" s="171">
        <f t="shared" ca="1" si="10"/>
        <v>338.7126303334154</v>
      </c>
      <c r="J76" s="176">
        <f t="shared" ca="1" si="2"/>
        <v>0.30369113188744579</v>
      </c>
      <c r="K76" s="195">
        <f t="shared" ca="1" si="11"/>
        <v>207.01911111695659</v>
      </c>
      <c r="L76" s="195">
        <f t="shared" ca="1" si="12"/>
        <v>492.9975247054906</v>
      </c>
      <c r="M76" s="177">
        <f t="shared" ca="1" si="3"/>
        <v>0.75576736276115297</v>
      </c>
      <c r="N76" s="171">
        <f t="shared" ca="1" si="13"/>
        <v>913.25669685167497</v>
      </c>
      <c r="O76" s="197"/>
      <c r="P76" s="107">
        <f t="shared" ca="1" si="14"/>
        <v>1</v>
      </c>
      <c r="Q76" s="107">
        <v>58</v>
      </c>
      <c r="AC76" s="197"/>
    </row>
    <row r="77" spans="1:29" x14ac:dyDescent="0.2">
      <c r="A77" s="192">
        <f t="shared" ca="1" si="4"/>
        <v>260.76149737170834</v>
      </c>
      <c r="B77" s="193">
        <f t="shared" ca="1" si="0"/>
        <v>219.29146729169102</v>
      </c>
      <c r="C77" s="171">
        <f t="shared" ca="1" si="5"/>
        <v>925.86344184375287</v>
      </c>
      <c r="D77" s="171">
        <f t="shared" ca="1" si="6"/>
        <v>925.86344184375287</v>
      </c>
      <c r="E77" s="196">
        <f t="shared" ca="1" si="7"/>
        <v>944.23156594206819</v>
      </c>
      <c r="F77" s="177">
        <f t="shared" ca="1" si="8"/>
        <v>1.9644686208201083E-2</v>
      </c>
      <c r="G77" s="177">
        <f t="shared" ca="1" si="9"/>
        <v>1.9644686208201083E-2</v>
      </c>
      <c r="H77" s="176">
        <f t="shared" ca="1" si="1"/>
        <v>0.42059667658720223</v>
      </c>
      <c r="I77" s="171">
        <f t="shared" ca="1" si="10"/>
        <v>459.71599472170112</v>
      </c>
      <c r="J77" s="176">
        <f t="shared" ca="1" si="2"/>
        <v>0.60914797817040311</v>
      </c>
      <c r="K77" s="195">
        <f t="shared" ca="1" si="11"/>
        <v>683.4700685703599</v>
      </c>
      <c r="L77" s="195">
        <f t="shared" ca="1" si="12"/>
        <v>902.76153586205089</v>
      </c>
      <c r="M77" s="177">
        <f t="shared" ca="1" si="3"/>
        <v>1.1495421076466097</v>
      </c>
      <c r="N77" s="171">
        <f t="shared" ca="1" si="13"/>
        <v>871.81164086679223</v>
      </c>
      <c r="O77" s="197"/>
      <c r="P77" s="107">
        <f t="shared" ca="1" si="14"/>
        <v>1</v>
      </c>
      <c r="Q77" s="107">
        <v>59</v>
      </c>
      <c r="AC77" s="197"/>
    </row>
    <row r="78" spans="1:29" x14ac:dyDescent="0.2">
      <c r="A78" s="192">
        <f t="shared" ca="1" si="4"/>
        <v>256.02270817450102</v>
      </c>
      <c r="B78" s="193">
        <f t="shared" ca="1" si="0"/>
        <v>258.40245503434159</v>
      </c>
      <c r="C78" s="171">
        <f t="shared" ca="1" si="5"/>
        <v>900.40502422101281</v>
      </c>
      <c r="D78" s="171">
        <f t="shared" ca="1" si="6"/>
        <v>900.40502422101281</v>
      </c>
      <c r="E78" s="196">
        <f t="shared" ca="1" si="7"/>
        <v>1679.4605413308873</v>
      </c>
      <c r="F78" s="177">
        <f t="shared" ca="1" si="8"/>
        <v>0.62338322547615244</v>
      </c>
      <c r="G78" s="177">
        <f t="shared" ca="1" si="9"/>
        <v>0.62338322547615244</v>
      </c>
      <c r="H78" s="176">
        <f t="shared" ca="1" si="1"/>
        <v>0.73450442621055467</v>
      </c>
      <c r="I78" s="171">
        <f t="shared" ca="1" si="10"/>
        <v>575.5006819886089</v>
      </c>
      <c r="J78" s="176">
        <f t="shared" ca="1" si="2"/>
        <v>0.83377949533566798</v>
      </c>
      <c r="K78" s="195">
        <f t="shared" ca="1" si="11"/>
        <v>1423.4378331563862</v>
      </c>
      <c r="L78" s="195">
        <f t="shared" ca="1" si="12"/>
        <v>1681.8402881907277</v>
      </c>
      <c r="M78" s="177">
        <f t="shared" ca="1" si="3"/>
        <v>2.0372421366830258</v>
      </c>
      <c r="N78" s="171">
        <f t="shared" ca="1" si="13"/>
        <v>850.96325459640241</v>
      </c>
      <c r="O78" s="197"/>
      <c r="P78" s="107">
        <f t="shared" ca="1" si="14"/>
        <v>1</v>
      </c>
      <c r="Q78" s="107">
        <v>60</v>
      </c>
      <c r="AC78" s="197"/>
    </row>
    <row r="79" spans="1:29" x14ac:dyDescent="0.2">
      <c r="A79" s="192">
        <f t="shared" ca="1" si="4"/>
        <v>307.59532271354647</v>
      </c>
      <c r="B79" s="193">
        <f t="shared" ca="1" si="0"/>
        <v>355.83348059597375</v>
      </c>
      <c r="C79" s="171">
        <f t="shared" ca="1" si="5"/>
        <v>888.24129632659981</v>
      </c>
      <c r="D79" s="171">
        <f t="shared" ca="1" si="6"/>
        <v>888.24129632659981</v>
      </c>
      <c r="E79" s="196">
        <f t="shared" ca="1" si="7"/>
        <v>1245.2297116939128</v>
      </c>
      <c r="F79" s="177">
        <f t="shared" ca="1" si="8"/>
        <v>0.33783186308632684</v>
      </c>
      <c r="G79" s="177">
        <f t="shared" ca="1" si="9"/>
        <v>0.33783186308632684</v>
      </c>
      <c r="H79" s="176">
        <f t="shared" ca="1" si="1"/>
        <v>7.8225396712224282E-2</v>
      </c>
      <c r="I79" s="171">
        <f t="shared" ca="1" si="10"/>
        <v>385.29430271933182</v>
      </c>
      <c r="J79" s="176">
        <f t="shared" ca="1" si="2"/>
        <v>0.43254654705097029</v>
      </c>
      <c r="K79" s="195">
        <f t="shared" ca="1" si="11"/>
        <v>937.63438898036634</v>
      </c>
      <c r="L79" s="195">
        <f t="shared" ca="1" si="12"/>
        <v>1293.46786957634</v>
      </c>
      <c r="M79" s="177">
        <f t="shared" ca="1" si="3"/>
        <v>1.6105638886373019</v>
      </c>
      <c r="N79" s="171">
        <f t="shared" ca="1" si="13"/>
        <v>840.9182225519645</v>
      </c>
      <c r="O79" s="197"/>
      <c r="P79" s="107">
        <f t="shared" ca="1" si="14"/>
        <v>1</v>
      </c>
      <c r="Q79" s="107">
        <v>61</v>
      </c>
      <c r="AC79" s="197"/>
    </row>
    <row r="80" spans="1:29" x14ac:dyDescent="0.2">
      <c r="A80" s="192">
        <f t="shared" ca="1" si="4"/>
        <v>430.76651771287675</v>
      </c>
      <c r="B80" s="193">
        <f t="shared" ca="1" si="0"/>
        <v>487.01115102265351</v>
      </c>
      <c r="C80" s="171">
        <f t="shared" ca="1" si="5"/>
        <v>1013.525077510592</v>
      </c>
      <c r="D80" s="171">
        <f t="shared" ca="1" si="6"/>
        <v>1013.525077510592</v>
      </c>
      <c r="E80" s="196">
        <f t="shared" ca="1" si="7"/>
        <v>636.55214750180403</v>
      </c>
      <c r="F80" s="177">
        <f t="shared" ca="1" si="8"/>
        <v>-0.46512336589998121</v>
      </c>
      <c r="G80" s="177">
        <f t="shared" ca="1" si="9"/>
        <v>-0.46512336589998121</v>
      </c>
      <c r="H80" s="176">
        <f t="shared" ca="1" si="1"/>
        <v>-1.2982774794431329</v>
      </c>
      <c r="I80" s="171">
        <f t="shared" ca="1" si="10"/>
        <v>278.84653411238145</v>
      </c>
      <c r="J80" s="176">
        <f t="shared" ca="1" si="2"/>
        <v>0.10920065567743012</v>
      </c>
      <c r="K80" s="195">
        <f t="shared" ca="1" si="11"/>
        <v>205.78562978892728</v>
      </c>
      <c r="L80" s="195">
        <f t="shared" ca="1" si="12"/>
        <v>692.79678081158079</v>
      </c>
      <c r="M80" s="177">
        <f t="shared" ca="1" si="3"/>
        <v>0.66627384031543757</v>
      </c>
      <c r="N80" s="171">
        <f t="shared" ca="1" si="13"/>
        <v>941.66411747854283</v>
      </c>
      <c r="O80" s="197"/>
      <c r="P80" s="107">
        <f t="shared" ca="1" si="14"/>
        <v>1</v>
      </c>
      <c r="Q80" s="107">
        <v>62</v>
      </c>
      <c r="AC80" s="197"/>
    </row>
    <row r="81" spans="1:29" x14ac:dyDescent="0.2">
      <c r="A81" s="192">
        <f t="shared" ca="1" si="4"/>
        <v>264.73654600642618</v>
      </c>
      <c r="B81" s="193">
        <f t="shared" ca="1" si="0"/>
        <v>237.98850970242677</v>
      </c>
      <c r="C81" s="171">
        <f t="shared" ca="1" si="5"/>
        <v>1254.8856142178079</v>
      </c>
      <c r="D81" s="171">
        <f t="shared" ca="1" si="6"/>
        <v>1254.8856142178079</v>
      </c>
      <c r="E81" s="196">
        <f t="shared" ca="1" si="7"/>
        <v>1080.8543728339039</v>
      </c>
      <c r="F81" s="177">
        <f t="shared" ca="1" si="8"/>
        <v>-0.14929261003044247</v>
      </c>
      <c r="G81" s="177">
        <f t="shared" ca="1" si="9"/>
        <v>-0.14929261003044247</v>
      </c>
      <c r="H81" s="176">
        <f t="shared" ca="1" si="1"/>
        <v>0.40497309434909728</v>
      </c>
      <c r="I81" s="171">
        <f t="shared" ca="1" si="10"/>
        <v>455.39527688370458</v>
      </c>
      <c r="J81" s="176">
        <f t="shared" ca="1" si="2"/>
        <v>0.59970486435591241</v>
      </c>
      <c r="K81" s="195">
        <f t="shared" ca="1" si="11"/>
        <v>816.11782682747776</v>
      </c>
      <c r="L81" s="195">
        <f t="shared" ca="1" si="12"/>
        <v>1054.1063365299046</v>
      </c>
      <c r="M81" s="177">
        <f t="shared" ca="1" si="3"/>
        <v>0.77216159236313631</v>
      </c>
      <c r="N81" s="171">
        <f t="shared" ca="1" si="13"/>
        <v>1114.7411358333763</v>
      </c>
      <c r="O81" s="197"/>
      <c r="P81" s="107">
        <f t="shared" ca="1" si="14"/>
        <v>1</v>
      </c>
      <c r="Q81" s="107">
        <v>63</v>
      </c>
      <c r="AC81" s="197"/>
    </row>
    <row r="82" spans="1:29" x14ac:dyDescent="0.2">
      <c r="A82" s="192">
        <f t="shared" ca="1" si="4"/>
        <v>266.56593323277031</v>
      </c>
      <c r="B82" s="193">
        <f t="shared" ca="1" si="0"/>
        <v>289.7722578514165</v>
      </c>
      <c r="C82" s="171">
        <f t="shared" ca="1" si="5"/>
        <v>910.50429783222035</v>
      </c>
      <c r="D82" s="171">
        <f t="shared" ca="1" si="6"/>
        <v>910.50429783222035</v>
      </c>
      <c r="E82" s="196">
        <f t="shared" ca="1" si="7"/>
        <v>1110.0366217579667</v>
      </c>
      <c r="F82" s="177">
        <f t="shared" ca="1" si="8"/>
        <v>0.19814966688138058</v>
      </c>
      <c r="G82" s="177">
        <f t="shared" ca="1" si="9"/>
        <v>0.19814966688138058</v>
      </c>
      <c r="H82" s="176">
        <f t="shared" ca="1" si="1"/>
        <v>0.38766389512595689</v>
      </c>
      <c r="I82" s="171">
        <f t="shared" ca="1" si="10"/>
        <v>450.73279581184431</v>
      </c>
      <c r="J82" s="176">
        <f t="shared" ca="1" si="2"/>
        <v>0.58941377557672536</v>
      </c>
      <c r="K82" s="195">
        <f t="shared" ca="1" si="11"/>
        <v>843.47068852519646</v>
      </c>
      <c r="L82" s="195">
        <f t="shared" ca="1" si="12"/>
        <v>1133.242946376613</v>
      </c>
      <c r="M82" s="177">
        <f t="shared" ca="1" si="3"/>
        <v>1.5606162716137861</v>
      </c>
      <c r="N82" s="171">
        <f t="shared" ca="1" si="13"/>
        <v>859.26248849435945</v>
      </c>
      <c r="O82" s="197"/>
      <c r="P82" s="107">
        <f t="shared" ca="1" si="14"/>
        <v>1</v>
      </c>
      <c r="Q82" s="107">
        <v>64</v>
      </c>
      <c r="AC82" s="197"/>
    </row>
    <row r="83" spans="1:29" x14ac:dyDescent="0.2">
      <c r="A83" s="192">
        <f t="shared" ca="1" si="4"/>
        <v>478.18366366162849</v>
      </c>
      <c r="B83" s="193">
        <f t="shared" ref="B83:B118" ca="1" si="15">EXP(NORMINV(RAND(),LN(A83),$C$15))</f>
        <v>454.48400704063317</v>
      </c>
      <c r="C83" s="171">
        <f t="shared" ca="1" si="5"/>
        <v>915.1204390809695</v>
      </c>
      <c r="D83" s="171">
        <f t="shared" ca="1" si="6"/>
        <v>915.1204390809695</v>
      </c>
      <c r="E83" s="196">
        <f t="shared" ca="1" si="7"/>
        <v>1169.3718117607077</v>
      </c>
      <c r="F83" s="177">
        <f t="shared" ca="1" si="8"/>
        <v>0.2451662865530643</v>
      </c>
      <c r="G83" s="177">
        <f t="shared" ca="1" si="9"/>
        <v>0.2451662865530643</v>
      </c>
      <c r="H83" s="176">
        <f t="shared" ref="H83:H118" ca="1" si="16">NORMINV(RAND(),0,$H$9)</f>
        <v>-0.63333018178380818</v>
      </c>
      <c r="I83" s="171">
        <f t="shared" ca="1" si="10"/>
        <v>309.13849094464047</v>
      </c>
      <c r="J83" s="176">
        <f t="shared" ref="J83:J118" ca="1" si="17">$H$4*EXP(H83)</f>
        <v>0.212328449387375</v>
      </c>
      <c r="K83" s="195">
        <f t="shared" ca="1" si="11"/>
        <v>691.18814809907917</v>
      </c>
      <c r="L83" s="195">
        <f t="shared" ca="1" si="12"/>
        <v>1145.6721551397122</v>
      </c>
      <c r="M83" s="177">
        <f t="shared" ref="M83:M118" ca="1" si="18">LN(L83/B82)</f>
        <v>1.3746514821039217</v>
      </c>
      <c r="N83" s="171">
        <f t="shared" ca="1" si="13"/>
        <v>863.04335020203689</v>
      </c>
      <c r="O83" s="197"/>
      <c r="P83" s="107">
        <f t="shared" ca="1" si="14"/>
        <v>1</v>
      </c>
      <c r="Q83" s="107">
        <v>65</v>
      </c>
      <c r="AC83" s="197"/>
    </row>
    <row r="84" spans="1:29" x14ac:dyDescent="0.2">
      <c r="A84" s="192">
        <f t="shared" ref="A84:A118" ca="1" si="19">IF(E84&lt;I84,E84*EXP(-J84),$H$6+(E84-I84)*EXP(-$H$7*EXP(H84)))</f>
        <v>288.9581294488529</v>
      </c>
      <c r="B84" s="193">
        <f t="shared" ca="1" si="15"/>
        <v>303.00761369367774</v>
      </c>
      <c r="C84" s="171">
        <f t="shared" ref="C84:C118" ca="1" si="20">A83*EXP($C$4-$C$5*A83)</f>
        <v>1328.5072581903892</v>
      </c>
      <c r="D84" s="171">
        <f t="shared" ref="D84:D118" ca="1" si="21">C84*EXP($C$7*F83)</f>
        <v>1328.5072581903892</v>
      </c>
      <c r="E84" s="196">
        <f t="shared" ref="E84:E118" ca="1" si="22">D84*EXP(NORMINV(RAND(),0,$C$6))</f>
        <v>1079.7261345637228</v>
      </c>
      <c r="F84" s="177">
        <f t="shared" ref="F84:F114" ca="1" si="23">LN(E84/C84)</f>
        <v>-0.2073485197787506</v>
      </c>
      <c r="G84" s="177">
        <f t="shared" ref="G84:G118" ca="1" si="24">LN(E84/D84)</f>
        <v>-0.2073485197787506</v>
      </c>
      <c r="H84" s="176">
        <f t="shared" ca="1" si="16"/>
        <v>0.13658701312076038</v>
      </c>
      <c r="I84" s="171">
        <f t="shared" ref="I84:I118" ca="1" si="25">$H$6/EXP(-J84)</f>
        <v>395.44146210068646</v>
      </c>
      <c r="J84" s="176">
        <f t="shared" ca="1" si="17"/>
        <v>0.4585418485317222</v>
      </c>
      <c r="K84" s="195">
        <f t="shared" ref="K84:K118" ca="1" si="26">E84-A84</f>
        <v>790.76800511486988</v>
      </c>
      <c r="L84" s="195">
        <f t="shared" ref="L84:L118" ca="1" si="27">B84+K84</f>
        <v>1093.7756188085477</v>
      </c>
      <c r="M84" s="177">
        <f t="shared" ca="1" si="18"/>
        <v>0.87822813533917399</v>
      </c>
      <c r="N84" s="171">
        <f t="shared" ref="N84:N118" ca="1" si="28">A83*EXP($AI$4+$AH$4*A83)</f>
        <v>1159.9256018761018</v>
      </c>
      <c r="O84" s="197">
        <f ca="1">MAX(A84:A98)/MIN(A84:A98)</f>
        <v>2.4500901716688492</v>
      </c>
      <c r="P84" s="107">
        <f t="shared" ref="P84:P118" ca="1" si="29">IF(E84&gt;I84,1, 0)</f>
        <v>1</v>
      </c>
      <c r="Q84" s="107">
        <v>66</v>
      </c>
      <c r="AC84" s="197"/>
    </row>
    <row r="85" spans="1:29" x14ac:dyDescent="0.2">
      <c r="A85" s="192">
        <f t="shared" ca="1" si="19"/>
        <v>256.18003512815824</v>
      </c>
      <c r="B85" s="193">
        <f t="shared" ca="1" si="15"/>
        <v>227.13185490096262</v>
      </c>
      <c r="C85" s="171">
        <f t="shared" ca="1" si="20"/>
        <v>970.02676836334035</v>
      </c>
      <c r="D85" s="171">
        <f t="shared" ca="1" si="21"/>
        <v>970.02676836334035</v>
      </c>
      <c r="E85" s="196">
        <f t="shared" ca="1" si="22"/>
        <v>1509.9421218312179</v>
      </c>
      <c r="F85" s="177">
        <f t="shared" ca="1" si="23"/>
        <v>0.44250293179373412</v>
      </c>
      <c r="G85" s="177">
        <f t="shared" ca="1" si="24"/>
        <v>0.44250293179373412</v>
      </c>
      <c r="H85" s="176">
        <f t="shared" ca="1" si="16"/>
        <v>0.70023043864218681</v>
      </c>
      <c r="I85" s="171">
        <f t="shared" ca="1" si="25"/>
        <v>559.55825429109484</v>
      </c>
      <c r="J85" s="176">
        <f t="shared" ca="1" si="17"/>
        <v>0.80568672295252375</v>
      </c>
      <c r="K85" s="195">
        <f t="shared" ca="1" si="26"/>
        <v>1253.7620867030596</v>
      </c>
      <c r="L85" s="195">
        <f t="shared" ca="1" si="27"/>
        <v>1480.8939416040223</v>
      </c>
      <c r="M85" s="177">
        <f t="shared" ca="1" si="18"/>
        <v>1.5866432661164975</v>
      </c>
      <c r="N85" s="171">
        <f t="shared" ca="1" si="28"/>
        <v>907.39116555305793</v>
      </c>
      <c r="O85" s="197"/>
      <c r="P85" s="107">
        <f t="shared" ca="1" si="29"/>
        <v>1</v>
      </c>
      <c r="Q85" s="107">
        <v>67</v>
      </c>
      <c r="AC85" s="197"/>
    </row>
    <row r="86" spans="1:29" x14ac:dyDescent="0.2">
      <c r="A86" s="192">
        <f t="shared" ca="1" si="19"/>
        <v>349.99447738012998</v>
      </c>
      <c r="B86" s="193">
        <f t="shared" ca="1" si="15"/>
        <v>442.23801341512291</v>
      </c>
      <c r="C86" s="171">
        <f t="shared" ca="1" si="20"/>
        <v>888.64730489905787</v>
      </c>
      <c r="D86" s="171">
        <f t="shared" ca="1" si="21"/>
        <v>888.64730489905787</v>
      </c>
      <c r="E86" s="196">
        <f t="shared" ca="1" si="22"/>
        <v>957.2387486768846</v>
      </c>
      <c r="F86" s="177">
        <f t="shared" ca="1" si="23"/>
        <v>7.4352412092572567E-2</v>
      </c>
      <c r="G86" s="177">
        <f t="shared" ca="1" si="24"/>
        <v>7.4352412092572567E-2</v>
      </c>
      <c r="H86" s="176">
        <f t="shared" ca="1" si="16"/>
        <v>-0.31291164448356557</v>
      </c>
      <c r="I86" s="171">
        <f t="shared" ca="1" si="25"/>
        <v>334.95182918796365</v>
      </c>
      <c r="J86" s="176">
        <f t="shared" ca="1" si="17"/>
        <v>0.29252581015478285</v>
      </c>
      <c r="K86" s="195">
        <f t="shared" ca="1" si="26"/>
        <v>607.24427129675462</v>
      </c>
      <c r="L86" s="195">
        <f t="shared" ca="1" si="27"/>
        <v>1049.4822847118776</v>
      </c>
      <c r="M86" s="177">
        <f t="shared" ca="1" si="18"/>
        <v>1.5305215519343813</v>
      </c>
      <c r="N86" s="171">
        <f t="shared" ca="1" si="28"/>
        <v>841.25437226280258</v>
      </c>
      <c r="O86" s="197"/>
      <c r="P86" s="107">
        <f t="shared" ca="1" si="29"/>
        <v>1</v>
      </c>
      <c r="Q86" s="107">
        <v>68</v>
      </c>
      <c r="AC86" s="197"/>
    </row>
    <row r="87" spans="1:29" x14ac:dyDescent="0.2">
      <c r="A87" s="192">
        <f t="shared" ca="1" si="19"/>
        <v>396.04362715987747</v>
      </c>
      <c r="B87" s="193">
        <f t="shared" ca="1" si="15"/>
        <v>363.25201540623823</v>
      </c>
      <c r="C87" s="171">
        <f t="shared" ca="1" si="20"/>
        <v>1105.3561813376564</v>
      </c>
      <c r="D87" s="171">
        <f t="shared" ca="1" si="21"/>
        <v>1105.3561813376564</v>
      </c>
      <c r="E87" s="196">
        <f t="shared" ca="1" si="22"/>
        <v>1924.9919948887716</v>
      </c>
      <c r="F87" s="177">
        <f t="shared" ca="1" si="23"/>
        <v>0.55475419014897198</v>
      </c>
      <c r="G87" s="177">
        <f t="shared" ca="1" si="24"/>
        <v>0.55475419014897198</v>
      </c>
      <c r="H87" s="176">
        <f t="shared" ca="1" si="16"/>
        <v>-5.4071315702298867E-2</v>
      </c>
      <c r="I87" s="171">
        <f t="shared" ca="1" si="25"/>
        <v>365.18597147351494</v>
      </c>
      <c r="J87" s="176">
        <f t="shared" ca="1" si="17"/>
        <v>0.37894581684998874</v>
      </c>
      <c r="K87" s="195">
        <f t="shared" ca="1" si="26"/>
        <v>1528.948367728894</v>
      </c>
      <c r="L87" s="195">
        <f t="shared" ca="1" si="27"/>
        <v>1892.2003831351321</v>
      </c>
      <c r="M87" s="177">
        <f t="shared" ca="1" si="18"/>
        <v>1.4536474257192447</v>
      </c>
      <c r="N87" s="171">
        <f t="shared" ca="1" si="28"/>
        <v>1011.2398410626498</v>
      </c>
      <c r="O87" s="197"/>
      <c r="P87" s="107">
        <f t="shared" ca="1" si="29"/>
        <v>1</v>
      </c>
      <c r="Q87" s="107">
        <v>69</v>
      </c>
      <c r="AC87" s="197"/>
    </row>
    <row r="88" spans="1:29" x14ac:dyDescent="0.2">
      <c r="A88" s="192">
        <f t="shared" ca="1" si="19"/>
        <v>380.62593844861567</v>
      </c>
      <c r="B88" s="193">
        <f t="shared" ca="1" si="15"/>
        <v>418.17359925852452</v>
      </c>
      <c r="C88" s="171">
        <f t="shared" ca="1" si="20"/>
        <v>1194.4973492356301</v>
      </c>
      <c r="D88" s="171">
        <f t="shared" ca="1" si="21"/>
        <v>1194.4973492356301</v>
      </c>
      <c r="E88" s="196">
        <f t="shared" ca="1" si="22"/>
        <v>997.30805482586607</v>
      </c>
      <c r="F88" s="177">
        <f t="shared" ca="1" si="23"/>
        <v>-0.18042104361404801</v>
      </c>
      <c r="G88" s="177">
        <f t="shared" ca="1" si="24"/>
        <v>-0.18042104361404801</v>
      </c>
      <c r="H88" s="176">
        <f t="shared" ca="1" si="16"/>
        <v>-0.42252224860702664</v>
      </c>
      <c r="I88" s="171">
        <f t="shared" ca="1" si="25"/>
        <v>324.93253849032942</v>
      </c>
      <c r="J88" s="176">
        <f t="shared" ca="1" si="17"/>
        <v>0.2621566690451429</v>
      </c>
      <c r="K88" s="195">
        <f t="shared" ca="1" si="26"/>
        <v>616.6821163772504</v>
      </c>
      <c r="L88" s="195">
        <f t="shared" ca="1" si="27"/>
        <v>1034.8557156357749</v>
      </c>
      <c r="M88" s="177">
        <f t="shared" ca="1" si="18"/>
        <v>1.0469204401016532</v>
      </c>
      <c r="N88" s="171">
        <f t="shared" ca="1" si="28"/>
        <v>1074.6076223113052</v>
      </c>
      <c r="O88" s="197"/>
      <c r="P88" s="107">
        <f t="shared" ca="1" si="29"/>
        <v>1</v>
      </c>
      <c r="Q88" s="107">
        <v>70</v>
      </c>
      <c r="AC88" s="197"/>
    </row>
    <row r="89" spans="1:29" x14ac:dyDescent="0.2">
      <c r="A89" s="192">
        <f t="shared" ca="1" si="19"/>
        <v>382.80858523583777</v>
      </c>
      <c r="B89" s="193">
        <f t="shared" ca="1" si="15"/>
        <v>351.79942714295754</v>
      </c>
      <c r="C89" s="171">
        <f t="shared" ca="1" si="20"/>
        <v>1165.83303917896</v>
      </c>
      <c r="D89" s="171">
        <f t="shared" ca="1" si="21"/>
        <v>1165.83303917896</v>
      </c>
      <c r="E89" s="196">
        <f t="shared" ca="1" si="22"/>
        <v>972.19765286251572</v>
      </c>
      <c r="F89" s="177">
        <f t="shared" ca="1" si="23"/>
        <v>-0.18163203520424887</v>
      </c>
      <c r="G89" s="177">
        <f t="shared" ca="1" si="24"/>
        <v>-0.18163203520424887</v>
      </c>
      <c r="H89" s="176">
        <f t="shared" ca="1" si="16"/>
        <v>-0.45388702700147915</v>
      </c>
      <c r="I89" s="171">
        <f t="shared" ca="1" si="25"/>
        <v>322.31286738839412</v>
      </c>
      <c r="J89" s="176">
        <f t="shared" ca="1" si="17"/>
        <v>0.25406179379980504</v>
      </c>
      <c r="K89" s="195">
        <f t="shared" ca="1" si="26"/>
        <v>589.38906762667796</v>
      </c>
      <c r="L89" s="195">
        <f t="shared" ca="1" si="27"/>
        <v>941.18849476963555</v>
      </c>
      <c r="M89" s="177">
        <f t="shared" ca="1" si="18"/>
        <v>0.81124677723816374</v>
      </c>
      <c r="N89" s="171">
        <f t="shared" ca="1" si="28"/>
        <v>1054.7290524192383</v>
      </c>
      <c r="O89" s="197"/>
      <c r="P89" s="107">
        <f t="shared" ca="1" si="29"/>
        <v>1</v>
      </c>
      <c r="Q89" s="107">
        <v>71</v>
      </c>
      <c r="AC89" s="197"/>
    </row>
    <row r="90" spans="1:29" x14ac:dyDescent="0.2">
      <c r="A90" s="192">
        <f t="shared" ca="1" si="19"/>
        <v>627.66418624528103</v>
      </c>
      <c r="B90" s="193">
        <f t="shared" ca="1" si="15"/>
        <v>729.07162942096056</v>
      </c>
      <c r="C90" s="171">
        <f t="shared" ca="1" si="20"/>
        <v>1169.9619449303918</v>
      </c>
      <c r="D90" s="171">
        <f t="shared" ca="1" si="21"/>
        <v>1169.9619449303918</v>
      </c>
      <c r="E90" s="196">
        <f t="shared" ca="1" si="22"/>
        <v>1770.0640641454138</v>
      </c>
      <c r="F90" s="177">
        <f t="shared" ca="1" si="23"/>
        <v>0.41404451778299933</v>
      </c>
      <c r="G90" s="177">
        <f t="shared" ca="1" si="24"/>
        <v>0.41404451778299933</v>
      </c>
      <c r="H90" s="176">
        <f t="shared" ca="1" si="16"/>
        <v>-0.61472479097953214</v>
      </c>
      <c r="I90" s="171">
        <f t="shared" ca="1" si="25"/>
        <v>310.37362071162158</v>
      </c>
      <c r="J90" s="176">
        <f t="shared" ca="1" si="17"/>
        <v>0.21631588201459598</v>
      </c>
      <c r="K90" s="195">
        <f t="shared" ca="1" si="26"/>
        <v>1142.3998779001327</v>
      </c>
      <c r="L90" s="195">
        <f t="shared" ca="1" si="27"/>
        <v>1871.4715073210932</v>
      </c>
      <c r="M90" s="177">
        <f t="shared" ca="1" si="18"/>
        <v>1.6714190987719311</v>
      </c>
      <c r="N90" s="171">
        <f t="shared" ca="1" si="28"/>
        <v>1057.6229968173461</v>
      </c>
      <c r="O90" s="197"/>
      <c r="P90" s="107">
        <f t="shared" ca="1" si="29"/>
        <v>1</v>
      </c>
      <c r="Q90" s="107">
        <v>72</v>
      </c>
      <c r="AC90" s="197"/>
    </row>
    <row r="91" spans="1:29" x14ac:dyDescent="0.2">
      <c r="A91" s="192">
        <f t="shared" ca="1" si="19"/>
        <v>368.0099719472139</v>
      </c>
      <c r="B91" s="193">
        <f t="shared" ca="1" si="15"/>
        <v>385.61797957803293</v>
      </c>
      <c r="C91" s="171">
        <f t="shared" ca="1" si="20"/>
        <v>1501.6820146020618</v>
      </c>
      <c r="D91" s="171">
        <f t="shared" ca="1" si="21"/>
        <v>1501.6820146020618</v>
      </c>
      <c r="E91" s="196">
        <f t="shared" ca="1" si="22"/>
        <v>1083.2114673080705</v>
      </c>
      <c r="F91" s="177">
        <f t="shared" ca="1" si="23"/>
        <v>-0.32665561331042714</v>
      </c>
      <c r="G91" s="177">
        <f t="shared" ca="1" si="24"/>
        <v>-0.32665561331042714</v>
      </c>
      <c r="H91" s="176">
        <f t="shared" ca="1" si="16"/>
        <v>-0.30341636996501609</v>
      </c>
      <c r="I91" s="171">
        <f t="shared" ca="1" si="25"/>
        <v>335.88793240665916</v>
      </c>
      <c r="J91" s="176">
        <f t="shared" ca="1" si="17"/>
        <v>0.29531665196196344</v>
      </c>
      <c r="K91" s="195">
        <f t="shared" ca="1" si="26"/>
        <v>715.2014953608566</v>
      </c>
      <c r="L91" s="195">
        <f t="shared" ca="1" si="27"/>
        <v>1100.8194749388895</v>
      </c>
      <c r="M91" s="177">
        <f t="shared" ca="1" si="18"/>
        <v>0.41203817437087825</v>
      </c>
      <c r="N91" s="171">
        <f t="shared" ca="1" si="28"/>
        <v>1241.6212563626109</v>
      </c>
      <c r="O91" s="197"/>
      <c r="P91" s="107">
        <f t="shared" ca="1" si="29"/>
        <v>1</v>
      </c>
      <c r="Q91" s="107">
        <v>73</v>
      </c>
      <c r="AC91" s="197"/>
    </row>
    <row r="92" spans="1:29" x14ac:dyDescent="0.2">
      <c r="A92" s="192">
        <f t="shared" ca="1" si="19"/>
        <v>301.16256453601926</v>
      </c>
      <c r="B92" s="193">
        <f t="shared" ca="1" si="15"/>
        <v>302.31754696589809</v>
      </c>
      <c r="C92" s="171">
        <f t="shared" ca="1" si="20"/>
        <v>1141.5018236246183</v>
      </c>
      <c r="D92" s="171">
        <f t="shared" ca="1" si="21"/>
        <v>1141.5018236246183</v>
      </c>
      <c r="E92" s="196">
        <f t="shared" ca="1" si="22"/>
        <v>1200.3260157594505</v>
      </c>
      <c r="F92" s="177">
        <f t="shared" ca="1" si="23"/>
        <v>5.0248415140132022E-2</v>
      </c>
      <c r="G92" s="177">
        <f t="shared" ca="1" si="24"/>
        <v>5.0248415140132022E-2</v>
      </c>
      <c r="H92" s="176">
        <f t="shared" ca="1" si="16"/>
        <v>0.10025495809339305</v>
      </c>
      <c r="I92" s="171">
        <f t="shared" ca="1" si="25"/>
        <v>389.02437735207252</v>
      </c>
      <c r="J92" s="176">
        <f t="shared" ca="1" si="17"/>
        <v>0.44218109050756277</v>
      </c>
      <c r="K92" s="195">
        <f t="shared" ca="1" si="26"/>
        <v>899.16345122343114</v>
      </c>
      <c r="L92" s="195">
        <f t="shared" ca="1" si="27"/>
        <v>1201.4809981893293</v>
      </c>
      <c r="M92" s="177">
        <f t="shared" ca="1" si="18"/>
        <v>1.136463050792327</v>
      </c>
      <c r="N92" s="171">
        <f t="shared" ca="1" si="28"/>
        <v>1037.4749399318318</v>
      </c>
      <c r="O92" s="197"/>
      <c r="P92" s="107">
        <f t="shared" ca="1" si="29"/>
        <v>1</v>
      </c>
      <c r="Q92" s="107">
        <v>74</v>
      </c>
      <c r="AC92" s="197"/>
    </row>
    <row r="93" spans="1:29" x14ac:dyDescent="0.2">
      <c r="A93" s="192">
        <f t="shared" ca="1" si="19"/>
        <v>261.94559718210758</v>
      </c>
      <c r="B93" s="193">
        <f t="shared" ca="1" si="15"/>
        <v>226.56814775959501</v>
      </c>
      <c r="C93" s="171">
        <f t="shared" ca="1" si="20"/>
        <v>998.73316007425615</v>
      </c>
      <c r="D93" s="171">
        <f t="shared" ca="1" si="21"/>
        <v>998.73316007425615</v>
      </c>
      <c r="E93" s="196">
        <f t="shared" ca="1" si="22"/>
        <v>512.27793964665489</v>
      </c>
      <c r="F93" s="177">
        <f t="shared" ca="1" si="23"/>
        <v>-0.66762030731469191</v>
      </c>
      <c r="G93" s="177">
        <f t="shared" ca="1" si="24"/>
        <v>-0.66762030731469191</v>
      </c>
      <c r="H93" s="176">
        <f t="shared" ca="1" si="16"/>
        <v>-1.2311853436976848E-2</v>
      </c>
      <c r="I93" s="171">
        <f t="shared" ca="1" si="25"/>
        <v>371.13518221968343</v>
      </c>
      <c r="J93" s="176">
        <f t="shared" ca="1" si="17"/>
        <v>0.39510545093742233</v>
      </c>
      <c r="K93" s="195">
        <f t="shared" ca="1" si="26"/>
        <v>250.33234246454731</v>
      </c>
      <c r="L93" s="195">
        <f t="shared" ca="1" si="27"/>
        <v>476.90049022414235</v>
      </c>
      <c r="M93" s="177">
        <f t="shared" ca="1" si="18"/>
        <v>0.45582990826623232</v>
      </c>
      <c r="N93" s="171">
        <f t="shared" ca="1" si="28"/>
        <v>930.0985466661117</v>
      </c>
      <c r="O93" s="197"/>
      <c r="P93" s="107">
        <f t="shared" ca="1" si="29"/>
        <v>1</v>
      </c>
      <c r="Q93" s="107">
        <v>75</v>
      </c>
      <c r="AC93" s="197"/>
    </row>
    <row r="94" spans="1:29" x14ac:dyDescent="0.2">
      <c r="A94" s="192">
        <f t="shared" ca="1" si="19"/>
        <v>292.97755392729215</v>
      </c>
      <c r="B94" s="193">
        <f t="shared" ca="1" si="15"/>
        <v>335.29305396106719</v>
      </c>
      <c r="C94" s="171">
        <f t="shared" ca="1" si="20"/>
        <v>903.42332378930564</v>
      </c>
      <c r="D94" s="171">
        <f t="shared" ca="1" si="21"/>
        <v>903.42332378930564</v>
      </c>
      <c r="E94" s="196">
        <f t="shared" ca="1" si="22"/>
        <v>715.79994199175701</v>
      </c>
      <c r="F94" s="177">
        <f t="shared" ca="1" si="23"/>
        <v>-0.23279052338263073</v>
      </c>
      <c r="G94" s="177">
        <f t="shared" ca="1" si="24"/>
        <v>-0.23279052338263073</v>
      </c>
      <c r="H94" s="176">
        <f t="shared" ca="1" si="16"/>
        <v>-0.15722489300635156</v>
      </c>
      <c r="I94" s="171">
        <f t="shared" ca="1" si="25"/>
        <v>351.87136316344152</v>
      </c>
      <c r="J94" s="176">
        <f t="shared" ca="1" si="17"/>
        <v>0.34180474538594485</v>
      </c>
      <c r="K94" s="195">
        <f t="shared" ca="1" si="26"/>
        <v>422.82238806446486</v>
      </c>
      <c r="L94" s="195">
        <f t="shared" ca="1" si="27"/>
        <v>758.11544202553205</v>
      </c>
      <c r="M94" s="177">
        <f t="shared" ca="1" si="18"/>
        <v>1.207789899452252</v>
      </c>
      <c r="N94" s="171">
        <f t="shared" ca="1" si="28"/>
        <v>853.44750744562111</v>
      </c>
      <c r="O94" s="197"/>
      <c r="P94" s="107">
        <f t="shared" ca="1" si="29"/>
        <v>1</v>
      </c>
      <c r="Q94" s="107">
        <v>76</v>
      </c>
      <c r="AC94" s="197"/>
    </row>
    <row r="95" spans="1:29" x14ac:dyDescent="0.2">
      <c r="A95" s="192">
        <f t="shared" ca="1" si="19"/>
        <v>324.23343080979822</v>
      </c>
      <c r="B95" s="193">
        <f t="shared" ca="1" si="15"/>
        <v>337.36660908656677</v>
      </c>
      <c r="C95" s="171">
        <f t="shared" ca="1" si="20"/>
        <v>979.57464761448693</v>
      </c>
      <c r="D95" s="171">
        <f t="shared" ca="1" si="21"/>
        <v>979.57464761448693</v>
      </c>
      <c r="E95" s="196">
        <f t="shared" ca="1" si="22"/>
        <v>1201.4394226736565</v>
      </c>
      <c r="F95" s="177">
        <f t="shared" ca="1" si="23"/>
        <v>0.20415719142423744</v>
      </c>
      <c r="G95" s="177">
        <f t="shared" ca="1" si="24"/>
        <v>0.20415719142423744</v>
      </c>
      <c r="H95" s="176">
        <f t="shared" ca="1" si="16"/>
        <v>-3.3260180025669259E-2</v>
      </c>
      <c r="I95" s="171">
        <f t="shared" ca="1" si="25"/>
        <v>368.10773781133406</v>
      </c>
      <c r="J95" s="176">
        <f t="shared" ca="1" si="17"/>
        <v>0.38691474325081138</v>
      </c>
      <c r="K95" s="195">
        <f t="shared" ca="1" si="26"/>
        <v>877.20599186385834</v>
      </c>
      <c r="L95" s="195">
        <f t="shared" ca="1" si="27"/>
        <v>1214.5726009504251</v>
      </c>
      <c r="M95" s="177">
        <f t="shared" ca="1" si="18"/>
        <v>1.287142587759845</v>
      </c>
      <c r="N95" s="171">
        <f t="shared" ca="1" si="28"/>
        <v>914.98146599979611</v>
      </c>
      <c r="O95" s="197"/>
      <c r="P95" s="107">
        <f t="shared" ca="1" si="29"/>
        <v>1</v>
      </c>
      <c r="Q95" s="107">
        <v>77</v>
      </c>
      <c r="AC95" s="197"/>
    </row>
    <row r="96" spans="1:29" x14ac:dyDescent="0.2">
      <c r="A96" s="192">
        <f t="shared" ca="1" si="19"/>
        <v>263.27062174530329</v>
      </c>
      <c r="B96" s="193">
        <f t="shared" ca="1" si="15"/>
        <v>246.109609590471</v>
      </c>
      <c r="C96" s="171">
        <f t="shared" ca="1" si="20"/>
        <v>1050.719336566731</v>
      </c>
      <c r="D96" s="171">
        <f t="shared" ca="1" si="21"/>
        <v>1050.719336566731</v>
      </c>
      <c r="E96" s="196">
        <f t="shared" ca="1" si="22"/>
        <v>723.81856554158333</v>
      </c>
      <c r="F96" s="177">
        <f t="shared" ca="1" si="23"/>
        <v>-0.37268953013463707</v>
      </c>
      <c r="G96" s="177">
        <f t="shared" ca="1" si="24"/>
        <v>-0.37268953013463707</v>
      </c>
      <c r="H96" s="176">
        <f t="shared" ca="1" si="16"/>
        <v>0.23136676932934477</v>
      </c>
      <c r="I96" s="171">
        <f t="shared" ca="1" si="25"/>
        <v>413.88554681382317</v>
      </c>
      <c r="J96" s="176">
        <f t="shared" ca="1" si="17"/>
        <v>0.50412856077035328</v>
      </c>
      <c r="K96" s="195">
        <f t="shared" ca="1" si="26"/>
        <v>460.54794379628004</v>
      </c>
      <c r="L96" s="195">
        <f t="shared" ca="1" si="27"/>
        <v>706.65755338675103</v>
      </c>
      <c r="M96" s="177">
        <f t="shared" ca="1" si="18"/>
        <v>0.73937598291236772</v>
      </c>
      <c r="N96" s="171">
        <f t="shared" ca="1" si="28"/>
        <v>970.32069655243401</v>
      </c>
      <c r="O96" s="197"/>
      <c r="P96" s="107">
        <f t="shared" ca="1" si="29"/>
        <v>1</v>
      </c>
      <c r="Q96" s="107">
        <v>78</v>
      </c>
      <c r="AC96" s="197"/>
    </row>
    <row r="97" spans="1:29" x14ac:dyDescent="0.2">
      <c r="A97" s="192">
        <f t="shared" ca="1" si="19"/>
        <v>283.29982248452387</v>
      </c>
      <c r="B97" s="193">
        <f t="shared" ca="1" si="15"/>
        <v>273.66902724738361</v>
      </c>
      <c r="C97" s="171">
        <f t="shared" ca="1" si="20"/>
        <v>906.79088016075207</v>
      </c>
      <c r="D97" s="171">
        <f t="shared" ca="1" si="21"/>
        <v>906.79088016075207</v>
      </c>
      <c r="E97" s="196">
        <f t="shared" ca="1" si="22"/>
        <v>640.77476025311091</v>
      </c>
      <c r="F97" s="177">
        <f t="shared" ca="1" si="23"/>
        <v>-0.34723385430681625</v>
      </c>
      <c r="G97" s="177">
        <f t="shared" ca="1" si="24"/>
        <v>-0.34723385430681625</v>
      </c>
      <c r="H97" s="176">
        <f t="shared" ca="1" si="16"/>
        <v>-0.14777096960829597</v>
      </c>
      <c r="I97" s="171">
        <f t="shared" ca="1" si="25"/>
        <v>353.0156471171872</v>
      </c>
      <c r="J97" s="176">
        <f t="shared" ca="1" si="17"/>
        <v>0.34505146419968924</v>
      </c>
      <c r="K97" s="195">
        <f t="shared" ca="1" si="26"/>
        <v>357.47493776858704</v>
      </c>
      <c r="L97" s="195">
        <f t="shared" ca="1" si="27"/>
        <v>631.14396501597071</v>
      </c>
      <c r="M97" s="177">
        <f t="shared" ca="1" si="18"/>
        <v>0.94175698613005587</v>
      </c>
      <c r="N97" s="171">
        <f t="shared" ca="1" si="28"/>
        <v>856.21528493042206</v>
      </c>
      <c r="O97" s="197"/>
      <c r="P97" s="107">
        <f t="shared" ca="1" si="29"/>
        <v>1</v>
      </c>
      <c r="Q97" s="107">
        <v>79</v>
      </c>
      <c r="AC97" s="197"/>
    </row>
    <row r="98" spans="1:29" x14ac:dyDescent="0.2">
      <c r="A98" s="192">
        <f t="shared" ca="1" si="19"/>
        <v>425.81298330160467</v>
      </c>
      <c r="B98" s="193">
        <f t="shared" ca="1" si="15"/>
        <v>460.85781843439406</v>
      </c>
      <c r="C98" s="171">
        <f t="shared" ca="1" si="20"/>
        <v>956.42842670454979</v>
      </c>
      <c r="D98" s="171">
        <f t="shared" ca="1" si="21"/>
        <v>956.42842670454979</v>
      </c>
      <c r="E98" s="196">
        <f t="shared" ca="1" si="22"/>
        <v>1017.03093626058</v>
      </c>
      <c r="F98" s="177">
        <f t="shared" ca="1" si="23"/>
        <v>6.1436856968364512E-2</v>
      </c>
      <c r="G98" s="177">
        <f t="shared" ca="1" si="24"/>
        <v>6.1436856968364512E-2</v>
      </c>
      <c r="H98" s="176">
        <f t="shared" ca="1" si="16"/>
        <v>-0.5880348534088049</v>
      </c>
      <c r="I98" s="171">
        <f t="shared" ca="1" si="25"/>
        <v>312.19500042092091</v>
      </c>
      <c r="J98" s="176">
        <f t="shared" ca="1" si="17"/>
        <v>0.22216707606434083</v>
      </c>
      <c r="K98" s="195">
        <f t="shared" ca="1" si="26"/>
        <v>591.21795295897527</v>
      </c>
      <c r="L98" s="195">
        <f t="shared" ca="1" si="27"/>
        <v>1052.0757713933695</v>
      </c>
      <c r="M98" s="177">
        <f t="shared" ca="1" si="18"/>
        <v>1.3466009702444059</v>
      </c>
      <c r="N98" s="171">
        <f t="shared" ca="1" si="28"/>
        <v>896.51739568078142</v>
      </c>
      <c r="O98" s="197"/>
      <c r="P98" s="107">
        <f t="shared" ca="1" si="29"/>
        <v>1</v>
      </c>
      <c r="Q98" s="107">
        <v>80</v>
      </c>
      <c r="AC98" s="197"/>
    </row>
    <row r="99" spans="1:29" x14ac:dyDescent="0.2">
      <c r="A99" s="192">
        <f t="shared" ca="1" si="19"/>
        <v>609.91307685605489</v>
      </c>
      <c r="B99" s="193">
        <f t="shared" ca="1" si="15"/>
        <v>521.23106258836617</v>
      </c>
      <c r="C99" s="171">
        <f t="shared" ca="1" si="20"/>
        <v>1246.6151286639276</v>
      </c>
      <c r="D99" s="171">
        <f t="shared" ca="1" si="21"/>
        <v>1246.6151286639276</v>
      </c>
      <c r="E99" s="196">
        <f t="shared" ca="1" si="22"/>
        <v>2509.1006548028599</v>
      </c>
      <c r="F99" s="177">
        <f t="shared" ca="1" si="23"/>
        <v>0.69949240281787595</v>
      </c>
      <c r="G99" s="177">
        <f t="shared" ca="1" si="24"/>
        <v>0.69949240281787595</v>
      </c>
      <c r="H99" s="176">
        <f t="shared" ca="1" si="16"/>
        <v>-0.32892418541893126</v>
      </c>
      <c r="I99" s="171">
        <f t="shared" ca="1" si="25"/>
        <v>333.39899274851706</v>
      </c>
      <c r="J99" s="176">
        <f t="shared" ca="1" si="17"/>
        <v>0.28787903129966469</v>
      </c>
      <c r="K99" s="195">
        <f t="shared" ca="1" si="26"/>
        <v>1899.187577946805</v>
      </c>
      <c r="L99" s="195">
        <f t="shared" ca="1" si="27"/>
        <v>2420.4186405351711</v>
      </c>
      <c r="M99" s="177">
        <f t="shared" ca="1" si="18"/>
        <v>1.6586062206025847</v>
      </c>
      <c r="N99" s="171">
        <f t="shared" ca="1" si="28"/>
        <v>1109.3949091014608</v>
      </c>
      <c r="O99" s="197">
        <f ca="1">MAX(A99:A113)/MIN(A99:A113)</f>
        <v>2.4046612610873876</v>
      </c>
      <c r="P99" s="107">
        <f t="shared" ca="1" si="29"/>
        <v>1</v>
      </c>
      <c r="Q99" s="107">
        <v>81</v>
      </c>
      <c r="AC99" s="197"/>
    </row>
    <row r="100" spans="1:29" x14ac:dyDescent="0.2">
      <c r="A100" s="192">
        <f t="shared" ca="1" si="19"/>
        <v>508.98295337294229</v>
      </c>
      <c r="B100" s="193">
        <f t="shared" ca="1" si="15"/>
        <v>513.02793657287305</v>
      </c>
      <c r="C100" s="171">
        <f t="shared" ca="1" si="20"/>
        <v>1485.3465235400893</v>
      </c>
      <c r="D100" s="171">
        <f t="shared" ca="1" si="21"/>
        <v>1485.3465235400893</v>
      </c>
      <c r="E100" s="196">
        <f t="shared" ca="1" si="22"/>
        <v>1640.8196488803155</v>
      </c>
      <c r="F100" s="177">
        <f t="shared" ca="1" si="23"/>
        <v>9.9547808669139981E-2</v>
      </c>
      <c r="G100" s="177">
        <f t="shared" ca="1" si="24"/>
        <v>9.9547808669139981E-2</v>
      </c>
      <c r="H100" s="176">
        <f t="shared" ca="1" si="16"/>
        <v>-0.43016978660709104</v>
      </c>
      <c r="I100" s="171">
        <f t="shared" ca="1" si="25"/>
        <v>324.2842287326618</v>
      </c>
      <c r="J100" s="176">
        <f t="shared" ca="1" si="17"/>
        <v>0.26015946254679351</v>
      </c>
      <c r="K100" s="195">
        <f t="shared" ca="1" si="26"/>
        <v>1131.8366955073732</v>
      </c>
      <c r="L100" s="195">
        <f t="shared" ca="1" si="27"/>
        <v>1644.8646320802463</v>
      </c>
      <c r="M100" s="177">
        <f t="shared" ca="1" si="18"/>
        <v>1.1492199275973867</v>
      </c>
      <c r="N100" s="171">
        <f t="shared" ca="1" si="28"/>
        <v>1236.0841204329286</v>
      </c>
      <c r="P100" s="107">
        <f t="shared" ca="1" si="29"/>
        <v>1</v>
      </c>
      <c r="Q100" s="107">
        <v>82</v>
      </c>
      <c r="AC100" s="197"/>
    </row>
    <row r="101" spans="1:29" x14ac:dyDescent="0.2">
      <c r="A101" s="192">
        <f t="shared" ca="1" si="19"/>
        <v>328.03514902807342</v>
      </c>
      <c r="B101" s="193">
        <f t="shared" ca="1" si="15"/>
        <v>352.50876466729676</v>
      </c>
      <c r="C101" s="171">
        <f t="shared" ca="1" si="20"/>
        <v>1371.1863214525704</v>
      </c>
      <c r="D101" s="171">
        <f t="shared" ca="1" si="21"/>
        <v>1371.1863214525704</v>
      </c>
      <c r="E101" s="196">
        <f t="shared" ca="1" si="22"/>
        <v>1190.6617629979924</v>
      </c>
      <c r="F101" s="177">
        <f t="shared" ca="1" si="23"/>
        <v>-0.14116703729326352</v>
      </c>
      <c r="G101" s="177">
        <f t="shared" ca="1" si="24"/>
        <v>-0.14116703729326352</v>
      </c>
      <c r="H101" s="176">
        <f t="shared" ca="1" si="16"/>
        <v>-5.7868429402712501E-2</v>
      </c>
      <c r="I101" s="171">
        <f t="shared" ca="1" si="25"/>
        <v>364.66187805051538</v>
      </c>
      <c r="J101" s="176">
        <f t="shared" ca="1" si="17"/>
        <v>0.37750964487681982</v>
      </c>
      <c r="K101" s="195">
        <f t="shared" ca="1" si="26"/>
        <v>862.62661396991894</v>
      </c>
      <c r="L101" s="195">
        <f t="shared" ca="1" si="27"/>
        <v>1215.1353786372156</v>
      </c>
      <c r="M101" s="177">
        <f t="shared" ca="1" si="18"/>
        <v>0.86228047136918584</v>
      </c>
      <c r="N101" s="171">
        <f t="shared" ca="1" si="28"/>
        <v>1183.8283574013662</v>
      </c>
      <c r="P101" s="107">
        <f t="shared" ca="1" si="29"/>
        <v>1</v>
      </c>
      <c r="Q101" s="107">
        <v>83</v>
      </c>
      <c r="AC101" s="197"/>
    </row>
    <row r="102" spans="1:29" x14ac:dyDescent="0.2">
      <c r="A102" s="192">
        <f t="shared" ca="1" si="19"/>
        <v>279.7443901869907</v>
      </c>
      <c r="B102" s="193">
        <f t="shared" ca="1" si="15"/>
        <v>318.52063108017143</v>
      </c>
      <c r="C102" s="171">
        <f t="shared" ca="1" si="20"/>
        <v>1059.0055806102907</v>
      </c>
      <c r="D102" s="171">
        <f t="shared" ca="1" si="21"/>
        <v>1059.0055806102907</v>
      </c>
      <c r="E102" s="196">
        <f t="shared" ca="1" si="22"/>
        <v>1134.7085189845679</v>
      </c>
      <c r="F102" s="177">
        <f t="shared" ca="1" si="23"/>
        <v>6.9045470180826005E-2</v>
      </c>
      <c r="G102" s="177">
        <f t="shared" ca="1" si="24"/>
        <v>6.9045470180826005E-2</v>
      </c>
      <c r="H102" s="176">
        <f t="shared" ca="1" si="16"/>
        <v>0.24204598785176171</v>
      </c>
      <c r="I102" s="171">
        <f t="shared" ca="1" si="25"/>
        <v>416.13179589928507</v>
      </c>
      <c r="J102" s="176">
        <f t="shared" ca="1" si="17"/>
        <v>0.50954110928867691</v>
      </c>
      <c r="K102" s="195">
        <f t="shared" ca="1" si="26"/>
        <v>854.96412879757725</v>
      </c>
      <c r="L102" s="195">
        <f t="shared" ca="1" si="27"/>
        <v>1173.4847598777487</v>
      </c>
      <c r="M102" s="177">
        <f t="shared" ca="1" si="18"/>
        <v>1.2026575420633225</v>
      </c>
      <c r="N102" s="171">
        <f t="shared" ca="1" si="28"/>
        <v>976.61907656614505</v>
      </c>
      <c r="P102" s="107">
        <f t="shared" ca="1" si="29"/>
        <v>1</v>
      </c>
      <c r="Q102" s="107">
        <v>84</v>
      </c>
      <c r="AC102" s="197"/>
    </row>
    <row r="103" spans="1:29" x14ac:dyDescent="0.2">
      <c r="A103" s="192">
        <f t="shared" ca="1" si="19"/>
        <v>283.42063914350473</v>
      </c>
      <c r="B103" s="193">
        <f t="shared" ca="1" si="15"/>
        <v>278.51542716846228</v>
      </c>
      <c r="C103" s="171">
        <f t="shared" ca="1" si="20"/>
        <v>947.78900019995717</v>
      </c>
      <c r="D103" s="171">
        <f t="shared" ca="1" si="21"/>
        <v>947.78900019995717</v>
      </c>
      <c r="E103" s="196">
        <f t="shared" ca="1" si="22"/>
        <v>869.32216789082304</v>
      </c>
      <c r="F103" s="177">
        <f t="shared" ca="1" si="23"/>
        <v>-8.6418113241014685E-2</v>
      </c>
      <c r="G103" s="177">
        <f t="shared" ca="1" si="24"/>
        <v>-8.6418113241014685E-2</v>
      </c>
      <c r="H103" s="176">
        <f t="shared" ca="1" si="16"/>
        <v>6.8180663190002058E-2</v>
      </c>
      <c r="I103" s="171">
        <f t="shared" ca="1" si="25"/>
        <v>383.63224503595376</v>
      </c>
      <c r="J103" s="176">
        <f t="shared" ca="1" si="17"/>
        <v>0.42822348062354049</v>
      </c>
      <c r="K103" s="195">
        <f t="shared" ca="1" si="26"/>
        <v>585.90152874731825</v>
      </c>
      <c r="L103" s="195">
        <f t="shared" ca="1" si="27"/>
        <v>864.41695591578059</v>
      </c>
      <c r="M103" s="177">
        <f t="shared" ca="1" si="18"/>
        <v>0.99836799158518963</v>
      </c>
      <c r="N103" s="171">
        <f t="shared" ca="1" si="28"/>
        <v>889.57086496554462</v>
      </c>
      <c r="P103" s="107">
        <f t="shared" ca="1" si="29"/>
        <v>1</v>
      </c>
      <c r="Q103" s="107">
        <v>85</v>
      </c>
      <c r="AC103" s="197"/>
    </row>
    <row r="104" spans="1:29" x14ac:dyDescent="0.2">
      <c r="A104" s="192">
        <f t="shared" ca="1" si="19"/>
        <v>322.83083079040148</v>
      </c>
      <c r="B104" s="193">
        <f t="shared" ca="1" si="15"/>
        <v>312.29093273619083</v>
      </c>
      <c r="C104" s="171">
        <f t="shared" ca="1" si="20"/>
        <v>956.72071247054009</v>
      </c>
      <c r="D104" s="171">
        <f t="shared" ca="1" si="21"/>
        <v>956.72071247054009</v>
      </c>
      <c r="E104" s="196">
        <f t="shared" ca="1" si="22"/>
        <v>909.72325160788705</v>
      </c>
      <c r="F104" s="177">
        <f t="shared" ca="1" si="23"/>
        <v>-5.0371078216394576E-2</v>
      </c>
      <c r="G104" s="177">
        <f t="shared" ca="1" si="24"/>
        <v>-5.0371078216394576E-2</v>
      </c>
      <c r="H104" s="176">
        <f t="shared" ca="1" si="16"/>
        <v>-0.20086724608731965</v>
      </c>
      <c r="I104" s="171">
        <f t="shared" ca="1" si="25"/>
        <v>346.77263193282369</v>
      </c>
      <c r="J104" s="176">
        <f t="shared" ca="1" si="17"/>
        <v>0.32720840793479133</v>
      </c>
      <c r="K104" s="195">
        <f t="shared" ca="1" si="26"/>
        <v>586.89242081748557</v>
      </c>
      <c r="L104" s="195">
        <f t="shared" ca="1" si="27"/>
        <v>899.1833535536764</v>
      </c>
      <c r="M104" s="177">
        <f t="shared" ca="1" si="18"/>
        <v>1.1720135148452464</v>
      </c>
      <c r="N104" s="171">
        <f t="shared" ca="1" si="28"/>
        <v>896.75189379761525</v>
      </c>
      <c r="P104" s="107">
        <f t="shared" ca="1" si="29"/>
        <v>1</v>
      </c>
      <c r="Q104" s="107">
        <v>86</v>
      </c>
      <c r="AC104" s="197"/>
    </row>
    <row r="105" spans="1:29" x14ac:dyDescent="0.2">
      <c r="A105" s="192">
        <f t="shared" ca="1" si="19"/>
        <v>307.6187442160512</v>
      </c>
      <c r="B105" s="193">
        <f t="shared" ca="1" si="15"/>
        <v>317.92861301095309</v>
      </c>
      <c r="C105" s="171">
        <f t="shared" ca="1" si="20"/>
        <v>1047.6424275215397</v>
      </c>
      <c r="D105" s="171">
        <f t="shared" ca="1" si="21"/>
        <v>1047.6424275215397</v>
      </c>
      <c r="E105" s="196">
        <f t="shared" ca="1" si="22"/>
        <v>1506.5956921121053</v>
      </c>
      <c r="F105" s="177">
        <f t="shared" ca="1" si="23"/>
        <v>0.3633102644957007</v>
      </c>
      <c r="G105" s="177">
        <f t="shared" ca="1" si="24"/>
        <v>0.3633102644957007</v>
      </c>
      <c r="H105" s="176">
        <f t="shared" ca="1" si="16"/>
        <v>0.16694656528135032</v>
      </c>
      <c r="I105" s="171">
        <f t="shared" ca="1" si="25"/>
        <v>401.07055761386891</v>
      </c>
      <c r="J105" s="176">
        <f t="shared" ca="1" si="17"/>
        <v>0.47267644811550602</v>
      </c>
      <c r="K105" s="195">
        <f t="shared" ca="1" si="26"/>
        <v>1198.9769478960541</v>
      </c>
      <c r="L105" s="195">
        <f t="shared" ca="1" si="27"/>
        <v>1516.9055609070072</v>
      </c>
      <c r="M105" s="177">
        <f t="shared" ca="1" si="18"/>
        <v>1.5804924935172993</v>
      </c>
      <c r="N105" s="171">
        <f t="shared" ca="1" si="28"/>
        <v>967.97381095541903</v>
      </c>
      <c r="P105" s="107">
        <f t="shared" ca="1" si="29"/>
        <v>1</v>
      </c>
      <c r="Q105" s="107">
        <v>87</v>
      </c>
      <c r="AC105" s="197"/>
    </row>
    <row r="106" spans="1:29" x14ac:dyDescent="0.2">
      <c r="A106" s="192">
        <f t="shared" ca="1" si="19"/>
        <v>293.20139315741898</v>
      </c>
      <c r="B106" s="193">
        <f t="shared" ca="1" si="15"/>
        <v>291.19913332545582</v>
      </c>
      <c r="C106" s="171">
        <f t="shared" ca="1" si="20"/>
        <v>1013.5785114366504</v>
      </c>
      <c r="D106" s="171">
        <f t="shared" ca="1" si="21"/>
        <v>1013.5785114366504</v>
      </c>
      <c r="E106" s="196">
        <f t="shared" ca="1" si="22"/>
        <v>1284.046520818295</v>
      </c>
      <c r="F106" s="177">
        <f t="shared" ca="1" si="23"/>
        <v>0.23652928621835351</v>
      </c>
      <c r="G106" s="177">
        <f t="shared" ca="1" si="24"/>
        <v>0.23652928621835351</v>
      </c>
      <c r="H106" s="176">
        <f t="shared" ca="1" si="16"/>
        <v>0.18668401814958702</v>
      </c>
      <c r="I106" s="171">
        <f t="shared" ca="1" si="25"/>
        <v>404.86734628581587</v>
      </c>
      <c r="J106" s="176">
        <f t="shared" ca="1" si="17"/>
        <v>0.48209855555631687</v>
      </c>
      <c r="K106" s="195">
        <f t="shared" ca="1" si="26"/>
        <v>990.84512766087596</v>
      </c>
      <c r="L106" s="195">
        <f t="shared" ca="1" si="27"/>
        <v>1282.0442609863317</v>
      </c>
      <c r="M106" s="177">
        <f t="shared" ca="1" si="18"/>
        <v>1.3943842916428077</v>
      </c>
      <c r="N106" s="171">
        <f t="shared" ca="1" si="28"/>
        <v>941.70572596771001</v>
      </c>
      <c r="P106" s="107">
        <f t="shared" ca="1" si="29"/>
        <v>1</v>
      </c>
      <c r="Q106" s="107">
        <v>88</v>
      </c>
      <c r="AC106" s="197"/>
    </row>
    <row r="107" spans="1:29" x14ac:dyDescent="0.2">
      <c r="A107" s="192">
        <f t="shared" ca="1" si="19"/>
        <v>253.63783528506309</v>
      </c>
      <c r="B107" s="193">
        <f t="shared" ca="1" si="15"/>
        <v>296.38378744944276</v>
      </c>
      <c r="C107" s="171">
        <f t="shared" ca="1" si="20"/>
        <v>980.10364708507029</v>
      </c>
      <c r="D107" s="171">
        <f t="shared" ca="1" si="21"/>
        <v>980.10364708507029</v>
      </c>
      <c r="E107" s="196">
        <f t="shared" ca="1" si="22"/>
        <v>559.21719500578683</v>
      </c>
      <c r="F107" s="177">
        <f t="shared" ca="1" si="23"/>
        <v>-0.56112038866198932</v>
      </c>
      <c r="G107" s="177">
        <f t="shared" ca="1" si="24"/>
        <v>-0.56112038866198932</v>
      </c>
      <c r="H107" s="176">
        <f t="shared" ca="1" si="16"/>
        <v>0.33808836149000765</v>
      </c>
      <c r="I107" s="171">
        <f t="shared" ca="1" si="25"/>
        <v>438.06472765994386</v>
      </c>
      <c r="J107" s="176">
        <f t="shared" ca="1" si="17"/>
        <v>0.56090576164133843</v>
      </c>
      <c r="K107" s="195">
        <f t="shared" ca="1" si="26"/>
        <v>305.57935972072374</v>
      </c>
      <c r="L107" s="195">
        <f t="shared" ca="1" si="27"/>
        <v>601.96314717016651</v>
      </c>
      <c r="M107" s="177">
        <f t="shared" ca="1" si="18"/>
        <v>0.72618888600908549</v>
      </c>
      <c r="N107" s="171">
        <f t="shared" ca="1" si="28"/>
        <v>915.40091771135258</v>
      </c>
      <c r="P107" s="107">
        <f t="shared" ca="1" si="29"/>
        <v>1</v>
      </c>
      <c r="Q107" s="107">
        <v>89</v>
      </c>
      <c r="AC107" s="197"/>
    </row>
    <row r="108" spans="1:29" x14ac:dyDescent="0.2">
      <c r="A108" s="192">
        <f t="shared" ca="1" si="19"/>
        <v>283.27061185909446</v>
      </c>
      <c r="B108" s="193">
        <f t="shared" ca="1" si="15"/>
        <v>236.06099242123653</v>
      </c>
      <c r="C108" s="171">
        <f t="shared" ca="1" si="20"/>
        <v>882.06836903414592</v>
      </c>
      <c r="D108" s="171">
        <f t="shared" ca="1" si="21"/>
        <v>882.06836903414592</v>
      </c>
      <c r="E108" s="196">
        <f t="shared" ca="1" si="22"/>
        <v>662.3249325246918</v>
      </c>
      <c r="F108" s="177">
        <f t="shared" ca="1" si="23"/>
        <v>-0.28651329876778042</v>
      </c>
      <c r="G108" s="177">
        <f t="shared" ca="1" si="24"/>
        <v>-0.28651329876778042</v>
      </c>
      <c r="H108" s="176">
        <f t="shared" ca="1" si="16"/>
        <v>-0.1195592453575231</v>
      </c>
      <c r="I108" s="171">
        <f t="shared" ca="1" si="25"/>
        <v>356.5182721197076</v>
      </c>
      <c r="J108" s="176">
        <f t="shared" ca="1" si="17"/>
        <v>0.35492457487138113</v>
      </c>
      <c r="K108" s="195">
        <f t="shared" ca="1" si="26"/>
        <v>379.05432066559734</v>
      </c>
      <c r="L108" s="195">
        <f t="shared" ca="1" si="27"/>
        <v>615.11531308683391</v>
      </c>
      <c r="M108" s="177">
        <f t="shared" ca="1" si="18"/>
        <v>0.7301545574724384</v>
      </c>
      <c r="N108" s="171">
        <f t="shared" ca="1" si="28"/>
        <v>835.80016732144782</v>
      </c>
      <c r="P108" s="107">
        <f t="shared" ca="1" si="29"/>
        <v>1</v>
      </c>
      <c r="Q108" s="107">
        <v>90</v>
      </c>
      <c r="AC108" s="197"/>
    </row>
    <row r="109" spans="1:29" x14ac:dyDescent="0.2">
      <c r="A109" s="192">
        <f t="shared" ca="1" si="19"/>
        <v>335.25539738529108</v>
      </c>
      <c r="B109" s="193">
        <f t="shared" ca="1" si="15"/>
        <v>394.02056691464537</v>
      </c>
      <c r="C109" s="171">
        <f t="shared" ca="1" si="20"/>
        <v>956.35774618482299</v>
      </c>
      <c r="D109" s="171">
        <f t="shared" ca="1" si="21"/>
        <v>956.35774618482299</v>
      </c>
      <c r="E109" s="196">
        <f t="shared" ca="1" si="22"/>
        <v>1086.0728244928484</v>
      </c>
      <c r="F109" s="177">
        <f t="shared" ca="1" si="23"/>
        <v>0.12719150124753881</v>
      </c>
      <c r="G109" s="177">
        <f t="shared" ca="1" si="24"/>
        <v>0.12719150124753881</v>
      </c>
      <c r="H109" s="176">
        <f t="shared" ca="1" si="16"/>
        <v>-0.14992573782825</v>
      </c>
      <c r="I109" s="171">
        <f t="shared" ca="1" si="25"/>
        <v>352.75355780722163</v>
      </c>
      <c r="J109" s="176">
        <f t="shared" ca="1" si="17"/>
        <v>0.34430875873681394</v>
      </c>
      <c r="K109" s="195">
        <f t="shared" ca="1" si="26"/>
        <v>750.81742710755736</v>
      </c>
      <c r="L109" s="195">
        <f t="shared" ca="1" si="27"/>
        <v>1144.8379940222028</v>
      </c>
      <c r="M109" s="177">
        <f t="shared" ca="1" si="18"/>
        <v>1.5789282019427775</v>
      </c>
      <c r="N109" s="171">
        <f t="shared" ca="1" si="28"/>
        <v>896.46068428993249</v>
      </c>
      <c r="P109" s="107">
        <f t="shared" ca="1" si="29"/>
        <v>1</v>
      </c>
      <c r="Q109" s="107">
        <v>91</v>
      </c>
      <c r="AC109" s="197"/>
    </row>
    <row r="110" spans="1:29" x14ac:dyDescent="0.2">
      <c r="A110" s="192">
        <f t="shared" ca="1" si="19"/>
        <v>327.43459849124326</v>
      </c>
      <c r="B110" s="193">
        <f t="shared" ca="1" si="15"/>
        <v>408.28161654883172</v>
      </c>
      <c r="C110" s="171">
        <f t="shared" ca="1" si="20"/>
        <v>1074.5284833821199</v>
      </c>
      <c r="D110" s="171">
        <f t="shared" ca="1" si="21"/>
        <v>1074.5284833821199</v>
      </c>
      <c r="E110" s="196">
        <f t="shared" ca="1" si="22"/>
        <v>704.20263679513482</v>
      </c>
      <c r="F110" s="177">
        <f t="shared" ca="1" si="23"/>
        <v>-0.42257107313233816</v>
      </c>
      <c r="G110" s="177">
        <f t="shared" ca="1" si="24"/>
        <v>-0.42257107313233816</v>
      </c>
      <c r="H110" s="176">
        <f t="shared" ca="1" si="16"/>
        <v>-0.4495624273561607</v>
      </c>
      <c r="I110" s="171">
        <f t="shared" ca="1" si="25"/>
        <v>322.66795984556029</v>
      </c>
      <c r="J110" s="176">
        <f t="shared" ca="1" si="17"/>
        <v>0.25516288852401708</v>
      </c>
      <c r="K110" s="195">
        <f t="shared" ca="1" si="26"/>
        <v>376.76803830389156</v>
      </c>
      <c r="L110" s="195">
        <f t="shared" ca="1" si="27"/>
        <v>785.04965485272328</v>
      </c>
      <c r="M110" s="177">
        <f t="shared" ca="1" si="18"/>
        <v>0.68934386214485344</v>
      </c>
      <c r="N110" s="171">
        <f t="shared" ca="1" si="28"/>
        <v>988.33071958871278</v>
      </c>
      <c r="P110" s="107">
        <f t="shared" ca="1" si="29"/>
        <v>1</v>
      </c>
      <c r="Q110" s="107">
        <v>92</v>
      </c>
      <c r="AC110" s="197"/>
    </row>
    <row r="111" spans="1:29" x14ac:dyDescent="0.2">
      <c r="A111" s="192">
        <f t="shared" ca="1" si="19"/>
        <v>255.27821040138591</v>
      </c>
      <c r="B111" s="193">
        <f t="shared" ca="1" si="15"/>
        <v>252.92147366762896</v>
      </c>
      <c r="C111" s="171">
        <f t="shared" ca="1" si="20"/>
        <v>1057.7018182345328</v>
      </c>
      <c r="D111" s="171">
        <f t="shared" ca="1" si="21"/>
        <v>1057.7018182345328</v>
      </c>
      <c r="E111" s="196">
        <f t="shared" ca="1" si="22"/>
        <v>519.15891855604184</v>
      </c>
      <c r="F111" s="177">
        <f t="shared" ca="1" si="23"/>
        <v>-0.71164369962561302</v>
      </c>
      <c r="G111" s="177">
        <f t="shared" ca="1" si="24"/>
        <v>-0.71164369962561302</v>
      </c>
      <c r="H111" s="176">
        <f t="shared" ca="1" si="16"/>
        <v>0.19967401105805455</v>
      </c>
      <c r="I111" s="171">
        <f t="shared" ca="1" si="25"/>
        <v>407.42740988677173</v>
      </c>
      <c r="J111" s="176">
        <f t="shared" ca="1" si="17"/>
        <v>0.48840186370351735</v>
      </c>
      <c r="K111" s="195">
        <f t="shared" ca="1" si="26"/>
        <v>263.88070815465596</v>
      </c>
      <c r="L111" s="195">
        <f t="shared" ca="1" si="27"/>
        <v>516.80218182228487</v>
      </c>
      <c r="M111" s="177">
        <f t="shared" ca="1" si="18"/>
        <v>0.23570300131212221</v>
      </c>
      <c r="N111" s="171">
        <f t="shared" ca="1" si="28"/>
        <v>975.63021440332273</v>
      </c>
      <c r="P111" s="107">
        <f t="shared" ca="1" si="29"/>
        <v>1</v>
      </c>
      <c r="Q111" s="107">
        <v>93</v>
      </c>
      <c r="AC111" s="197"/>
    </row>
    <row r="112" spans="1:29" x14ac:dyDescent="0.2">
      <c r="A112" s="192">
        <f t="shared" ca="1" si="19"/>
        <v>290.85003068050594</v>
      </c>
      <c r="B112" s="193">
        <f t="shared" ca="1" si="15"/>
        <v>283.84214845609046</v>
      </c>
      <c r="C112" s="171">
        <f t="shared" ca="1" si="20"/>
        <v>886.31796323495223</v>
      </c>
      <c r="D112" s="171">
        <f t="shared" ca="1" si="21"/>
        <v>886.31796323495223</v>
      </c>
      <c r="E112" s="196">
        <f t="shared" ca="1" si="22"/>
        <v>410.65638739279285</v>
      </c>
      <c r="F112" s="177">
        <f t="shared" ca="1" si="23"/>
        <v>-0.76931893679515861</v>
      </c>
      <c r="G112" s="177">
        <f t="shared" ca="1" si="24"/>
        <v>-0.76931893679515861</v>
      </c>
      <c r="H112" s="176">
        <f t="shared" ca="1" si="16"/>
        <v>-0.87812559819123104</v>
      </c>
      <c r="I112" s="171">
        <f t="shared" ca="1" si="25"/>
        <v>295.20952607611781</v>
      </c>
      <c r="J112" s="176">
        <f t="shared" ca="1" si="17"/>
        <v>0.16622444424895697</v>
      </c>
      <c r="K112" s="195">
        <f t="shared" ca="1" si="26"/>
        <v>119.80635671228691</v>
      </c>
      <c r="L112" s="195">
        <f t="shared" ca="1" si="27"/>
        <v>403.64850516837737</v>
      </c>
      <c r="M112" s="177">
        <f t="shared" ca="1" si="18"/>
        <v>0.46746540275851772</v>
      </c>
      <c r="N112" s="171">
        <f t="shared" ca="1" si="28"/>
        <v>839.32502084866439</v>
      </c>
      <c r="P112" s="107">
        <f t="shared" ca="1" si="29"/>
        <v>1</v>
      </c>
      <c r="Q112" s="107">
        <v>94</v>
      </c>
      <c r="AC112" s="197"/>
    </row>
    <row r="113" spans="1:29" x14ac:dyDescent="0.2">
      <c r="A113" s="192">
        <f t="shared" ca="1" si="19"/>
        <v>262.78797111770746</v>
      </c>
      <c r="B113" s="193">
        <f t="shared" ca="1" si="15"/>
        <v>294.87182224380632</v>
      </c>
      <c r="C113" s="171">
        <f t="shared" ca="1" si="20"/>
        <v>974.53237948376534</v>
      </c>
      <c r="D113" s="171">
        <f t="shared" ca="1" si="21"/>
        <v>974.53237948376534</v>
      </c>
      <c r="E113" s="196">
        <f t="shared" ca="1" si="22"/>
        <v>517.03534385530929</v>
      </c>
      <c r="F113" s="177">
        <f t="shared" ca="1" si="23"/>
        <v>-0.63384650963366573</v>
      </c>
      <c r="G113" s="177">
        <f t="shared" ca="1" si="24"/>
        <v>-0.63384650963366573</v>
      </c>
      <c r="H113" s="176">
        <f t="shared" ca="1" si="16"/>
        <v>-2.2454622132637145E-2</v>
      </c>
      <c r="I113" s="171">
        <f t="shared" ca="1" si="25"/>
        <v>369.65833512686095</v>
      </c>
      <c r="J113" s="176">
        <f t="shared" ca="1" si="17"/>
        <v>0.39111824258639016</v>
      </c>
      <c r="K113" s="195">
        <f t="shared" ca="1" si="26"/>
        <v>254.24737273760184</v>
      </c>
      <c r="L113" s="195">
        <f t="shared" ca="1" si="27"/>
        <v>549.1191949814081</v>
      </c>
      <c r="M113" s="177">
        <f t="shared" ca="1" si="18"/>
        <v>0.6598972624995072</v>
      </c>
      <c r="N113" s="171">
        <f t="shared" ca="1" si="28"/>
        <v>910.97762636982816</v>
      </c>
      <c r="P113" s="107">
        <f t="shared" ca="1" si="29"/>
        <v>1</v>
      </c>
      <c r="Q113" s="107">
        <v>95</v>
      </c>
      <c r="AC113" s="197"/>
    </row>
    <row r="114" spans="1:29" x14ac:dyDescent="0.2">
      <c r="A114" s="192">
        <f t="shared" ca="1" si="19"/>
        <v>268.5008153165241</v>
      </c>
      <c r="B114" s="193">
        <f t="shared" ca="1" si="15"/>
        <v>250.54850584769449</v>
      </c>
      <c r="C114" s="171">
        <f t="shared" ca="1" si="20"/>
        <v>905.56543842975157</v>
      </c>
      <c r="D114" s="171">
        <f t="shared" ca="1" si="21"/>
        <v>905.56543842975157</v>
      </c>
      <c r="E114" s="196">
        <f t="shared" ca="1" si="22"/>
        <v>545.58336618250542</v>
      </c>
      <c r="F114" s="177">
        <f t="shared" ca="1" si="23"/>
        <v>-0.50670392358018745</v>
      </c>
      <c r="G114" s="177">
        <f t="shared" ca="1" si="24"/>
        <v>-0.50670392358018745</v>
      </c>
      <c r="H114" s="176">
        <f t="shared" ca="1" si="16"/>
        <v>-8.3664583120009739E-2</v>
      </c>
      <c r="I114" s="171">
        <f t="shared" ca="1" si="25"/>
        <v>361.17290254747212</v>
      </c>
      <c r="J114" s="176">
        <f t="shared" ca="1" si="17"/>
        <v>0.36789588023370479</v>
      </c>
      <c r="K114" s="195">
        <f t="shared" ca="1" si="26"/>
        <v>277.08255086598132</v>
      </c>
      <c r="L114" s="195">
        <f t="shared" ca="1" si="27"/>
        <v>527.63105671367578</v>
      </c>
      <c r="M114" s="177">
        <f t="shared" ca="1" si="18"/>
        <v>0.58185652218973549</v>
      </c>
      <c r="N114" s="171">
        <f t="shared" ca="1" si="28"/>
        <v>855.20858221295543</v>
      </c>
      <c r="P114" s="107">
        <f t="shared" ca="1" si="29"/>
        <v>1</v>
      </c>
      <c r="Q114" s="107">
        <v>96</v>
      </c>
      <c r="AC114" s="197"/>
    </row>
    <row r="115" spans="1:29" x14ac:dyDescent="0.2">
      <c r="A115" s="192">
        <f t="shared" ca="1" si="19"/>
        <v>261.56877295884959</v>
      </c>
      <c r="B115" s="193">
        <f t="shared" ca="1" si="15"/>
        <v>303.04446855596007</v>
      </c>
      <c r="C115" s="171">
        <f t="shared" ca="1" si="20"/>
        <v>919.98110812765697</v>
      </c>
      <c r="D115" s="171">
        <f t="shared" ca="1" si="21"/>
        <v>919.98110812765697</v>
      </c>
      <c r="E115" s="196">
        <f t="shared" ca="1" si="22"/>
        <v>640.64297227320924</v>
      </c>
      <c r="F115" s="177">
        <f ca="1">LN(E115/C115)</f>
        <v>-0.36188081897500562</v>
      </c>
      <c r="G115" s="177">
        <f t="shared" ca="1" si="24"/>
        <v>-0.36188081897500562</v>
      </c>
      <c r="H115" s="176">
        <f t="shared" ca="1" si="16"/>
        <v>0.18706277947658845</v>
      </c>
      <c r="I115" s="171">
        <f t="shared" ca="1" si="25"/>
        <v>404.94129593526958</v>
      </c>
      <c r="J115" s="176">
        <f t="shared" ca="1" si="17"/>
        <v>0.48228119043029505</v>
      </c>
      <c r="K115" s="195">
        <f t="shared" ca="1" si="26"/>
        <v>379.07419931435965</v>
      </c>
      <c r="L115" s="195">
        <f t="shared" ca="1" si="27"/>
        <v>682.11866787031977</v>
      </c>
      <c r="M115" s="177">
        <f t="shared" ca="1" si="18"/>
        <v>1.0015511046186971</v>
      </c>
      <c r="N115" s="171">
        <f t="shared" ca="1" si="28"/>
        <v>867.01592119617044</v>
      </c>
      <c r="P115" s="107">
        <f t="shared" ca="1" si="29"/>
        <v>1</v>
      </c>
      <c r="Q115" s="107">
        <v>97</v>
      </c>
      <c r="AC115" s="197"/>
    </row>
    <row r="116" spans="1:29" x14ac:dyDescent="0.2">
      <c r="A116" s="192">
        <f t="shared" ca="1" si="19"/>
        <v>289.92692220583342</v>
      </c>
      <c r="B116" s="193">
        <f t="shared" ca="1" si="15"/>
        <v>260.75489884989889</v>
      </c>
      <c r="C116" s="171">
        <f t="shared" ca="1" si="20"/>
        <v>902.46370206146378</v>
      </c>
      <c r="D116" s="171">
        <f t="shared" ca="1" si="21"/>
        <v>902.46370206146378</v>
      </c>
      <c r="E116" s="196">
        <f t="shared" ca="1" si="22"/>
        <v>873.1799288731778</v>
      </c>
      <c r="F116" s="177">
        <f ca="1">LN(E116/C116)</f>
        <v>-3.2986831379680878E-2</v>
      </c>
      <c r="G116" s="177">
        <f t="shared" ca="1" si="24"/>
        <v>-3.2986831379680878E-2</v>
      </c>
      <c r="H116" s="176">
        <f t="shared" ca="1" si="16"/>
        <v>9.9545409876924916E-3</v>
      </c>
      <c r="I116" s="171">
        <f t="shared" ca="1" si="25"/>
        <v>374.45162364298398</v>
      </c>
      <c r="J116" s="176">
        <f t="shared" ca="1" si="17"/>
        <v>0.40400170089792842</v>
      </c>
      <c r="K116" s="195">
        <f t="shared" ca="1" si="26"/>
        <v>583.25300666734438</v>
      </c>
      <c r="L116" s="195">
        <f t="shared" ca="1" si="27"/>
        <v>844.00790551724322</v>
      </c>
      <c r="M116" s="177">
        <f t="shared" ca="1" si="18"/>
        <v>1.0242823056268815</v>
      </c>
      <c r="N116" s="171">
        <f t="shared" ca="1" si="28"/>
        <v>852.65803847114205</v>
      </c>
      <c r="P116" s="107">
        <f t="shared" ca="1" si="29"/>
        <v>1</v>
      </c>
      <c r="Q116" s="107">
        <v>98</v>
      </c>
      <c r="AC116" s="197"/>
    </row>
    <row r="117" spans="1:29" x14ac:dyDescent="0.2">
      <c r="A117" s="192">
        <f t="shared" ca="1" si="19"/>
        <v>521.45685423218492</v>
      </c>
      <c r="B117" s="193">
        <f t="shared" ca="1" si="15"/>
        <v>510.03362345899853</v>
      </c>
      <c r="C117" s="171">
        <f t="shared" ca="1" si="20"/>
        <v>972.33653759113963</v>
      </c>
      <c r="D117" s="171">
        <f t="shared" ca="1" si="21"/>
        <v>972.33653759113963</v>
      </c>
      <c r="E117" s="196">
        <f t="shared" ca="1" si="22"/>
        <v>1587.9605270000511</v>
      </c>
      <c r="F117" s="177">
        <f ca="1">LN(E117/C117)</f>
        <v>0.49050380781968445</v>
      </c>
      <c r="G117" s="177">
        <f t="shared" ca="1" si="24"/>
        <v>0.49050380781968445</v>
      </c>
      <c r="H117" s="176">
        <f t="shared" ca="1" si="16"/>
        <v>-0.48358631465319757</v>
      </c>
      <c r="I117" s="171">
        <f t="shared" ca="1" si="25"/>
        <v>319.92551517477926</v>
      </c>
      <c r="J117" s="176">
        <f t="shared" ca="1" si="17"/>
        <v>0.24662728575871556</v>
      </c>
      <c r="K117" s="195">
        <f t="shared" ca="1" si="26"/>
        <v>1066.5036727678662</v>
      </c>
      <c r="L117" s="195">
        <f t="shared" ca="1" si="27"/>
        <v>1576.5372962268648</v>
      </c>
      <c r="M117" s="177">
        <f t="shared" ca="1" si="18"/>
        <v>1.7994052550782953</v>
      </c>
      <c r="N117" s="171">
        <f t="shared" ca="1" si="28"/>
        <v>909.23076741068394</v>
      </c>
      <c r="P117" s="107">
        <f t="shared" ca="1" si="29"/>
        <v>1</v>
      </c>
      <c r="Q117" s="107">
        <v>99</v>
      </c>
      <c r="AC117" s="197"/>
    </row>
    <row r="118" spans="1:29" x14ac:dyDescent="0.2">
      <c r="A118" s="192">
        <f t="shared" ca="1" si="19"/>
        <v>280.43670894986724</v>
      </c>
      <c r="B118" s="193">
        <f t="shared" ca="1" si="15"/>
        <v>327.95651490035539</v>
      </c>
      <c r="C118" s="171">
        <f t="shared" ca="1" si="20"/>
        <v>1387.3762921172372</v>
      </c>
      <c r="D118" s="171">
        <f t="shared" ca="1" si="21"/>
        <v>1387.3762921172372</v>
      </c>
      <c r="E118" s="196">
        <f t="shared" ca="1" si="22"/>
        <v>880.58907644974477</v>
      </c>
      <c r="F118" s="177">
        <f ca="1">LN(E118/C118)</f>
        <v>-0.454578594234128</v>
      </c>
      <c r="G118" s="177">
        <f t="shared" ca="1" si="24"/>
        <v>-0.454578594234128</v>
      </c>
      <c r="H118" s="176">
        <f t="shared" ca="1" si="16"/>
        <v>0.10611764972555965</v>
      </c>
      <c r="I118" s="171">
        <f t="shared" ca="1" si="25"/>
        <v>390.03715107686867</v>
      </c>
      <c r="J118" s="176">
        <f t="shared" ca="1" si="17"/>
        <v>0.4447810758960371</v>
      </c>
      <c r="K118" s="195">
        <f t="shared" ca="1" si="26"/>
        <v>600.15236749987753</v>
      </c>
      <c r="L118" s="195">
        <f t="shared" ca="1" si="27"/>
        <v>928.10888240023291</v>
      </c>
      <c r="M118" s="177">
        <f t="shared" ca="1" si="18"/>
        <v>0.59867240418004819</v>
      </c>
      <c r="N118" s="171">
        <f t="shared" ca="1" si="28"/>
        <v>1192.3741756103086</v>
      </c>
      <c r="P118" s="107">
        <f t="shared" ca="1" si="29"/>
        <v>1</v>
      </c>
      <c r="Q118" s="107">
        <v>100</v>
      </c>
      <c r="AC118" s="197"/>
    </row>
    <row r="119" spans="1:29" x14ac:dyDescent="0.2">
      <c r="A119" s="192"/>
      <c r="B119" s="193"/>
      <c r="C119" s="171"/>
      <c r="D119" s="171"/>
      <c r="E119" s="196"/>
      <c r="F119" s="177"/>
      <c r="G119" s="177"/>
      <c r="I119" s="171"/>
      <c r="J119" s="201"/>
      <c r="K119" s="195"/>
      <c r="L119" s="195"/>
      <c r="M119" s="177"/>
      <c r="N119" s="171"/>
      <c r="AC119" s="197"/>
    </row>
    <row r="120" spans="1:29" x14ac:dyDescent="0.2">
      <c r="A120" s="192"/>
      <c r="B120" s="193"/>
      <c r="C120" s="171"/>
      <c r="D120" s="171"/>
      <c r="E120" s="196"/>
      <c r="F120" s="177"/>
      <c r="G120" s="177"/>
      <c r="I120" s="171"/>
      <c r="J120" s="201"/>
      <c r="K120" s="195"/>
      <c r="L120" s="195"/>
      <c r="M120" s="177"/>
      <c r="N120" s="171"/>
      <c r="AC120" s="197"/>
    </row>
    <row r="121" spans="1:29" x14ac:dyDescent="0.2">
      <c r="A121" s="192"/>
      <c r="B121" s="193"/>
      <c r="C121" s="171"/>
      <c r="D121" s="171"/>
      <c r="E121" s="196"/>
      <c r="F121" s="177"/>
      <c r="G121" s="177"/>
      <c r="I121" s="171"/>
      <c r="J121" s="201"/>
      <c r="K121" s="195"/>
      <c r="L121" s="195"/>
      <c r="M121" s="177"/>
      <c r="N121" s="171"/>
      <c r="AC121" s="197"/>
    </row>
    <row r="122" spans="1:29" x14ac:dyDescent="0.2">
      <c r="A122" s="192"/>
      <c r="B122" s="193"/>
      <c r="C122" s="171"/>
      <c r="D122" s="171"/>
      <c r="E122" s="196"/>
      <c r="F122" s="177"/>
      <c r="G122" s="177"/>
      <c r="I122" s="171"/>
      <c r="J122" s="201"/>
      <c r="K122" s="195"/>
      <c r="L122" s="195"/>
      <c r="M122" s="177"/>
      <c r="N122" s="171"/>
      <c r="AC122" s="197"/>
    </row>
    <row r="123" spans="1:29" x14ac:dyDescent="0.2">
      <c r="A123" s="192"/>
      <c r="B123" s="193"/>
      <c r="C123" s="171"/>
      <c r="D123" s="171"/>
      <c r="E123" s="196"/>
      <c r="F123" s="177"/>
      <c r="G123" s="177"/>
      <c r="I123" s="171"/>
      <c r="J123" s="201"/>
      <c r="K123" s="195"/>
      <c r="L123" s="195"/>
      <c r="M123" s="177"/>
      <c r="N123" s="171"/>
      <c r="AC123" s="197"/>
    </row>
    <row r="124" spans="1:29" x14ac:dyDescent="0.2">
      <c r="A124" s="192"/>
      <c r="B124" s="193"/>
      <c r="C124" s="171"/>
      <c r="D124" s="171"/>
      <c r="E124" s="196"/>
      <c r="F124" s="177"/>
      <c r="G124" s="177"/>
      <c r="I124" s="171"/>
      <c r="J124" s="201"/>
      <c r="K124" s="195"/>
      <c r="L124" s="195"/>
      <c r="M124" s="177"/>
      <c r="N124" s="171"/>
      <c r="AC124" s="197"/>
    </row>
    <row r="125" spans="1:29" x14ac:dyDescent="0.2">
      <c r="A125" s="192"/>
      <c r="B125" s="193"/>
      <c r="C125" s="171"/>
      <c r="D125" s="171"/>
      <c r="E125" s="196"/>
      <c r="F125" s="177"/>
      <c r="G125" s="177"/>
      <c r="I125" s="171"/>
      <c r="J125" s="201"/>
      <c r="K125" s="195"/>
      <c r="L125" s="195"/>
      <c r="M125" s="177"/>
      <c r="N125" s="171"/>
      <c r="AC125" s="197"/>
    </row>
    <row r="126" spans="1:29" x14ac:dyDescent="0.2">
      <c r="A126" s="192"/>
      <c r="B126" s="193"/>
      <c r="C126" s="171"/>
      <c r="D126" s="171"/>
      <c r="E126" s="196"/>
      <c r="F126" s="177"/>
      <c r="G126" s="177"/>
      <c r="I126" s="171"/>
      <c r="J126" s="201"/>
      <c r="K126" s="195"/>
      <c r="L126" s="195"/>
      <c r="M126" s="177"/>
      <c r="N126" s="171"/>
      <c r="AC126" s="197"/>
    </row>
    <row r="127" spans="1:29" x14ac:dyDescent="0.2">
      <c r="A127" s="192"/>
      <c r="B127" s="193"/>
      <c r="C127" s="171"/>
      <c r="D127" s="171"/>
      <c r="E127" s="196"/>
      <c r="F127" s="177"/>
      <c r="G127" s="177"/>
      <c r="I127" s="171"/>
      <c r="J127" s="201"/>
      <c r="K127" s="195"/>
      <c r="L127" s="195"/>
      <c r="M127" s="177"/>
      <c r="N127" s="171"/>
      <c r="AC127" s="197"/>
    </row>
    <row r="128" spans="1:29" x14ac:dyDescent="0.2">
      <c r="A128" s="192"/>
      <c r="B128" s="193"/>
      <c r="C128" s="171"/>
      <c r="D128" s="171"/>
      <c r="E128" s="196"/>
      <c r="F128" s="177"/>
      <c r="G128" s="177"/>
      <c r="I128" s="171"/>
      <c r="J128" s="201"/>
      <c r="K128" s="195"/>
      <c r="L128" s="195"/>
      <c r="M128" s="177"/>
      <c r="N128" s="171"/>
      <c r="AC128" s="197"/>
    </row>
    <row r="129" spans="1:29" x14ac:dyDescent="0.2">
      <c r="A129" s="192"/>
      <c r="B129" s="193"/>
      <c r="C129" s="171"/>
      <c r="D129" s="171"/>
      <c r="E129" s="196"/>
      <c r="F129" s="177"/>
      <c r="G129" s="177"/>
      <c r="I129" s="171"/>
      <c r="J129" s="201"/>
      <c r="K129" s="195"/>
      <c r="L129" s="195"/>
      <c r="M129" s="177"/>
      <c r="N129" s="171"/>
      <c r="AC129" s="197"/>
    </row>
    <row r="130" spans="1:29" x14ac:dyDescent="0.2">
      <c r="A130" s="192"/>
      <c r="B130" s="193"/>
      <c r="C130" s="171"/>
      <c r="D130" s="171"/>
      <c r="E130" s="196"/>
      <c r="F130" s="177"/>
      <c r="G130" s="177"/>
      <c r="I130" s="171"/>
      <c r="J130" s="201"/>
      <c r="K130" s="195"/>
      <c r="L130" s="195"/>
      <c r="M130" s="177"/>
      <c r="N130" s="171"/>
      <c r="AC130" s="197"/>
    </row>
    <row r="131" spans="1:29" x14ac:dyDescent="0.2">
      <c r="A131" s="192"/>
      <c r="B131" s="193"/>
      <c r="C131" s="171"/>
      <c r="D131" s="171"/>
      <c r="E131" s="196"/>
      <c r="F131" s="177"/>
      <c r="G131" s="177"/>
      <c r="I131" s="171"/>
      <c r="J131" s="201"/>
      <c r="K131" s="195"/>
      <c r="L131" s="195"/>
      <c r="M131" s="177"/>
      <c r="N131" s="171"/>
      <c r="AC131" s="197"/>
    </row>
    <row r="132" spans="1:29" x14ac:dyDescent="0.2">
      <c r="A132" s="192"/>
      <c r="B132" s="193"/>
      <c r="C132" s="171"/>
      <c r="D132" s="171"/>
      <c r="E132" s="196"/>
      <c r="F132" s="177"/>
      <c r="G132" s="177"/>
      <c r="I132" s="171"/>
      <c r="J132" s="201"/>
      <c r="K132" s="195"/>
      <c r="L132" s="195"/>
      <c r="M132" s="177"/>
      <c r="N132" s="171"/>
      <c r="AC132" s="197"/>
    </row>
    <row r="133" spans="1:29" x14ac:dyDescent="0.2">
      <c r="A133" s="192"/>
      <c r="B133" s="193"/>
      <c r="C133" s="171"/>
      <c r="D133" s="171"/>
      <c r="E133" s="196"/>
      <c r="F133" s="177"/>
      <c r="G133" s="177"/>
      <c r="I133" s="171"/>
      <c r="J133" s="201"/>
      <c r="K133" s="195"/>
      <c r="L133" s="195"/>
      <c r="M133" s="177"/>
      <c r="N133" s="171"/>
      <c r="AC133" s="197"/>
    </row>
    <row r="134" spans="1:29" x14ac:dyDescent="0.2">
      <c r="A134" s="192"/>
      <c r="B134" s="193"/>
      <c r="C134" s="171"/>
      <c r="D134" s="171"/>
      <c r="E134" s="196"/>
      <c r="F134" s="177"/>
      <c r="G134" s="177"/>
      <c r="I134" s="171"/>
      <c r="J134" s="201"/>
      <c r="K134" s="195"/>
      <c r="L134" s="195"/>
      <c r="M134" s="177"/>
      <c r="N134" s="171"/>
      <c r="AC134" s="197"/>
    </row>
    <row r="135" spans="1:29" x14ac:dyDescent="0.2">
      <c r="A135" s="192"/>
      <c r="B135" s="193"/>
      <c r="C135" s="171"/>
      <c r="D135" s="171"/>
      <c r="E135" s="196"/>
      <c r="F135" s="177"/>
      <c r="G135" s="177"/>
      <c r="I135" s="171"/>
      <c r="J135" s="201"/>
      <c r="K135" s="195"/>
      <c r="L135" s="195"/>
      <c r="M135" s="177"/>
      <c r="N135" s="171"/>
      <c r="AC135" s="197"/>
    </row>
    <row r="136" spans="1:29" x14ac:dyDescent="0.2">
      <c r="A136" s="192"/>
      <c r="B136" s="193"/>
      <c r="C136" s="171"/>
      <c r="D136" s="171"/>
      <c r="E136" s="196"/>
      <c r="F136" s="177"/>
      <c r="G136" s="177"/>
      <c r="I136" s="171"/>
      <c r="J136" s="201"/>
      <c r="K136" s="195"/>
      <c r="L136" s="195"/>
      <c r="M136" s="177"/>
      <c r="N136" s="171"/>
      <c r="AC136" s="197"/>
    </row>
    <row r="137" spans="1:29" x14ac:dyDescent="0.2">
      <c r="A137" s="192"/>
      <c r="B137" s="193"/>
      <c r="C137" s="171"/>
      <c r="D137" s="171"/>
      <c r="E137" s="196"/>
      <c r="F137" s="177"/>
      <c r="G137" s="177"/>
      <c r="I137" s="171"/>
      <c r="J137" s="201"/>
      <c r="K137" s="195"/>
      <c r="L137" s="195"/>
      <c r="M137" s="177"/>
      <c r="N137" s="171"/>
      <c r="AC137" s="197"/>
    </row>
    <row r="138" spans="1:29" x14ac:dyDescent="0.2">
      <c r="A138" s="192"/>
      <c r="B138" s="193"/>
      <c r="C138" s="171"/>
      <c r="D138" s="171"/>
      <c r="E138" s="196"/>
      <c r="F138" s="177"/>
      <c r="G138" s="177"/>
      <c r="I138" s="171"/>
      <c r="J138" s="201"/>
      <c r="K138" s="195"/>
      <c r="L138" s="195"/>
      <c r="M138" s="177"/>
      <c r="N138" s="171"/>
      <c r="AC138" s="197"/>
    </row>
    <row r="139" spans="1:29" x14ac:dyDescent="0.2">
      <c r="A139" s="192"/>
      <c r="B139" s="193"/>
      <c r="C139" s="171"/>
      <c r="D139" s="171"/>
      <c r="E139" s="196"/>
      <c r="F139" s="177"/>
      <c r="G139" s="177"/>
      <c r="I139" s="171"/>
      <c r="J139" s="201"/>
      <c r="K139" s="195"/>
      <c r="L139" s="195"/>
      <c r="M139" s="177"/>
      <c r="N139" s="171"/>
      <c r="AC139" s="197"/>
    </row>
    <row r="140" spans="1:29" x14ac:dyDescent="0.2">
      <c r="A140" s="192"/>
      <c r="B140" s="193"/>
      <c r="C140" s="171"/>
      <c r="D140" s="171"/>
      <c r="E140" s="196"/>
      <c r="F140" s="177"/>
      <c r="G140" s="177"/>
      <c r="I140" s="171"/>
      <c r="J140" s="201"/>
      <c r="K140" s="195"/>
      <c r="L140" s="195"/>
      <c r="M140" s="177"/>
      <c r="N140" s="171"/>
      <c r="AC140" s="197"/>
    </row>
    <row r="141" spans="1:29" x14ac:dyDescent="0.2">
      <c r="A141" s="192"/>
      <c r="B141" s="193"/>
      <c r="C141" s="171"/>
      <c r="D141" s="171"/>
      <c r="E141" s="196"/>
      <c r="F141" s="177"/>
      <c r="G141" s="177"/>
      <c r="I141" s="171"/>
      <c r="J141" s="201"/>
      <c r="K141" s="195"/>
      <c r="L141" s="195"/>
      <c r="M141" s="177"/>
      <c r="N141" s="171"/>
      <c r="AC141" s="197"/>
    </row>
    <row r="142" spans="1:29" x14ac:dyDescent="0.2">
      <c r="A142" s="192"/>
      <c r="B142" s="193"/>
      <c r="C142" s="171"/>
      <c r="D142" s="171"/>
      <c r="E142" s="196"/>
      <c r="F142" s="177"/>
      <c r="G142" s="177"/>
      <c r="I142" s="171"/>
      <c r="J142" s="201"/>
      <c r="K142" s="195"/>
      <c r="L142" s="195"/>
      <c r="M142" s="177"/>
      <c r="N142" s="171"/>
      <c r="AC142" s="197"/>
    </row>
    <row r="143" spans="1:29" x14ac:dyDescent="0.2">
      <c r="A143" s="192"/>
      <c r="B143" s="193"/>
      <c r="C143" s="171"/>
      <c r="D143" s="171"/>
      <c r="E143" s="196"/>
      <c r="F143" s="177"/>
      <c r="G143" s="177"/>
      <c r="I143" s="171"/>
      <c r="J143" s="201"/>
      <c r="K143" s="195"/>
      <c r="L143" s="195"/>
      <c r="M143" s="177"/>
      <c r="N143" s="171"/>
      <c r="AC143" s="197"/>
    </row>
    <row r="144" spans="1:29" x14ac:dyDescent="0.2">
      <c r="A144" s="192"/>
      <c r="B144" s="193"/>
      <c r="C144" s="171"/>
      <c r="D144" s="171"/>
      <c r="E144" s="196"/>
      <c r="F144" s="177"/>
      <c r="G144" s="177"/>
      <c r="I144" s="171"/>
      <c r="J144" s="201"/>
      <c r="K144" s="195"/>
      <c r="L144" s="195"/>
      <c r="M144" s="177"/>
      <c r="N144" s="171"/>
      <c r="AC144" s="197"/>
    </row>
    <row r="145" spans="1:29" x14ac:dyDescent="0.2">
      <c r="A145" s="192"/>
      <c r="B145" s="193"/>
      <c r="C145" s="171"/>
      <c r="D145" s="171"/>
      <c r="E145" s="196"/>
      <c r="F145" s="177"/>
      <c r="G145" s="177"/>
      <c r="I145" s="171"/>
      <c r="J145" s="201"/>
      <c r="K145" s="195"/>
      <c r="L145" s="195"/>
      <c r="M145" s="177"/>
      <c r="N145" s="171"/>
      <c r="AC145" s="197"/>
    </row>
    <row r="146" spans="1:29" x14ac:dyDescent="0.2">
      <c r="A146" s="192"/>
      <c r="B146" s="193"/>
      <c r="C146" s="171"/>
      <c r="D146" s="171"/>
      <c r="E146" s="196"/>
      <c r="F146" s="177"/>
      <c r="G146" s="177"/>
      <c r="I146" s="171"/>
      <c r="J146" s="201"/>
      <c r="K146" s="195"/>
      <c r="L146" s="195"/>
      <c r="M146" s="177"/>
      <c r="N146" s="171"/>
      <c r="AC146" s="197"/>
    </row>
    <row r="147" spans="1:29" x14ac:dyDescent="0.2">
      <c r="A147" s="192"/>
      <c r="B147" s="193"/>
      <c r="C147" s="171"/>
      <c r="D147" s="171"/>
      <c r="E147" s="196"/>
      <c r="F147" s="177"/>
      <c r="G147" s="177"/>
      <c r="I147" s="171"/>
      <c r="J147" s="201"/>
      <c r="K147" s="195"/>
      <c r="L147" s="195"/>
      <c r="M147" s="177"/>
      <c r="N147" s="171"/>
      <c r="AC147" s="197"/>
    </row>
    <row r="148" spans="1:29" x14ac:dyDescent="0.2">
      <c r="A148" s="192"/>
      <c r="B148" s="193"/>
      <c r="C148" s="171"/>
      <c r="D148" s="171"/>
      <c r="E148" s="196"/>
      <c r="F148" s="177"/>
      <c r="G148" s="177"/>
      <c r="I148" s="171"/>
      <c r="J148" s="201"/>
      <c r="K148" s="195"/>
      <c r="L148" s="195"/>
      <c r="M148" s="177"/>
      <c r="N148" s="171"/>
      <c r="AC148" s="197"/>
    </row>
    <row r="149" spans="1:29" x14ac:dyDescent="0.2">
      <c r="A149" s="192"/>
      <c r="B149" s="193"/>
      <c r="C149" s="171"/>
      <c r="D149" s="171"/>
      <c r="E149" s="196"/>
      <c r="F149" s="177"/>
      <c r="G149" s="177"/>
      <c r="I149" s="171"/>
      <c r="J149" s="201"/>
      <c r="K149" s="195"/>
      <c r="L149" s="195"/>
      <c r="M149" s="177"/>
      <c r="N149" s="171"/>
      <c r="AC149" s="197"/>
    </row>
    <row r="150" spans="1:29" x14ac:dyDescent="0.2">
      <c r="A150" s="192"/>
      <c r="B150" s="193"/>
      <c r="C150" s="171"/>
      <c r="D150" s="171"/>
      <c r="E150" s="196"/>
      <c r="F150" s="177"/>
      <c r="G150" s="177"/>
      <c r="I150" s="171"/>
      <c r="J150" s="201"/>
      <c r="K150" s="195"/>
      <c r="L150" s="195"/>
      <c r="M150" s="177"/>
      <c r="N150" s="171"/>
      <c r="AC150" s="197"/>
    </row>
    <row r="151" spans="1:29" x14ac:dyDescent="0.2">
      <c r="A151" s="192"/>
      <c r="B151" s="193"/>
      <c r="C151" s="171"/>
      <c r="D151" s="171"/>
      <c r="E151" s="196"/>
      <c r="F151" s="177"/>
      <c r="G151" s="177"/>
      <c r="I151" s="171"/>
      <c r="J151" s="201"/>
      <c r="K151" s="195"/>
      <c r="L151" s="195"/>
      <c r="M151" s="177"/>
      <c r="N151" s="171"/>
      <c r="AC151" s="197"/>
    </row>
    <row r="152" spans="1:29" x14ac:dyDescent="0.2">
      <c r="A152" s="192"/>
      <c r="B152" s="193"/>
      <c r="C152" s="171"/>
      <c r="D152" s="171"/>
      <c r="E152" s="196"/>
      <c r="F152" s="177"/>
      <c r="G152" s="177"/>
      <c r="I152" s="171"/>
      <c r="J152" s="201"/>
      <c r="K152" s="195"/>
      <c r="L152" s="195"/>
      <c r="M152" s="177"/>
      <c r="N152" s="171"/>
      <c r="AC152" s="197"/>
    </row>
    <row r="153" spans="1:29" x14ac:dyDescent="0.2">
      <c r="A153" s="192"/>
      <c r="B153" s="193"/>
      <c r="C153" s="171"/>
      <c r="D153" s="171"/>
      <c r="E153" s="196"/>
      <c r="F153" s="177"/>
      <c r="G153" s="177"/>
      <c r="I153" s="171"/>
      <c r="J153" s="201"/>
      <c r="K153" s="195"/>
      <c r="L153" s="195"/>
      <c r="M153" s="177"/>
      <c r="N153" s="171"/>
      <c r="AC153" s="197"/>
    </row>
    <row r="154" spans="1:29" x14ac:dyDescent="0.2">
      <c r="A154" s="192"/>
      <c r="B154" s="193"/>
      <c r="C154" s="171"/>
      <c r="D154" s="171"/>
      <c r="E154" s="196"/>
      <c r="F154" s="177"/>
      <c r="G154" s="177"/>
      <c r="I154" s="171"/>
      <c r="J154" s="201"/>
      <c r="K154" s="195"/>
      <c r="L154" s="195"/>
      <c r="M154" s="177"/>
      <c r="N154" s="171"/>
      <c r="AC154" s="197"/>
    </row>
    <row r="155" spans="1:29" x14ac:dyDescent="0.2">
      <c r="A155" s="192"/>
      <c r="B155" s="193"/>
      <c r="C155" s="171"/>
      <c r="D155" s="171"/>
      <c r="E155" s="196"/>
      <c r="F155" s="177"/>
      <c r="G155" s="177"/>
      <c r="I155" s="171"/>
      <c r="J155" s="201"/>
      <c r="K155" s="195"/>
      <c r="L155" s="195"/>
      <c r="M155" s="177"/>
      <c r="N155" s="171"/>
      <c r="AC155" s="197"/>
    </row>
    <row r="156" spans="1:29" x14ac:dyDescent="0.2">
      <c r="A156" s="192"/>
      <c r="B156" s="193"/>
      <c r="C156" s="171"/>
      <c r="D156" s="171"/>
      <c r="E156" s="196"/>
      <c r="F156" s="177"/>
      <c r="G156" s="177"/>
      <c r="I156" s="171"/>
      <c r="J156" s="201"/>
      <c r="K156" s="195"/>
      <c r="L156" s="195"/>
      <c r="M156" s="177"/>
      <c r="N156" s="171"/>
      <c r="AC156" s="197"/>
    </row>
    <row r="157" spans="1:29" x14ac:dyDescent="0.2">
      <c r="A157" s="192"/>
      <c r="B157" s="193"/>
      <c r="C157" s="171"/>
      <c r="D157" s="171"/>
      <c r="E157" s="196"/>
      <c r="F157" s="177"/>
      <c r="G157" s="177"/>
      <c r="I157" s="171"/>
      <c r="J157" s="201"/>
      <c r="K157" s="195"/>
      <c r="L157" s="195"/>
      <c r="M157" s="177"/>
      <c r="N157" s="171"/>
      <c r="AC157" s="197"/>
    </row>
    <row r="158" spans="1:29" x14ac:dyDescent="0.2">
      <c r="A158" s="192"/>
      <c r="B158" s="193"/>
      <c r="C158" s="171"/>
      <c r="D158" s="171"/>
      <c r="E158" s="196"/>
      <c r="F158" s="177"/>
      <c r="G158" s="177"/>
      <c r="I158" s="171"/>
      <c r="J158" s="201"/>
      <c r="K158" s="195"/>
      <c r="L158" s="195"/>
      <c r="M158" s="177"/>
      <c r="N158" s="171"/>
      <c r="AC158" s="197"/>
    </row>
    <row r="159" spans="1:29" x14ac:dyDescent="0.2">
      <c r="A159" s="192"/>
      <c r="B159" s="193"/>
      <c r="C159" s="171"/>
      <c r="D159" s="171"/>
      <c r="E159" s="196"/>
      <c r="F159" s="177"/>
      <c r="G159" s="177"/>
      <c r="I159" s="171"/>
      <c r="J159" s="201"/>
      <c r="K159" s="195"/>
      <c r="L159" s="195"/>
      <c r="M159" s="177"/>
      <c r="N159" s="171"/>
      <c r="AC159" s="197"/>
    </row>
    <row r="160" spans="1:29" x14ac:dyDescent="0.2">
      <c r="A160" s="192"/>
      <c r="B160" s="193"/>
      <c r="C160" s="171"/>
      <c r="D160" s="171"/>
      <c r="E160" s="196"/>
      <c r="F160" s="177"/>
      <c r="G160" s="177"/>
      <c r="I160" s="171"/>
      <c r="J160" s="201"/>
      <c r="K160" s="195"/>
      <c r="L160" s="195"/>
      <c r="M160" s="177"/>
      <c r="N160" s="171"/>
      <c r="AC160" s="197"/>
    </row>
    <row r="161" spans="1:29" x14ac:dyDescent="0.2">
      <c r="A161" s="192"/>
      <c r="B161" s="193"/>
      <c r="C161" s="171"/>
      <c r="D161" s="171"/>
      <c r="E161" s="196"/>
      <c r="F161" s="177"/>
      <c r="G161" s="177"/>
      <c r="I161" s="171"/>
      <c r="J161" s="201"/>
      <c r="K161" s="195"/>
      <c r="L161" s="195"/>
      <c r="M161" s="177"/>
      <c r="N161" s="171"/>
      <c r="AC161" s="197"/>
    </row>
    <row r="162" spans="1:29" x14ac:dyDescent="0.2">
      <c r="A162" s="192"/>
      <c r="B162" s="193"/>
      <c r="C162" s="171"/>
      <c r="D162" s="171"/>
      <c r="E162" s="196"/>
      <c r="F162" s="177"/>
      <c r="G162" s="177"/>
      <c r="I162" s="171"/>
      <c r="J162" s="201"/>
      <c r="K162" s="195"/>
      <c r="L162" s="195"/>
      <c r="M162" s="177"/>
      <c r="N162" s="171"/>
      <c r="AC162" s="197"/>
    </row>
    <row r="163" spans="1:29" x14ac:dyDescent="0.2">
      <c r="A163" s="192"/>
      <c r="B163" s="193"/>
      <c r="C163" s="171"/>
      <c r="D163" s="171"/>
      <c r="E163" s="196"/>
      <c r="F163" s="177"/>
      <c r="G163" s="177"/>
      <c r="I163" s="171"/>
      <c r="J163" s="201"/>
      <c r="K163" s="195"/>
      <c r="L163" s="195"/>
      <c r="M163" s="177"/>
      <c r="N163" s="171"/>
      <c r="AC163" s="197"/>
    </row>
    <row r="164" spans="1:29" x14ac:dyDescent="0.2">
      <c r="A164" s="192"/>
      <c r="B164" s="193"/>
      <c r="C164" s="171"/>
      <c r="D164" s="171"/>
      <c r="E164" s="196"/>
      <c r="F164" s="177"/>
      <c r="G164" s="177"/>
      <c r="I164" s="171"/>
      <c r="J164" s="201"/>
      <c r="K164" s="195"/>
      <c r="L164" s="195"/>
      <c r="M164" s="177"/>
      <c r="N164" s="171"/>
      <c r="AC164" s="197"/>
    </row>
    <row r="165" spans="1:29" x14ac:dyDescent="0.2">
      <c r="A165" s="192"/>
      <c r="B165" s="193"/>
      <c r="C165" s="171"/>
      <c r="D165" s="171"/>
      <c r="E165" s="196"/>
      <c r="F165" s="177"/>
      <c r="G165" s="177"/>
      <c r="I165" s="171"/>
      <c r="J165" s="201"/>
      <c r="K165" s="195"/>
      <c r="L165" s="195"/>
      <c r="M165" s="177"/>
      <c r="N165" s="171"/>
      <c r="AC165" s="197"/>
    </row>
    <row r="166" spans="1:29" x14ac:dyDescent="0.2">
      <c r="A166" s="192"/>
      <c r="B166" s="193"/>
      <c r="C166" s="171"/>
      <c r="D166" s="171"/>
      <c r="E166" s="196"/>
      <c r="F166" s="177"/>
      <c r="G166" s="177"/>
      <c r="I166" s="171"/>
      <c r="J166" s="201"/>
      <c r="K166" s="195"/>
      <c r="L166" s="195"/>
      <c r="M166" s="177"/>
      <c r="N166" s="171"/>
      <c r="AC166" s="197"/>
    </row>
    <row r="167" spans="1:29" x14ac:dyDescent="0.2">
      <c r="A167" s="192"/>
      <c r="B167" s="193"/>
      <c r="C167" s="171"/>
      <c r="D167" s="171"/>
      <c r="E167" s="196"/>
      <c r="F167" s="177"/>
      <c r="G167" s="177"/>
      <c r="I167" s="171"/>
      <c r="J167" s="201"/>
      <c r="K167" s="195"/>
      <c r="L167" s="195"/>
      <c r="M167" s="177"/>
      <c r="N167" s="171"/>
      <c r="AC167" s="197"/>
    </row>
    <row r="168" spans="1:29" x14ac:dyDescent="0.2">
      <c r="A168" s="192"/>
      <c r="B168" s="193"/>
      <c r="C168" s="171"/>
      <c r="D168" s="171"/>
      <c r="E168" s="196"/>
      <c r="F168" s="177"/>
      <c r="G168" s="177"/>
      <c r="I168" s="171"/>
      <c r="J168" s="201"/>
      <c r="K168" s="195"/>
      <c r="L168" s="195"/>
      <c r="M168" s="177"/>
      <c r="N168" s="171"/>
      <c r="AC168" s="197"/>
    </row>
    <row r="169" spans="1:29" x14ac:dyDescent="0.2">
      <c r="A169" s="192"/>
      <c r="B169" s="193"/>
      <c r="C169" s="171"/>
      <c r="D169" s="171"/>
      <c r="E169" s="196"/>
      <c r="F169" s="177"/>
      <c r="G169" s="177"/>
      <c r="I169" s="171"/>
      <c r="J169" s="201"/>
      <c r="K169" s="195"/>
      <c r="L169" s="195"/>
      <c r="M169" s="177"/>
      <c r="N169" s="171"/>
      <c r="AC169" s="197"/>
    </row>
    <row r="170" spans="1:29" x14ac:dyDescent="0.2">
      <c r="A170" s="192"/>
      <c r="B170" s="193"/>
      <c r="C170" s="171"/>
      <c r="D170" s="171"/>
      <c r="E170" s="196"/>
      <c r="F170" s="177"/>
      <c r="G170" s="177"/>
      <c r="I170" s="171"/>
      <c r="J170" s="201"/>
      <c r="K170" s="195"/>
      <c r="L170" s="195"/>
      <c r="M170" s="177"/>
      <c r="N170" s="171"/>
      <c r="AC170" s="197"/>
    </row>
    <row r="171" spans="1:29" x14ac:dyDescent="0.2">
      <c r="A171" s="192"/>
      <c r="B171" s="193"/>
      <c r="C171" s="171"/>
      <c r="D171" s="171"/>
      <c r="E171" s="196"/>
      <c r="F171" s="177"/>
      <c r="G171" s="177"/>
      <c r="I171" s="171"/>
      <c r="J171" s="201"/>
      <c r="K171" s="195"/>
      <c r="L171" s="195"/>
      <c r="M171" s="177"/>
      <c r="N171" s="171"/>
      <c r="AC171" s="197"/>
    </row>
    <row r="172" spans="1:29" x14ac:dyDescent="0.2">
      <c r="A172" s="192"/>
      <c r="B172" s="193"/>
      <c r="C172" s="171"/>
      <c r="D172" s="171"/>
      <c r="E172" s="196"/>
      <c r="F172" s="177"/>
      <c r="G172" s="177"/>
      <c r="I172" s="171"/>
      <c r="J172" s="201"/>
      <c r="K172" s="195"/>
      <c r="L172" s="195"/>
      <c r="M172" s="177"/>
      <c r="N172" s="171"/>
      <c r="AC172" s="197"/>
    </row>
    <row r="173" spans="1:29" x14ac:dyDescent="0.2">
      <c r="A173" s="192"/>
      <c r="B173" s="193"/>
      <c r="C173" s="171"/>
      <c r="D173" s="171"/>
      <c r="E173" s="196"/>
      <c r="F173" s="177"/>
      <c r="G173" s="177"/>
      <c r="I173" s="171"/>
      <c r="J173" s="201"/>
      <c r="K173" s="195"/>
      <c r="L173" s="195"/>
      <c r="M173" s="177"/>
      <c r="N173" s="171"/>
      <c r="AC173" s="197"/>
    </row>
    <row r="174" spans="1:29" x14ac:dyDescent="0.2">
      <c r="A174" s="192"/>
      <c r="B174" s="193"/>
      <c r="C174" s="171"/>
      <c r="D174" s="171"/>
      <c r="E174" s="196"/>
      <c r="F174" s="177"/>
      <c r="G174" s="177"/>
      <c r="I174" s="171"/>
      <c r="J174" s="201"/>
      <c r="K174" s="195"/>
      <c r="L174" s="195"/>
      <c r="M174" s="177"/>
      <c r="N174" s="171"/>
      <c r="AC174" s="197"/>
    </row>
    <row r="175" spans="1:29" x14ac:dyDescent="0.2">
      <c r="A175" s="192"/>
      <c r="B175" s="193"/>
      <c r="C175" s="171"/>
      <c r="D175" s="171"/>
      <c r="E175" s="196"/>
      <c r="F175" s="177"/>
      <c r="G175" s="177"/>
      <c r="I175" s="171"/>
      <c r="J175" s="201"/>
      <c r="K175" s="195"/>
      <c r="L175" s="195"/>
      <c r="M175" s="177"/>
      <c r="N175" s="171"/>
      <c r="AC175" s="197"/>
    </row>
    <row r="176" spans="1:29" x14ac:dyDescent="0.2">
      <c r="A176" s="192"/>
      <c r="B176" s="193"/>
      <c r="C176" s="171"/>
      <c r="D176" s="171"/>
      <c r="E176" s="196"/>
      <c r="F176" s="177"/>
      <c r="G176" s="177"/>
      <c r="I176" s="171"/>
      <c r="J176" s="201"/>
      <c r="K176" s="195"/>
      <c r="L176" s="195"/>
      <c r="M176" s="177"/>
      <c r="N176" s="171"/>
      <c r="AC176" s="197"/>
    </row>
    <row r="177" spans="1:29" x14ac:dyDescent="0.2">
      <c r="A177" s="192"/>
      <c r="B177" s="193"/>
      <c r="C177" s="171"/>
      <c r="D177" s="171"/>
      <c r="E177" s="196"/>
      <c r="F177" s="177"/>
      <c r="G177" s="177"/>
      <c r="I177" s="171"/>
      <c r="J177" s="201"/>
      <c r="K177" s="195"/>
      <c r="L177" s="195"/>
      <c r="M177" s="177"/>
      <c r="N177" s="171"/>
      <c r="AC177" s="197"/>
    </row>
    <row r="178" spans="1:29" x14ac:dyDescent="0.2">
      <c r="A178" s="192"/>
      <c r="B178" s="193"/>
      <c r="C178" s="171"/>
      <c r="D178" s="171"/>
      <c r="E178" s="196"/>
      <c r="F178" s="177"/>
      <c r="G178" s="177"/>
      <c r="I178" s="171"/>
      <c r="J178" s="201"/>
      <c r="K178" s="195"/>
      <c r="L178" s="195"/>
      <c r="M178" s="177"/>
      <c r="N178" s="171"/>
      <c r="AC178" s="197"/>
    </row>
    <row r="179" spans="1:29" x14ac:dyDescent="0.2">
      <c r="A179" s="192"/>
      <c r="B179" s="193"/>
      <c r="C179" s="171"/>
      <c r="D179" s="171"/>
      <c r="E179" s="196"/>
      <c r="F179" s="177"/>
      <c r="G179" s="177"/>
      <c r="I179" s="171"/>
      <c r="J179" s="201"/>
      <c r="K179" s="195"/>
      <c r="L179" s="195"/>
      <c r="M179" s="177"/>
      <c r="N179" s="171"/>
      <c r="AC179" s="197"/>
    </row>
    <row r="180" spans="1:29" x14ac:dyDescent="0.2">
      <c r="A180" s="192"/>
      <c r="B180" s="193"/>
      <c r="C180" s="171"/>
      <c r="D180" s="171"/>
      <c r="E180" s="196"/>
      <c r="F180" s="177"/>
      <c r="G180" s="177"/>
      <c r="I180" s="171"/>
      <c r="J180" s="201"/>
      <c r="K180" s="195"/>
      <c r="L180" s="195"/>
      <c r="M180" s="177"/>
      <c r="N180" s="171"/>
      <c r="AC180" s="197"/>
    </row>
    <row r="181" spans="1:29" x14ac:dyDescent="0.2">
      <c r="A181" s="192"/>
      <c r="B181" s="193"/>
      <c r="C181" s="171"/>
      <c r="D181" s="171"/>
      <c r="E181" s="196"/>
      <c r="F181" s="177"/>
      <c r="G181" s="177"/>
      <c r="I181" s="171"/>
      <c r="J181" s="201"/>
      <c r="K181" s="195"/>
      <c r="L181" s="195"/>
      <c r="M181" s="177"/>
      <c r="N181" s="171"/>
      <c r="AC181" s="197"/>
    </row>
    <row r="182" spans="1:29" x14ac:dyDescent="0.2">
      <c r="A182" s="192"/>
      <c r="B182" s="193"/>
      <c r="C182" s="171"/>
      <c r="D182" s="171"/>
      <c r="E182" s="196"/>
      <c r="F182" s="177"/>
      <c r="G182" s="177"/>
      <c r="I182" s="171"/>
      <c r="J182" s="201"/>
      <c r="K182" s="195"/>
      <c r="L182" s="195"/>
      <c r="M182" s="177"/>
      <c r="N182" s="171"/>
      <c r="AC182" s="197"/>
    </row>
    <row r="183" spans="1:29" x14ac:dyDescent="0.2">
      <c r="A183" s="192"/>
      <c r="B183" s="193"/>
      <c r="C183" s="171"/>
      <c r="D183" s="171"/>
      <c r="E183" s="196"/>
      <c r="F183" s="177"/>
      <c r="G183" s="177"/>
      <c r="I183" s="171"/>
      <c r="J183" s="201"/>
      <c r="K183" s="195"/>
      <c r="L183" s="195"/>
      <c r="M183" s="177"/>
      <c r="N183" s="171"/>
      <c r="AC183" s="197"/>
    </row>
    <row r="184" spans="1:29" x14ac:dyDescent="0.2">
      <c r="A184" s="192"/>
      <c r="B184" s="193"/>
      <c r="C184" s="171"/>
      <c r="D184" s="171"/>
      <c r="E184" s="196"/>
      <c r="F184" s="177"/>
      <c r="G184" s="177"/>
      <c r="I184" s="171"/>
      <c r="J184" s="201"/>
      <c r="K184" s="195"/>
      <c r="L184" s="195"/>
      <c r="M184" s="177"/>
      <c r="N184" s="171"/>
      <c r="AC184" s="197"/>
    </row>
    <row r="185" spans="1:29" x14ac:dyDescent="0.2">
      <c r="A185" s="192"/>
      <c r="B185" s="193"/>
      <c r="C185" s="171"/>
      <c r="D185" s="171"/>
      <c r="E185" s="196"/>
      <c r="F185" s="177"/>
      <c r="G185" s="177"/>
      <c r="I185" s="171"/>
      <c r="J185" s="201"/>
      <c r="K185" s="195"/>
      <c r="L185" s="195"/>
      <c r="M185" s="177"/>
      <c r="N185" s="171"/>
      <c r="AC185" s="197"/>
    </row>
    <row r="186" spans="1:29" x14ac:dyDescent="0.2">
      <c r="A186" s="192"/>
      <c r="B186" s="193"/>
      <c r="C186" s="171"/>
      <c r="D186" s="171"/>
      <c r="E186" s="196"/>
      <c r="F186" s="177"/>
      <c r="G186" s="177"/>
      <c r="I186" s="171"/>
      <c r="J186" s="201"/>
      <c r="K186" s="195"/>
      <c r="L186" s="195"/>
      <c r="M186" s="177"/>
      <c r="N186" s="171"/>
      <c r="AC186" s="197"/>
    </row>
    <row r="187" spans="1:29" x14ac:dyDescent="0.2">
      <c r="A187" s="192"/>
      <c r="B187" s="193"/>
      <c r="C187" s="171"/>
      <c r="D187" s="171"/>
      <c r="E187" s="196"/>
      <c r="F187" s="177"/>
      <c r="G187" s="177"/>
      <c r="I187" s="171"/>
      <c r="J187" s="201"/>
      <c r="K187" s="195"/>
      <c r="L187" s="195"/>
      <c r="M187" s="177"/>
      <c r="N187" s="171"/>
      <c r="AC187" s="197"/>
    </row>
    <row r="188" spans="1:29" x14ac:dyDescent="0.2">
      <c r="A188" s="192"/>
      <c r="B188" s="193"/>
      <c r="C188" s="171"/>
      <c r="D188" s="171"/>
      <c r="E188" s="196"/>
      <c r="F188" s="177"/>
      <c r="G188" s="177"/>
      <c r="I188" s="171"/>
      <c r="J188" s="201"/>
      <c r="K188" s="195"/>
      <c r="L188" s="195"/>
      <c r="M188" s="177"/>
      <c r="N188" s="171"/>
      <c r="AC188" s="197"/>
    </row>
    <row r="189" spans="1:29" x14ac:dyDescent="0.2">
      <c r="A189" s="192"/>
      <c r="B189" s="193"/>
      <c r="C189" s="171"/>
      <c r="D189" s="171"/>
      <c r="E189" s="196"/>
      <c r="F189" s="177"/>
      <c r="G189" s="177"/>
      <c r="I189" s="171"/>
      <c r="J189" s="201"/>
      <c r="K189" s="195"/>
      <c r="L189" s="195"/>
      <c r="M189" s="177"/>
      <c r="N189" s="171"/>
      <c r="AC189" s="197"/>
    </row>
    <row r="190" spans="1:29" x14ac:dyDescent="0.2">
      <c r="A190" s="192"/>
      <c r="B190" s="193"/>
      <c r="C190" s="171"/>
      <c r="D190" s="171"/>
      <c r="E190" s="196"/>
      <c r="F190" s="177"/>
      <c r="G190" s="177"/>
      <c r="I190" s="171"/>
      <c r="J190" s="201"/>
      <c r="K190" s="195"/>
      <c r="L190" s="195"/>
      <c r="M190" s="177"/>
      <c r="N190" s="171"/>
      <c r="AC190" s="197"/>
    </row>
    <row r="191" spans="1:29" x14ac:dyDescent="0.2">
      <c r="A191" s="192"/>
      <c r="B191" s="193"/>
      <c r="C191" s="171"/>
      <c r="D191" s="171"/>
      <c r="E191" s="196"/>
      <c r="F191" s="177"/>
      <c r="G191" s="177"/>
      <c r="I191" s="171"/>
      <c r="J191" s="201"/>
      <c r="K191" s="195"/>
      <c r="L191" s="195"/>
      <c r="M191" s="177"/>
      <c r="N191" s="171"/>
      <c r="AC191" s="197"/>
    </row>
    <row r="192" spans="1:29" x14ac:dyDescent="0.2">
      <c r="A192" s="192"/>
      <c r="B192" s="193"/>
      <c r="C192" s="171"/>
      <c r="D192" s="171"/>
      <c r="E192" s="196"/>
      <c r="F192" s="177"/>
      <c r="G192" s="177"/>
      <c r="I192" s="171"/>
      <c r="J192" s="201"/>
      <c r="K192" s="195"/>
      <c r="L192" s="195"/>
      <c r="M192" s="177"/>
      <c r="N192" s="171"/>
      <c r="AC192" s="197"/>
    </row>
    <row r="193" spans="1:29" x14ac:dyDescent="0.2">
      <c r="A193" s="192"/>
      <c r="B193" s="193"/>
      <c r="C193" s="171"/>
      <c r="D193" s="171"/>
      <c r="E193" s="196"/>
      <c r="F193" s="177"/>
      <c r="G193" s="177"/>
      <c r="I193" s="171"/>
      <c r="J193" s="201"/>
      <c r="K193" s="195"/>
      <c r="L193" s="195"/>
      <c r="M193" s="177"/>
      <c r="N193" s="171"/>
      <c r="AC193" s="197"/>
    </row>
    <row r="194" spans="1:29" x14ac:dyDescent="0.2">
      <c r="A194" s="192"/>
      <c r="B194" s="193"/>
      <c r="C194" s="171"/>
      <c r="D194" s="171"/>
      <c r="E194" s="196"/>
      <c r="F194" s="177"/>
      <c r="G194" s="177"/>
      <c r="I194" s="171"/>
      <c r="J194" s="201"/>
      <c r="K194" s="195"/>
      <c r="L194" s="195"/>
      <c r="M194" s="177"/>
      <c r="N194" s="171"/>
      <c r="AC194" s="197"/>
    </row>
    <row r="195" spans="1:29" x14ac:dyDescent="0.2">
      <c r="A195" s="192"/>
      <c r="B195" s="193"/>
      <c r="C195" s="171"/>
      <c r="D195" s="171"/>
      <c r="E195" s="196"/>
      <c r="F195" s="177"/>
      <c r="G195" s="177"/>
      <c r="I195" s="171"/>
      <c r="J195" s="201"/>
      <c r="K195" s="195"/>
      <c r="L195" s="195"/>
      <c r="M195" s="177"/>
      <c r="N195" s="171"/>
      <c r="AC195" s="197"/>
    </row>
    <row r="196" spans="1:29" x14ac:dyDescent="0.2">
      <c r="A196" s="192"/>
      <c r="B196" s="193"/>
      <c r="C196" s="171"/>
      <c r="D196" s="171"/>
      <c r="E196" s="196"/>
      <c r="F196" s="177"/>
      <c r="G196" s="177"/>
      <c r="I196" s="171"/>
      <c r="J196" s="201"/>
      <c r="K196" s="195"/>
      <c r="L196" s="195"/>
      <c r="M196" s="177"/>
      <c r="N196" s="171"/>
      <c r="AC196" s="197"/>
    </row>
    <row r="197" spans="1:29" x14ac:dyDescent="0.2">
      <c r="A197" s="192"/>
      <c r="B197" s="193"/>
      <c r="C197" s="171"/>
      <c r="D197" s="171"/>
      <c r="E197" s="196"/>
      <c r="F197" s="177"/>
      <c r="G197" s="177"/>
      <c r="I197" s="171"/>
      <c r="J197" s="201"/>
      <c r="K197" s="195"/>
      <c r="L197" s="195"/>
      <c r="M197" s="177"/>
      <c r="N197" s="171"/>
      <c r="AC197" s="197"/>
    </row>
    <row r="198" spans="1:29" x14ac:dyDescent="0.2">
      <c r="A198" s="192"/>
      <c r="B198" s="193"/>
      <c r="C198" s="171"/>
      <c r="D198" s="171"/>
      <c r="E198" s="196"/>
      <c r="F198" s="177"/>
      <c r="G198" s="177"/>
      <c r="I198" s="171"/>
      <c r="J198" s="201"/>
      <c r="K198" s="195"/>
      <c r="L198" s="195"/>
      <c r="M198" s="177"/>
      <c r="N198" s="171"/>
      <c r="AC198" s="197"/>
    </row>
    <row r="199" spans="1:29" x14ac:dyDescent="0.2">
      <c r="A199" s="192"/>
      <c r="B199" s="193"/>
      <c r="C199" s="171"/>
      <c r="D199" s="171"/>
      <c r="E199" s="196"/>
      <c r="F199" s="177"/>
      <c r="G199" s="177"/>
      <c r="I199" s="171"/>
      <c r="J199" s="201"/>
      <c r="K199" s="195"/>
      <c r="L199" s="195"/>
      <c r="M199" s="177"/>
      <c r="N199" s="171"/>
      <c r="AC199" s="197"/>
    </row>
    <row r="200" spans="1:29" x14ac:dyDescent="0.2">
      <c r="A200" s="192"/>
      <c r="B200" s="193"/>
      <c r="C200" s="171"/>
      <c r="D200" s="171"/>
      <c r="E200" s="196"/>
      <c r="F200" s="177"/>
      <c r="G200" s="177"/>
      <c r="I200" s="171"/>
      <c r="J200" s="201"/>
      <c r="K200" s="195"/>
      <c r="L200" s="195"/>
      <c r="M200" s="177"/>
      <c r="N200" s="171"/>
      <c r="AC200" s="197"/>
    </row>
    <row r="201" spans="1:29" x14ac:dyDescent="0.2">
      <c r="A201" s="192"/>
      <c r="B201" s="193"/>
      <c r="C201" s="171"/>
      <c r="D201" s="171"/>
      <c r="E201" s="196"/>
      <c r="F201" s="177"/>
      <c r="G201" s="177"/>
      <c r="I201" s="171"/>
      <c r="J201" s="201"/>
      <c r="K201" s="195"/>
      <c r="L201" s="195"/>
      <c r="M201" s="177"/>
      <c r="N201" s="171"/>
      <c r="AC201" s="197"/>
    </row>
    <row r="202" spans="1:29" x14ac:dyDescent="0.2">
      <c r="A202" s="192"/>
      <c r="B202" s="193"/>
      <c r="C202" s="171"/>
      <c r="D202" s="171"/>
      <c r="E202" s="196"/>
      <c r="F202" s="177"/>
      <c r="G202" s="177"/>
      <c r="I202" s="171"/>
      <c r="J202" s="201"/>
      <c r="K202" s="195"/>
      <c r="L202" s="195"/>
      <c r="M202" s="177"/>
      <c r="N202" s="171"/>
      <c r="AC202" s="197"/>
    </row>
    <row r="203" spans="1:29" x14ac:dyDescent="0.2">
      <c r="A203" s="192"/>
      <c r="B203" s="193"/>
      <c r="C203" s="171"/>
      <c r="D203" s="171"/>
      <c r="E203" s="196"/>
      <c r="F203" s="177"/>
      <c r="G203" s="177"/>
      <c r="I203" s="171"/>
      <c r="J203" s="201"/>
      <c r="K203" s="195"/>
      <c r="L203" s="195"/>
      <c r="M203" s="177"/>
      <c r="N203" s="171"/>
      <c r="AC203" s="197"/>
    </row>
    <row r="204" spans="1:29" x14ac:dyDescent="0.2">
      <c r="A204" s="192"/>
      <c r="B204" s="193"/>
      <c r="C204" s="171"/>
      <c r="D204" s="171"/>
      <c r="E204" s="196"/>
      <c r="F204" s="177"/>
      <c r="G204" s="177"/>
      <c r="I204" s="171"/>
      <c r="J204" s="201"/>
      <c r="K204" s="195"/>
      <c r="L204" s="195"/>
      <c r="M204" s="177"/>
      <c r="N204" s="171"/>
      <c r="AC204" s="197"/>
    </row>
    <row r="205" spans="1:29" x14ac:dyDescent="0.2">
      <c r="A205" s="192"/>
      <c r="B205" s="193"/>
      <c r="C205" s="171"/>
      <c r="D205" s="171"/>
      <c r="E205" s="196"/>
      <c r="F205" s="177"/>
      <c r="G205" s="177"/>
      <c r="I205" s="171"/>
      <c r="J205" s="201"/>
      <c r="K205" s="195"/>
      <c r="L205" s="195"/>
      <c r="M205" s="177"/>
      <c r="N205" s="171"/>
      <c r="AC205" s="197"/>
    </row>
    <row r="206" spans="1:29" x14ac:dyDescent="0.2">
      <c r="A206" s="192"/>
      <c r="B206" s="193"/>
      <c r="C206" s="171"/>
      <c r="D206" s="171"/>
      <c r="E206" s="196"/>
      <c r="F206" s="177"/>
      <c r="G206" s="177"/>
      <c r="I206" s="171"/>
      <c r="J206" s="201"/>
      <c r="K206" s="195"/>
      <c r="L206" s="195"/>
      <c r="M206" s="177"/>
      <c r="N206" s="171"/>
      <c r="AC206" s="197"/>
    </row>
    <row r="207" spans="1:29" x14ac:dyDescent="0.2">
      <c r="A207" s="192"/>
      <c r="B207" s="193"/>
      <c r="C207" s="171"/>
      <c r="D207" s="171"/>
      <c r="E207" s="196"/>
      <c r="F207" s="177"/>
      <c r="G207" s="177"/>
      <c r="I207" s="171"/>
      <c r="J207" s="201"/>
      <c r="K207" s="195"/>
      <c r="L207" s="195"/>
      <c r="M207" s="177"/>
      <c r="N207" s="171"/>
      <c r="AC207" s="197"/>
    </row>
    <row r="208" spans="1:29" x14ac:dyDescent="0.2">
      <c r="A208" s="192"/>
      <c r="B208" s="193"/>
      <c r="C208" s="171"/>
      <c r="D208" s="171"/>
      <c r="E208" s="196"/>
      <c r="F208" s="177"/>
      <c r="G208" s="177"/>
      <c r="I208" s="171"/>
      <c r="J208" s="201"/>
      <c r="K208" s="195"/>
      <c r="L208" s="195"/>
      <c r="M208" s="177"/>
      <c r="N208" s="171"/>
      <c r="AC208" s="197"/>
    </row>
    <row r="209" spans="1:29" x14ac:dyDescent="0.2">
      <c r="A209" s="192"/>
      <c r="B209" s="193"/>
      <c r="C209" s="171"/>
      <c r="D209" s="171"/>
      <c r="E209" s="196"/>
      <c r="F209" s="177"/>
      <c r="G209" s="177"/>
      <c r="I209" s="171"/>
      <c r="J209" s="201"/>
      <c r="K209" s="195"/>
      <c r="L209" s="195"/>
      <c r="M209" s="177"/>
      <c r="N209" s="171"/>
      <c r="AC209" s="197"/>
    </row>
    <row r="210" spans="1:29" x14ac:dyDescent="0.2">
      <c r="A210" s="192"/>
      <c r="B210" s="193"/>
      <c r="C210" s="171"/>
      <c r="D210" s="171"/>
      <c r="E210" s="196"/>
      <c r="F210" s="177"/>
      <c r="G210" s="177"/>
      <c r="I210" s="171"/>
      <c r="J210" s="201"/>
      <c r="K210" s="195"/>
      <c r="L210" s="195"/>
      <c r="M210" s="177"/>
      <c r="N210" s="171"/>
      <c r="AC210" s="197"/>
    </row>
    <row r="211" spans="1:29" x14ac:dyDescent="0.2">
      <c r="A211" s="192"/>
      <c r="B211" s="193"/>
      <c r="C211" s="171"/>
      <c r="D211" s="171"/>
      <c r="E211" s="196"/>
      <c r="F211" s="177"/>
      <c r="G211" s="177"/>
      <c r="I211" s="171"/>
      <c r="J211" s="201"/>
      <c r="K211" s="195"/>
      <c r="L211" s="195"/>
      <c r="M211" s="177"/>
      <c r="N211" s="171"/>
      <c r="AC211" s="197"/>
    </row>
    <row r="212" spans="1:29" x14ac:dyDescent="0.2">
      <c r="A212" s="192"/>
      <c r="B212" s="193"/>
      <c r="C212" s="171"/>
      <c r="D212" s="171"/>
      <c r="E212" s="196"/>
      <c r="F212" s="177"/>
      <c r="G212" s="177"/>
      <c r="I212" s="171"/>
      <c r="J212" s="201"/>
      <c r="K212" s="195"/>
      <c r="L212" s="195"/>
      <c r="M212" s="177"/>
      <c r="N212" s="171"/>
      <c r="AC212" s="197"/>
    </row>
    <row r="213" spans="1:29" x14ac:dyDescent="0.2">
      <c r="A213" s="192"/>
      <c r="B213" s="193"/>
      <c r="C213" s="171"/>
      <c r="D213" s="171"/>
      <c r="E213" s="196"/>
      <c r="F213" s="177"/>
      <c r="G213" s="177"/>
      <c r="I213" s="171"/>
      <c r="J213" s="201"/>
      <c r="K213" s="195"/>
      <c r="L213" s="195"/>
      <c r="M213" s="177"/>
      <c r="N213" s="171"/>
      <c r="AC213" s="197"/>
    </row>
    <row r="214" spans="1:29" x14ac:dyDescent="0.2">
      <c r="A214" s="192"/>
      <c r="B214" s="193"/>
      <c r="C214" s="171"/>
      <c r="D214" s="171"/>
      <c r="E214" s="196"/>
      <c r="F214" s="177"/>
      <c r="G214" s="177"/>
      <c r="I214" s="171"/>
      <c r="J214" s="201"/>
      <c r="K214" s="195"/>
      <c r="L214" s="195"/>
      <c r="M214" s="177"/>
      <c r="N214" s="171"/>
      <c r="AC214" s="197"/>
    </row>
    <row r="215" spans="1:29" x14ac:dyDescent="0.2">
      <c r="A215" s="192"/>
      <c r="B215" s="193"/>
      <c r="C215" s="171"/>
      <c r="D215" s="171"/>
      <c r="E215" s="196"/>
      <c r="F215" s="177"/>
      <c r="G215" s="177"/>
      <c r="I215" s="171"/>
      <c r="J215" s="201"/>
      <c r="K215" s="195"/>
      <c r="L215" s="195"/>
      <c r="M215" s="177"/>
      <c r="N215" s="171"/>
      <c r="AC215" s="197"/>
    </row>
    <row r="216" spans="1:29" x14ac:dyDescent="0.2">
      <c r="A216" s="192"/>
      <c r="B216" s="193"/>
      <c r="C216" s="171"/>
      <c r="D216" s="171"/>
      <c r="E216" s="196"/>
      <c r="F216" s="177"/>
      <c r="G216" s="177"/>
      <c r="I216" s="171"/>
      <c r="J216" s="201"/>
      <c r="K216" s="195"/>
      <c r="L216" s="195"/>
      <c r="M216" s="177"/>
      <c r="N216" s="171"/>
      <c r="AC216" s="197"/>
    </row>
    <row r="217" spans="1:29" x14ac:dyDescent="0.2">
      <c r="A217" s="192"/>
      <c r="B217" s="193"/>
      <c r="C217" s="171"/>
      <c r="D217" s="171"/>
      <c r="E217" s="196"/>
      <c r="F217" s="177"/>
      <c r="G217" s="177"/>
      <c r="I217" s="171"/>
      <c r="J217" s="201"/>
      <c r="K217" s="195"/>
      <c r="L217" s="195"/>
      <c r="M217" s="177"/>
      <c r="N217" s="171"/>
      <c r="AC217" s="197"/>
    </row>
    <row r="218" spans="1:29" x14ac:dyDescent="0.2">
      <c r="A218" s="192"/>
      <c r="B218" s="193"/>
      <c r="C218" s="171"/>
      <c r="D218" s="171"/>
      <c r="E218" s="196"/>
      <c r="F218" s="177"/>
      <c r="G218" s="177"/>
      <c r="I218" s="171"/>
      <c r="J218" s="201"/>
      <c r="K218" s="195"/>
      <c r="L218" s="195"/>
      <c r="M218" s="177"/>
      <c r="N218" s="171"/>
      <c r="AC218" s="197"/>
    </row>
    <row r="219" spans="1:29" x14ac:dyDescent="0.2">
      <c r="A219" s="192"/>
      <c r="B219" s="193"/>
      <c r="C219" s="171"/>
      <c r="D219" s="171"/>
      <c r="E219" s="196"/>
      <c r="F219" s="177"/>
      <c r="G219" s="177"/>
      <c r="I219" s="171"/>
      <c r="J219" s="201"/>
      <c r="K219" s="195"/>
      <c r="L219" s="195"/>
      <c r="M219" s="177"/>
      <c r="N219" s="171"/>
      <c r="AC219" s="197"/>
    </row>
    <row r="220" spans="1:29" x14ac:dyDescent="0.2">
      <c r="A220" s="192"/>
      <c r="B220" s="193"/>
      <c r="C220" s="171"/>
      <c r="D220" s="171"/>
      <c r="E220" s="196"/>
      <c r="F220" s="177"/>
      <c r="G220" s="177"/>
      <c r="I220" s="171"/>
      <c r="J220" s="201"/>
      <c r="K220" s="195"/>
      <c r="L220" s="195"/>
      <c r="M220" s="177"/>
      <c r="N220" s="171"/>
      <c r="AC220" s="197"/>
    </row>
    <row r="221" spans="1:29" x14ac:dyDescent="0.2">
      <c r="A221" s="192"/>
      <c r="B221" s="193"/>
      <c r="C221" s="171"/>
      <c r="D221" s="171"/>
      <c r="E221" s="196"/>
      <c r="F221" s="177"/>
      <c r="G221" s="177"/>
      <c r="I221" s="171"/>
      <c r="J221" s="201"/>
      <c r="K221" s="195"/>
      <c r="L221" s="195"/>
      <c r="M221" s="177"/>
      <c r="N221" s="171"/>
      <c r="AC221" s="197"/>
    </row>
    <row r="222" spans="1:29" x14ac:dyDescent="0.2">
      <c r="A222" s="192"/>
      <c r="B222" s="193"/>
      <c r="C222" s="171"/>
      <c r="D222" s="171"/>
      <c r="E222" s="196"/>
      <c r="F222" s="177"/>
      <c r="G222" s="177"/>
      <c r="I222" s="171"/>
      <c r="J222" s="201"/>
      <c r="K222" s="195"/>
      <c r="L222" s="195"/>
      <c r="M222" s="177"/>
      <c r="N222" s="171"/>
      <c r="AC222" s="197"/>
    </row>
    <row r="223" spans="1:29" x14ac:dyDescent="0.2">
      <c r="A223" s="192"/>
      <c r="B223" s="193"/>
      <c r="C223" s="171"/>
      <c r="D223" s="171"/>
      <c r="E223" s="196"/>
      <c r="F223" s="177"/>
      <c r="G223" s="177"/>
      <c r="I223" s="171"/>
      <c r="J223" s="201"/>
      <c r="K223" s="195"/>
      <c r="L223" s="195"/>
      <c r="M223" s="177"/>
      <c r="N223" s="171"/>
      <c r="AC223" s="197"/>
    </row>
    <row r="224" spans="1:29" x14ac:dyDescent="0.2">
      <c r="A224" s="192"/>
      <c r="B224" s="193"/>
      <c r="C224" s="171"/>
      <c r="D224" s="171"/>
      <c r="E224" s="196"/>
      <c r="F224" s="177"/>
      <c r="G224" s="177"/>
      <c r="I224" s="171"/>
      <c r="J224" s="201"/>
      <c r="K224" s="195"/>
      <c r="L224" s="195"/>
      <c r="M224" s="177"/>
      <c r="N224" s="171"/>
      <c r="AC224" s="197"/>
    </row>
    <row r="225" spans="1:29" x14ac:dyDescent="0.2">
      <c r="A225" s="192"/>
      <c r="B225" s="193"/>
      <c r="C225" s="171"/>
      <c r="D225" s="171"/>
      <c r="E225" s="196"/>
      <c r="F225" s="177"/>
      <c r="G225" s="177"/>
      <c r="I225" s="171"/>
      <c r="J225" s="201"/>
      <c r="K225" s="195"/>
      <c r="L225" s="195"/>
      <c r="M225" s="177"/>
      <c r="N225" s="171"/>
      <c r="AC225" s="197"/>
    </row>
    <row r="226" spans="1:29" x14ac:dyDescent="0.2">
      <c r="A226" s="192"/>
      <c r="B226" s="193"/>
      <c r="C226" s="171"/>
      <c r="D226" s="171"/>
      <c r="E226" s="196"/>
      <c r="F226" s="177"/>
      <c r="G226" s="177"/>
      <c r="I226" s="171"/>
      <c r="J226" s="201"/>
      <c r="K226" s="195"/>
      <c r="L226" s="195"/>
      <c r="M226" s="177"/>
      <c r="N226" s="171"/>
      <c r="AC226" s="197"/>
    </row>
    <row r="227" spans="1:29" x14ac:dyDescent="0.2">
      <c r="A227" s="192"/>
      <c r="B227" s="193"/>
      <c r="C227" s="171"/>
      <c r="D227" s="171"/>
      <c r="E227" s="196"/>
      <c r="F227" s="177"/>
      <c r="G227" s="177"/>
      <c r="I227" s="171"/>
      <c r="J227" s="201"/>
      <c r="K227" s="195"/>
      <c r="L227" s="195"/>
      <c r="M227" s="177"/>
      <c r="N227" s="171"/>
      <c r="AC227" s="197"/>
    </row>
    <row r="228" spans="1:29" x14ac:dyDescent="0.2">
      <c r="A228" s="192"/>
      <c r="B228" s="193"/>
      <c r="C228" s="171"/>
      <c r="D228" s="171"/>
      <c r="E228" s="196"/>
      <c r="F228" s="177"/>
      <c r="G228" s="177"/>
      <c r="I228" s="171"/>
      <c r="J228" s="201"/>
      <c r="K228" s="195"/>
      <c r="L228" s="195"/>
      <c r="M228" s="177"/>
      <c r="N228" s="171"/>
      <c r="AC228" s="197"/>
    </row>
    <row r="229" spans="1:29" x14ac:dyDescent="0.2">
      <c r="A229" s="192"/>
      <c r="B229" s="193"/>
      <c r="C229" s="171"/>
      <c r="D229" s="171"/>
      <c r="E229" s="196"/>
      <c r="F229" s="177"/>
      <c r="G229" s="177"/>
      <c r="I229" s="171"/>
      <c r="J229" s="201"/>
      <c r="K229" s="195"/>
      <c r="L229" s="195"/>
      <c r="M229" s="177"/>
      <c r="N229" s="171"/>
      <c r="AC229" s="197"/>
    </row>
    <row r="230" spans="1:29" x14ac:dyDescent="0.2">
      <c r="A230" s="192"/>
      <c r="B230" s="193"/>
      <c r="C230" s="171"/>
      <c r="D230" s="171"/>
      <c r="E230" s="196"/>
      <c r="F230" s="177"/>
      <c r="G230" s="177"/>
      <c r="I230" s="171"/>
      <c r="J230" s="201"/>
      <c r="K230" s="195"/>
      <c r="L230" s="195"/>
      <c r="M230" s="177"/>
      <c r="N230" s="171"/>
      <c r="AC230" s="197"/>
    </row>
    <row r="231" spans="1:29" x14ac:dyDescent="0.2">
      <c r="A231" s="192"/>
      <c r="B231" s="193"/>
      <c r="C231" s="171"/>
      <c r="D231" s="171"/>
      <c r="E231" s="196"/>
      <c r="F231" s="177"/>
      <c r="G231" s="177"/>
      <c r="I231" s="171"/>
      <c r="J231" s="201"/>
      <c r="K231" s="195"/>
      <c r="L231" s="195"/>
      <c r="M231" s="177"/>
      <c r="N231" s="171"/>
      <c r="AC231" s="197"/>
    </row>
    <row r="232" spans="1:29" x14ac:dyDescent="0.2">
      <c r="A232" s="192"/>
      <c r="B232" s="193"/>
      <c r="C232" s="171"/>
      <c r="D232" s="171"/>
      <c r="E232" s="196"/>
      <c r="F232" s="177"/>
      <c r="G232" s="177"/>
      <c r="I232" s="171"/>
      <c r="J232" s="201"/>
      <c r="K232" s="195"/>
      <c r="L232" s="195"/>
      <c r="M232" s="177"/>
      <c r="N232" s="171"/>
      <c r="AC232" s="197"/>
    </row>
    <row r="233" spans="1:29" x14ac:dyDescent="0.2">
      <c r="A233" s="192"/>
      <c r="B233" s="193"/>
      <c r="C233" s="171"/>
      <c r="D233" s="171"/>
      <c r="E233" s="196"/>
      <c r="F233" s="177"/>
      <c r="G233" s="177"/>
      <c r="I233" s="171"/>
      <c r="J233" s="201"/>
      <c r="K233" s="195"/>
      <c r="L233" s="195"/>
      <c r="M233" s="177"/>
      <c r="N233" s="171"/>
      <c r="AC233" s="197"/>
    </row>
    <row r="234" spans="1:29" x14ac:dyDescent="0.2">
      <c r="A234" s="192"/>
      <c r="B234" s="193"/>
      <c r="C234" s="171"/>
      <c r="D234" s="171"/>
      <c r="E234" s="196"/>
      <c r="F234" s="177"/>
      <c r="G234" s="177"/>
      <c r="I234" s="171"/>
      <c r="J234" s="201"/>
      <c r="K234" s="195"/>
      <c r="L234" s="195"/>
      <c r="M234" s="177"/>
      <c r="N234" s="171"/>
      <c r="AC234" s="197"/>
    </row>
    <row r="235" spans="1:29" x14ac:dyDescent="0.2">
      <c r="A235" s="192"/>
      <c r="B235" s="193"/>
      <c r="C235" s="171"/>
      <c r="D235" s="171"/>
      <c r="E235" s="196"/>
      <c r="F235" s="177"/>
      <c r="G235" s="177"/>
      <c r="I235" s="171"/>
      <c r="J235" s="201"/>
      <c r="K235" s="195"/>
      <c r="L235" s="195"/>
      <c r="M235" s="177"/>
      <c r="N235" s="171"/>
      <c r="AC235" s="197"/>
    </row>
    <row r="236" spans="1:29" x14ac:dyDescent="0.2">
      <c r="A236" s="192"/>
      <c r="B236" s="193"/>
      <c r="C236" s="171"/>
      <c r="D236" s="171"/>
      <c r="E236" s="196"/>
      <c r="F236" s="177"/>
      <c r="G236" s="177"/>
      <c r="I236" s="171"/>
      <c r="J236" s="201"/>
      <c r="K236" s="195"/>
      <c r="L236" s="195"/>
      <c r="M236" s="177"/>
      <c r="N236" s="171"/>
      <c r="AC236" s="197"/>
    </row>
    <row r="237" spans="1:29" x14ac:dyDescent="0.2">
      <c r="A237" s="192"/>
      <c r="B237" s="193"/>
      <c r="C237" s="171"/>
      <c r="D237" s="171"/>
      <c r="E237" s="196"/>
      <c r="F237" s="177"/>
      <c r="G237" s="177"/>
      <c r="I237" s="171"/>
      <c r="J237" s="201"/>
      <c r="K237" s="195"/>
      <c r="L237" s="195"/>
      <c r="M237" s="177"/>
      <c r="N237" s="171"/>
      <c r="AC237" s="197"/>
    </row>
    <row r="238" spans="1:29" x14ac:dyDescent="0.2">
      <c r="A238" s="192"/>
      <c r="B238" s="193"/>
      <c r="C238" s="171"/>
      <c r="D238" s="171"/>
      <c r="E238" s="196"/>
      <c r="F238" s="177"/>
      <c r="G238" s="177"/>
      <c r="I238" s="171"/>
      <c r="J238" s="201"/>
      <c r="K238" s="195"/>
      <c r="L238" s="195"/>
      <c r="M238" s="177"/>
      <c r="N238" s="171"/>
      <c r="AC238" s="197"/>
    </row>
    <row r="239" spans="1:29" x14ac:dyDescent="0.2">
      <c r="A239" s="192"/>
      <c r="B239" s="193"/>
      <c r="C239" s="171"/>
      <c r="D239" s="171"/>
      <c r="E239" s="196"/>
      <c r="F239" s="177"/>
      <c r="G239" s="177"/>
      <c r="I239" s="171"/>
      <c r="J239" s="201"/>
      <c r="K239" s="195"/>
      <c r="L239" s="195"/>
      <c r="M239" s="177"/>
      <c r="N239" s="171"/>
      <c r="AC239" s="197"/>
    </row>
    <row r="240" spans="1:29" x14ac:dyDescent="0.2">
      <c r="A240" s="192"/>
      <c r="B240" s="193"/>
      <c r="C240" s="171"/>
      <c r="D240" s="171"/>
      <c r="E240" s="196"/>
      <c r="F240" s="177"/>
      <c r="G240" s="177"/>
      <c r="I240" s="171"/>
      <c r="J240" s="201"/>
      <c r="K240" s="195"/>
      <c r="L240" s="195"/>
      <c r="M240" s="177"/>
      <c r="N240" s="171"/>
      <c r="AC240" s="197"/>
    </row>
    <row r="241" spans="1:29" x14ac:dyDescent="0.2">
      <c r="A241" s="192"/>
      <c r="B241" s="193"/>
      <c r="C241" s="171"/>
      <c r="D241" s="171"/>
      <c r="E241" s="196"/>
      <c r="F241" s="177"/>
      <c r="G241" s="177"/>
      <c r="I241" s="171"/>
      <c r="J241" s="201"/>
      <c r="K241" s="195"/>
      <c r="L241" s="195"/>
      <c r="M241" s="177"/>
      <c r="N241" s="171"/>
      <c r="AC241" s="197"/>
    </row>
    <row r="242" spans="1:29" x14ac:dyDescent="0.2">
      <c r="A242" s="192"/>
      <c r="B242" s="193"/>
      <c r="C242" s="171"/>
      <c r="D242" s="171"/>
      <c r="E242" s="196"/>
      <c r="F242" s="177"/>
      <c r="G242" s="177"/>
      <c r="I242" s="171"/>
      <c r="J242" s="201"/>
      <c r="K242" s="195"/>
      <c r="L242" s="195"/>
      <c r="M242" s="177"/>
      <c r="N242" s="171"/>
      <c r="AC242" s="197"/>
    </row>
    <row r="243" spans="1:29" x14ac:dyDescent="0.2">
      <c r="A243" s="192"/>
      <c r="B243" s="193"/>
      <c r="C243" s="171"/>
      <c r="D243" s="171"/>
      <c r="E243" s="196"/>
      <c r="F243" s="177"/>
      <c r="G243" s="177"/>
      <c r="I243" s="171"/>
      <c r="J243" s="201"/>
      <c r="K243" s="195"/>
      <c r="L243" s="195"/>
      <c r="M243" s="177"/>
      <c r="N243" s="171"/>
      <c r="AC243" s="197"/>
    </row>
    <row r="244" spans="1:29" x14ac:dyDescent="0.2">
      <c r="A244" s="192"/>
      <c r="B244" s="193"/>
      <c r="C244" s="171"/>
      <c r="D244" s="171"/>
      <c r="E244" s="196"/>
      <c r="F244" s="177"/>
      <c r="G244" s="177"/>
      <c r="I244" s="171"/>
      <c r="J244" s="201"/>
      <c r="K244" s="195"/>
      <c r="L244" s="195"/>
      <c r="M244" s="177"/>
      <c r="N244" s="171"/>
      <c r="AC244" s="197"/>
    </row>
    <row r="245" spans="1:29" x14ac:dyDescent="0.2">
      <c r="A245" s="192"/>
      <c r="B245" s="193"/>
      <c r="C245" s="171"/>
      <c r="D245" s="171"/>
      <c r="E245" s="196"/>
      <c r="F245" s="177"/>
      <c r="G245" s="177"/>
      <c r="I245" s="171"/>
      <c r="J245" s="201"/>
      <c r="K245" s="195"/>
      <c r="L245" s="195"/>
      <c r="M245" s="177"/>
      <c r="N245" s="171"/>
      <c r="AC245" s="197"/>
    </row>
    <row r="246" spans="1:29" x14ac:dyDescent="0.2">
      <c r="A246" s="192"/>
      <c r="B246" s="193"/>
      <c r="C246" s="171"/>
      <c r="D246" s="171"/>
      <c r="E246" s="196"/>
      <c r="F246" s="177"/>
      <c r="G246" s="177"/>
      <c r="I246" s="171"/>
      <c r="J246" s="201"/>
      <c r="K246" s="195"/>
      <c r="L246" s="195"/>
      <c r="M246" s="177"/>
      <c r="N246" s="171"/>
      <c r="AC246" s="197"/>
    </row>
    <row r="247" spans="1:29" x14ac:dyDescent="0.2">
      <c r="A247" s="192"/>
      <c r="B247" s="193"/>
      <c r="C247" s="171"/>
      <c r="D247" s="171"/>
      <c r="E247" s="196"/>
      <c r="F247" s="177"/>
      <c r="G247" s="177"/>
      <c r="I247" s="171"/>
      <c r="J247" s="201"/>
      <c r="K247" s="195"/>
      <c r="L247" s="195"/>
      <c r="M247" s="177"/>
      <c r="N247" s="171"/>
      <c r="AC247" s="197"/>
    </row>
    <row r="248" spans="1:29" x14ac:dyDescent="0.2">
      <c r="A248" s="192"/>
      <c r="B248" s="193"/>
      <c r="C248" s="171"/>
      <c r="D248" s="171"/>
      <c r="E248" s="196"/>
      <c r="F248" s="177"/>
      <c r="G248" s="177"/>
      <c r="I248" s="171"/>
      <c r="J248" s="201"/>
      <c r="K248" s="195"/>
      <c r="L248" s="195"/>
      <c r="M248" s="177"/>
      <c r="N248" s="171"/>
      <c r="AC248" s="197"/>
    </row>
    <row r="249" spans="1:29" x14ac:dyDescent="0.2">
      <c r="A249" s="192"/>
      <c r="B249" s="193"/>
      <c r="C249" s="171"/>
      <c r="D249" s="171"/>
      <c r="E249" s="196"/>
      <c r="F249" s="177"/>
      <c r="G249" s="177"/>
      <c r="I249" s="171"/>
      <c r="J249" s="201"/>
      <c r="K249" s="195"/>
      <c r="L249" s="195"/>
      <c r="M249" s="177"/>
      <c r="N249" s="171"/>
      <c r="AC249" s="197"/>
    </row>
    <row r="250" spans="1:29" x14ac:dyDescent="0.2">
      <c r="A250" s="192"/>
      <c r="B250" s="193"/>
      <c r="C250" s="171"/>
      <c r="D250" s="171"/>
      <c r="E250" s="196"/>
      <c r="F250" s="177"/>
      <c r="G250" s="177"/>
      <c r="I250" s="171"/>
      <c r="J250" s="201"/>
      <c r="K250" s="195"/>
      <c r="L250" s="195"/>
      <c r="M250" s="177"/>
      <c r="N250" s="171"/>
      <c r="AC250" s="197"/>
    </row>
    <row r="251" spans="1:29" x14ac:dyDescent="0.2">
      <c r="A251" s="192"/>
      <c r="B251" s="193"/>
      <c r="C251" s="171"/>
      <c r="D251" s="171"/>
      <c r="E251" s="196"/>
      <c r="F251" s="177"/>
      <c r="G251" s="177"/>
      <c r="I251" s="171"/>
      <c r="J251" s="201"/>
      <c r="K251" s="195"/>
      <c r="L251" s="195"/>
      <c r="M251" s="177"/>
      <c r="N251" s="171"/>
      <c r="AC251" s="197"/>
    </row>
    <row r="252" spans="1:29" x14ac:dyDescent="0.2">
      <c r="A252" s="192"/>
      <c r="B252" s="193"/>
      <c r="C252" s="171"/>
      <c r="D252" s="171"/>
      <c r="E252" s="196"/>
      <c r="F252" s="177"/>
      <c r="G252" s="177"/>
      <c r="I252" s="171"/>
      <c r="J252" s="201"/>
      <c r="K252" s="195"/>
      <c r="L252" s="195"/>
      <c r="M252" s="177"/>
      <c r="N252" s="171"/>
      <c r="AC252" s="197"/>
    </row>
    <row r="253" spans="1:29" x14ac:dyDescent="0.2">
      <c r="A253" s="192"/>
      <c r="B253" s="193"/>
      <c r="C253" s="171"/>
      <c r="D253" s="171"/>
      <c r="E253" s="196"/>
      <c r="F253" s="177"/>
      <c r="G253" s="177"/>
      <c r="I253" s="171"/>
      <c r="J253" s="201"/>
      <c r="K253" s="195"/>
      <c r="L253" s="195"/>
      <c r="M253" s="177"/>
      <c r="N253" s="171"/>
      <c r="AC253" s="197"/>
    </row>
    <row r="254" spans="1:29" x14ac:dyDescent="0.2">
      <c r="A254" s="192"/>
      <c r="B254" s="193"/>
      <c r="C254" s="171"/>
      <c r="D254" s="171"/>
      <c r="E254" s="196"/>
      <c r="F254" s="177"/>
      <c r="G254" s="177"/>
      <c r="I254" s="171"/>
      <c r="J254" s="201"/>
      <c r="K254" s="195"/>
      <c r="L254" s="195"/>
      <c r="M254" s="177"/>
      <c r="N254" s="171"/>
      <c r="AC254" s="197"/>
    </row>
    <row r="255" spans="1:29" x14ac:dyDescent="0.2">
      <c r="A255" s="192"/>
      <c r="B255" s="193"/>
      <c r="C255" s="171"/>
      <c r="D255" s="171"/>
      <c r="E255" s="196"/>
      <c r="F255" s="177"/>
      <c r="G255" s="177"/>
      <c r="I255" s="171"/>
      <c r="J255" s="201"/>
      <c r="K255" s="195"/>
      <c r="L255" s="195"/>
      <c r="M255" s="177"/>
      <c r="N255" s="171"/>
      <c r="AC255" s="197"/>
    </row>
    <row r="256" spans="1:29" x14ac:dyDescent="0.2">
      <c r="A256" s="192"/>
      <c r="B256" s="193"/>
      <c r="C256" s="171"/>
      <c r="D256" s="171"/>
      <c r="E256" s="196"/>
      <c r="F256" s="177"/>
      <c r="G256" s="177"/>
      <c r="I256" s="171"/>
      <c r="J256" s="201"/>
      <c r="K256" s="195"/>
      <c r="L256" s="195"/>
      <c r="M256" s="177"/>
      <c r="N256" s="171"/>
      <c r="AC256" s="197"/>
    </row>
    <row r="257" spans="1:29" x14ac:dyDescent="0.2">
      <c r="A257" s="192"/>
      <c r="B257" s="193"/>
      <c r="C257" s="171"/>
      <c r="D257" s="171"/>
      <c r="E257" s="196"/>
      <c r="F257" s="177"/>
      <c r="G257" s="177"/>
      <c r="I257" s="171"/>
      <c r="J257" s="201"/>
      <c r="K257" s="195"/>
      <c r="L257" s="195"/>
      <c r="M257" s="177"/>
      <c r="N257" s="171"/>
      <c r="AC257" s="197"/>
    </row>
    <row r="258" spans="1:29" x14ac:dyDescent="0.2">
      <c r="A258" s="192"/>
      <c r="B258" s="193"/>
      <c r="C258" s="171"/>
      <c r="D258" s="171"/>
      <c r="E258" s="196"/>
      <c r="F258" s="177"/>
      <c r="G258" s="177"/>
      <c r="I258" s="171"/>
      <c r="J258" s="201"/>
      <c r="K258" s="195"/>
      <c r="L258" s="195"/>
      <c r="M258" s="177"/>
      <c r="N258" s="171"/>
      <c r="AC258" s="197"/>
    </row>
    <row r="259" spans="1:29" x14ac:dyDescent="0.2">
      <c r="A259" s="192"/>
      <c r="B259" s="193"/>
      <c r="C259" s="171"/>
      <c r="D259" s="171"/>
      <c r="E259" s="196"/>
      <c r="F259" s="177"/>
      <c r="G259" s="177"/>
      <c r="I259" s="171"/>
      <c r="J259" s="201"/>
      <c r="K259" s="195"/>
      <c r="L259" s="195"/>
      <c r="M259" s="177"/>
      <c r="N259" s="171"/>
      <c r="AC259" s="197"/>
    </row>
    <row r="260" spans="1:29" x14ac:dyDescent="0.2">
      <c r="A260" s="192"/>
      <c r="B260" s="193"/>
      <c r="C260" s="171"/>
      <c r="D260" s="171"/>
      <c r="E260" s="196"/>
      <c r="F260" s="177"/>
      <c r="G260" s="177"/>
      <c r="I260" s="171"/>
      <c r="J260" s="201"/>
      <c r="K260" s="195"/>
      <c r="L260" s="195"/>
      <c r="M260" s="177"/>
      <c r="N260" s="171"/>
      <c r="AC260" s="197"/>
    </row>
    <row r="261" spans="1:29" x14ac:dyDescent="0.2">
      <c r="A261" s="192"/>
      <c r="B261" s="193"/>
      <c r="C261" s="171"/>
      <c r="D261" s="171"/>
      <c r="E261" s="196"/>
      <c r="F261" s="177"/>
      <c r="G261" s="177"/>
      <c r="I261" s="171"/>
      <c r="J261" s="201"/>
      <c r="K261" s="195"/>
      <c r="L261" s="195"/>
      <c r="M261" s="177"/>
      <c r="N261" s="171"/>
      <c r="AC261" s="197"/>
    </row>
    <row r="262" spans="1:29" x14ac:dyDescent="0.2">
      <c r="A262" s="192"/>
      <c r="B262" s="193"/>
      <c r="C262" s="171"/>
      <c r="D262" s="171"/>
      <c r="E262" s="196"/>
      <c r="F262" s="177"/>
      <c r="G262" s="177"/>
      <c r="I262" s="171"/>
      <c r="J262" s="201"/>
      <c r="K262" s="195"/>
      <c r="L262" s="195"/>
      <c r="M262" s="177"/>
      <c r="N262" s="171"/>
      <c r="AC262" s="197"/>
    </row>
    <row r="263" spans="1:29" x14ac:dyDescent="0.2">
      <c r="A263" s="192"/>
      <c r="B263" s="193"/>
      <c r="C263" s="171"/>
      <c r="D263" s="171"/>
      <c r="E263" s="196"/>
      <c r="F263" s="177"/>
      <c r="G263" s="177"/>
      <c r="I263" s="171"/>
      <c r="J263" s="201"/>
      <c r="K263" s="195"/>
      <c r="L263" s="195"/>
      <c r="M263" s="177"/>
      <c r="N263" s="171"/>
      <c r="AC263" s="197"/>
    </row>
    <row r="264" spans="1:29" x14ac:dyDescent="0.2">
      <c r="A264" s="192"/>
      <c r="B264" s="193"/>
      <c r="C264" s="171"/>
      <c r="D264" s="171"/>
      <c r="E264" s="196"/>
      <c r="F264" s="177"/>
      <c r="G264" s="177"/>
      <c r="I264" s="171"/>
      <c r="J264" s="201"/>
      <c r="K264" s="195"/>
      <c r="L264" s="195"/>
      <c r="M264" s="177"/>
      <c r="N264" s="171"/>
      <c r="AC264" s="197"/>
    </row>
    <row r="265" spans="1:29" x14ac:dyDescent="0.2">
      <c r="A265" s="192"/>
      <c r="B265" s="193"/>
      <c r="C265" s="171"/>
      <c r="D265" s="171"/>
      <c r="E265" s="196"/>
      <c r="F265" s="177"/>
      <c r="G265" s="177"/>
      <c r="I265" s="171"/>
      <c r="J265" s="201"/>
      <c r="K265" s="195"/>
      <c r="L265" s="195"/>
      <c r="M265" s="177"/>
      <c r="N265" s="171"/>
      <c r="AC265" s="197"/>
    </row>
    <row r="266" spans="1:29" x14ac:dyDescent="0.2">
      <c r="A266" s="192"/>
      <c r="B266" s="193"/>
      <c r="C266" s="171"/>
      <c r="D266" s="171"/>
      <c r="E266" s="196"/>
      <c r="F266" s="177"/>
      <c r="G266" s="177"/>
      <c r="I266" s="171"/>
      <c r="J266" s="201"/>
      <c r="K266" s="195"/>
      <c r="L266" s="195"/>
      <c r="M266" s="177"/>
      <c r="N266" s="171"/>
      <c r="AC266" s="197"/>
    </row>
    <row r="267" spans="1:29" x14ac:dyDescent="0.2">
      <c r="A267" s="192"/>
      <c r="B267" s="193"/>
      <c r="C267" s="171"/>
      <c r="D267" s="171"/>
      <c r="E267" s="196"/>
      <c r="F267" s="177"/>
      <c r="G267" s="177"/>
      <c r="I267" s="171"/>
      <c r="J267" s="201"/>
      <c r="K267" s="195"/>
      <c r="L267" s="195"/>
      <c r="M267" s="177"/>
      <c r="N267" s="171"/>
      <c r="AC267" s="197"/>
    </row>
    <row r="268" spans="1:29" x14ac:dyDescent="0.2">
      <c r="A268" s="192"/>
      <c r="B268" s="193"/>
      <c r="C268" s="171"/>
      <c r="D268" s="171"/>
      <c r="E268" s="196"/>
      <c r="F268" s="177"/>
      <c r="G268" s="177"/>
      <c r="I268" s="171"/>
      <c r="J268" s="201"/>
      <c r="K268" s="195"/>
      <c r="L268" s="195"/>
      <c r="M268" s="177"/>
      <c r="N268" s="171"/>
      <c r="AC268" s="197"/>
    </row>
    <row r="269" spans="1:29" x14ac:dyDescent="0.2">
      <c r="A269" s="192"/>
      <c r="B269" s="193"/>
      <c r="C269" s="171"/>
      <c r="D269" s="171"/>
      <c r="E269" s="196"/>
      <c r="F269" s="177"/>
      <c r="G269" s="177"/>
      <c r="I269" s="171"/>
      <c r="J269" s="201"/>
      <c r="K269" s="195"/>
      <c r="L269" s="195"/>
      <c r="M269" s="177"/>
      <c r="N269" s="171"/>
      <c r="AC269" s="197"/>
    </row>
    <row r="270" spans="1:29" x14ac:dyDescent="0.2">
      <c r="A270" s="192"/>
      <c r="B270" s="193"/>
      <c r="C270" s="171"/>
      <c r="D270" s="171"/>
      <c r="E270" s="196"/>
      <c r="F270" s="177"/>
      <c r="G270" s="177"/>
      <c r="I270" s="171"/>
      <c r="J270" s="201"/>
      <c r="K270" s="195"/>
      <c r="L270" s="195"/>
      <c r="M270" s="177"/>
      <c r="N270" s="171"/>
      <c r="AC270" s="197"/>
    </row>
    <row r="271" spans="1:29" x14ac:dyDescent="0.2">
      <c r="A271" s="192"/>
      <c r="B271" s="193"/>
      <c r="C271" s="171"/>
      <c r="D271" s="171"/>
      <c r="E271" s="196"/>
      <c r="F271" s="177"/>
      <c r="G271" s="177"/>
      <c r="I271" s="171"/>
      <c r="J271" s="201"/>
      <c r="K271" s="195"/>
      <c r="L271" s="195"/>
      <c r="M271" s="177"/>
      <c r="N271" s="171"/>
      <c r="AC271" s="197"/>
    </row>
    <row r="272" spans="1:29" x14ac:dyDescent="0.2">
      <c r="A272" s="192"/>
      <c r="B272" s="193"/>
      <c r="C272" s="171"/>
      <c r="D272" s="171"/>
      <c r="E272" s="196"/>
      <c r="F272" s="177"/>
      <c r="G272" s="177"/>
      <c r="I272" s="171"/>
      <c r="J272" s="201"/>
      <c r="K272" s="195"/>
      <c r="L272" s="195"/>
      <c r="M272" s="177"/>
      <c r="N272" s="171"/>
      <c r="AC272" s="197"/>
    </row>
    <row r="273" spans="1:29" x14ac:dyDescent="0.2">
      <c r="A273" s="192"/>
      <c r="B273" s="193"/>
      <c r="C273" s="171"/>
      <c r="D273" s="171"/>
      <c r="E273" s="196"/>
      <c r="F273" s="177"/>
      <c r="G273" s="177"/>
      <c r="I273" s="171"/>
      <c r="J273" s="201"/>
      <c r="K273" s="195"/>
      <c r="L273" s="195"/>
      <c r="M273" s="177"/>
      <c r="N273" s="171"/>
      <c r="AC273" s="197"/>
    </row>
    <row r="274" spans="1:29" x14ac:dyDescent="0.2">
      <c r="A274" s="192"/>
      <c r="B274" s="193"/>
      <c r="C274" s="171"/>
      <c r="D274" s="171"/>
      <c r="E274" s="196"/>
      <c r="F274" s="177"/>
      <c r="G274" s="177"/>
      <c r="I274" s="171"/>
      <c r="J274" s="201"/>
      <c r="K274" s="195"/>
      <c r="L274" s="195"/>
      <c r="M274" s="177"/>
      <c r="N274" s="171"/>
      <c r="AC274" s="197"/>
    </row>
    <row r="275" spans="1:29" x14ac:dyDescent="0.2">
      <c r="A275" s="192"/>
      <c r="B275" s="193"/>
      <c r="C275" s="171"/>
      <c r="D275" s="171"/>
      <c r="E275" s="196"/>
      <c r="F275" s="177"/>
      <c r="G275" s="177"/>
      <c r="I275" s="171"/>
      <c r="J275" s="201"/>
      <c r="K275" s="195"/>
      <c r="L275" s="195"/>
      <c r="M275" s="177"/>
      <c r="N275" s="171"/>
      <c r="AC275" s="197"/>
    </row>
    <row r="276" spans="1:29" x14ac:dyDescent="0.2">
      <c r="A276" s="192"/>
      <c r="B276" s="193"/>
      <c r="C276" s="171"/>
      <c r="D276" s="171"/>
      <c r="E276" s="196"/>
      <c r="F276" s="177"/>
      <c r="G276" s="177"/>
      <c r="I276" s="171"/>
      <c r="J276" s="201"/>
      <c r="K276" s="195"/>
      <c r="L276" s="195"/>
      <c r="M276" s="177"/>
      <c r="N276" s="171"/>
      <c r="AC276" s="197"/>
    </row>
    <row r="277" spans="1:29" x14ac:dyDescent="0.2">
      <c r="A277" s="192"/>
      <c r="B277" s="193"/>
      <c r="C277" s="171"/>
      <c r="D277" s="171"/>
      <c r="E277" s="196"/>
      <c r="F277" s="177"/>
      <c r="G277" s="177"/>
      <c r="I277" s="171"/>
      <c r="J277" s="201"/>
      <c r="K277" s="195"/>
      <c r="L277" s="195"/>
      <c r="M277" s="177"/>
      <c r="N277" s="171"/>
      <c r="AC277" s="197"/>
    </row>
    <row r="278" spans="1:29" x14ac:dyDescent="0.2">
      <c r="A278" s="192"/>
      <c r="B278" s="193"/>
      <c r="C278" s="171"/>
      <c r="D278" s="171"/>
      <c r="E278" s="196"/>
      <c r="F278" s="177"/>
      <c r="G278" s="177"/>
      <c r="I278" s="171"/>
      <c r="J278" s="201"/>
      <c r="K278" s="195"/>
      <c r="L278" s="195"/>
      <c r="M278" s="177"/>
      <c r="N278" s="171"/>
      <c r="AC278" s="197"/>
    </row>
    <row r="279" spans="1:29" x14ac:dyDescent="0.2">
      <c r="A279" s="192"/>
      <c r="B279" s="193"/>
      <c r="C279" s="171"/>
      <c r="D279" s="171"/>
      <c r="E279" s="196"/>
      <c r="F279" s="177"/>
      <c r="G279" s="177"/>
      <c r="I279" s="171"/>
      <c r="J279" s="201"/>
      <c r="K279" s="195"/>
      <c r="L279" s="195"/>
      <c r="M279" s="177"/>
      <c r="N279" s="171"/>
      <c r="AC279" s="197"/>
    </row>
    <row r="280" spans="1:29" x14ac:dyDescent="0.2">
      <c r="A280" s="192"/>
      <c r="B280" s="193"/>
      <c r="C280" s="171"/>
      <c r="D280" s="171"/>
      <c r="E280" s="196"/>
      <c r="F280" s="177"/>
      <c r="G280" s="177"/>
      <c r="I280" s="171"/>
      <c r="J280" s="201"/>
      <c r="K280" s="195"/>
      <c r="L280" s="195"/>
      <c r="M280" s="177"/>
      <c r="N280" s="171"/>
      <c r="AC280" s="197"/>
    </row>
    <row r="281" spans="1:29" x14ac:dyDescent="0.2">
      <c r="A281" s="192"/>
      <c r="B281" s="193"/>
      <c r="C281" s="171"/>
      <c r="D281" s="171"/>
      <c r="E281" s="196"/>
      <c r="F281" s="177"/>
      <c r="G281" s="177"/>
      <c r="I281" s="171"/>
      <c r="J281" s="201"/>
      <c r="K281" s="195"/>
      <c r="L281" s="195"/>
      <c r="M281" s="177"/>
      <c r="N281" s="171"/>
      <c r="AC281" s="197"/>
    </row>
    <row r="282" spans="1:29" x14ac:dyDescent="0.2">
      <c r="A282" s="192"/>
      <c r="B282" s="193"/>
      <c r="C282" s="171"/>
      <c r="D282" s="171"/>
      <c r="E282" s="196"/>
      <c r="F282" s="177"/>
      <c r="G282" s="177"/>
      <c r="I282" s="171"/>
      <c r="J282" s="201"/>
      <c r="K282" s="195"/>
      <c r="L282" s="195"/>
      <c r="M282" s="177"/>
      <c r="N282" s="171"/>
      <c r="AC282" s="197"/>
    </row>
    <row r="283" spans="1:29" x14ac:dyDescent="0.2">
      <c r="A283" s="192"/>
      <c r="B283" s="193"/>
      <c r="C283" s="171"/>
      <c r="D283" s="171"/>
      <c r="E283" s="196"/>
      <c r="F283" s="177"/>
      <c r="G283" s="177"/>
      <c r="I283" s="171"/>
      <c r="J283" s="201"/>
      <c r="K283" s="195"/>
      <c r="L283" s="195"/>
      <c r="M283" s="177"/>
      <c r="N283" s="171"/>
      <c r="AC283" s="197"/>
    </row>
    <row r="284" spans="1:29" x14ac:dyDescent="0.2">
      <c r="A284" s="192"/>
      <c r="B284" s="193"/>
      <c r="C284" s="171"/>
      <c r="D284" s="171"/>
      <c r="E284" s="196"/>
      <c r="F284" s="177"/>
      <c r="G284" s="177"/>
      <c r="I284" s="171"/>
      <c r="J284" s="201"/>
      <c r="K284" s="195"/>
      <c r="L284" s="195"/>
      <c r="M284" s="177"/>
      <c r="N284" s="171"/>
      <c r="AC284" s="197"/>
    </row>
    <row r="285" spans="1:29" x14ac:dyDescent="0.2">
      <c r="A285" s="192"/>
      <c r="B285" s="193"/>
      <c r="C285" s="171"/>
      <c r="D285" s="171"/>
      <c r="E285" s="196"/>
      <c r="F285" s="177"/>
      <c r="G285" s="177"/>
      <c r="I285" s="171"/>
      <c r="J285" s="201"/>
      <c r="K285" s="195"/>
      <c r="L285" s="195"/>
      <c r="M285" s="177"/>
      <c r="N285" s="171"/>
      <c r="AC285" s="197"/>
    </row>
    <row r="286" spans="1:29" x14ac:dyDescent="0.2">
      <c r="A286" s="192"/>
      <c r="B286" s="193"/>
      <c r="C286" s="171"/>
      <c r="D286" s="171"/>
      <c r="E286" s="196"/>
      <c r="F286" s="177"/>
      <c r="G286" s="177"/>
      <c r="I286" s="171"/>
      <c r="J286" s="201"/>
      <c r="K286" s="195"/>
      <c r="L286" s="195"/>
      <c r="M286" s="177"/>
      <c r="N286" s="171"/>
      <c r="AC286" s="197"/>
    </row>
    <row r="287" spans="1:29" x14ac:dyDescent="0.2">
      <c r="A287" s="192"/>
      <c r="B287" s="193"/>
      <c r="C287" s="171"/>
      <c r="D287" s="171"/>
      <c r="E287" s="196"/>
      <c r="F287" s="177"/>
      <c r="G287" s="177"/>
      <c r="I287" s="171"/>
      <c r="J287" s="201"/>
      <c r="K287" s="195"/>
      <c r="L287" s="195"/>
      <c r="M287" s="177"/>
      <c r="N287" s="171"/>
      <c r="AC287" s="197"/>
    </row>
    <row r="288" spans="1:29" x14ac:dyDescent="0.2">
      <c r="A288" s="192"/>
      <c r="B288" s="193"/>
      <c r="C288" s="171"/>
      <c r="D288" s="171"/>
      <c r="E288" s="196"/>
      <c r="F288" s="177"/>
      <c r="G288" s="177"/>
      <c r="I288" s="171"/>
      <c r="J288" s="201"/>
      <c r="K288" s="195"/>
      <c r="L288" s="195"/>
      <c r="M288" s="177"/>
      <c r="N288" s="171"/>
      <c r="AC288" s="197"/>
    </row>
    <row r="289" spans="1:29" x14ac:dyDescent="0.2">
      <c r="A289" s="192"/>
      <c r="B289" s="193"/>
      <c r="C289" s="171"/>
      <c r="D289" s="171"/>
      <c r="E289" s="196"/>
      <c r="F289" s="177"/>
      <c r="G289" s="177"/>
      <c r="I289" s="171"/>
      <c r="J289" s="201"/>
      <c r="K289" s="195"/>
      <c r="L289" s="195"/>
      <c r="M289" s="177"/>
      <c r="N289" s="171"/>
      <c r="AC289" s="197"/>
    </row>
    <row r="290" spans="1:29" x14ac:dyDescent="0.2">
      <c r="A290" s="192"/>
      <c r="B290" s="193"/>
      <c r="C290" s="171"/>
      <c r="D290" s="171"/>
      <c r="E290" s="196"/>
      <c r="F290" s="177"/>
      <c r="G290" s="177"/>
      <c r="I290" s="171"/>
      <c r="J290" s="201"/>
      <c r="K290" s="195"/>
      <c r="L290" s="195"/>
      <c r="M290" s="177"/>
      <c r="N290" s="171"/>
      <c r="AC290" s="197"/>
    </row>
    <row r="291" spans="1:29" x14ac:dyDescent="0.2">
      <c r="A291" s="192"/>
      <c r="B291" s="193"/>
      <c r="C291" s="171"/>
      <c r="D291" s="171"/>
      <c r="E291" s="196"/>
      <c r="F291" s="177"/>
      <c r="G291" s="177"/>
      <c r="I291" s="171"/>
      <c r="J291" s="201"/>
      <c r="K291" s="195"/>
      <c r="L291" s="195"/>
      <c r="M291" s="177"/>
      <c r="N291" s="171"/>
      <c r="AC291" s="197"/>
    </row>
    <row r="292" spans="1:29" x14ac:dyDescent="0.2">
      <c r="A292" s="192"/>
      <c r="B292" s="193"/>
      <c r="C292" s="171"/>
      <c r="D292" s="171"/>
      <c r="E292" s="196"/>
      <c r="F292" s="177"/>
      <c r="G292" s="177"/>
      <c r="I292" s="171"/>
      <c r="J292" s="201"/>
      <c r="K292" s="195"/>
      <c r="L292" s="195"/>
      <c r="M292" s="177"/>
      <c r="N292" s="171"/>
      <c r="AC292" s="197"/>
    </row>
    <row r="293" spans="1:29" x14ac:dyDescent="0.2">
      <c r="A293" s="192"/>
      <c r="B293" s="193"/>
      <c r="C293" s="171"/>
      <c r="D293" s="171"/>
      <c r="E293" s="196"/>
      <c r="F293" s="177"/>
      <c r="G293" s="177"/>
      <c r="I293" s="171"/>
      <c r="J293" s="201"/>
      <c r="K293" s="195"/>
      <c r="L293" s="195"/>
      <c r="M293" s="177"/>
      <c r="N293" s="171"/>
      <c r="AC293" s="197"/>
    </row>
    <row r="294" spans="1:29" x14ac:dyDescent="0.2">
      <c r="A294" s="192"/>
      <c r="B294" s="193"/>
      <c r="C294" s="171"/>
      <c r="D294" s="171"/>
      <c r="E294" s="196"/>
      <c r="F294" s="177"/>
      <c r="G294" s="177"/>
      <c r="I294" s="171"/>
      <c r="J294" s="201"/>
      <c r="K294" s="195"/>
      <c r="L294" s="195"/>
      <c r="M294" s="177"/>
      <c r="N294" s="171"/>
      <c r="AC294" s="197"/>
    </row>
    <row r="295" spans="1:29" x14ac:dyDescent="0.2">
      <c r="A295" s="192"/>
      <c r="B295" s="193"/>
      <c r="C295" s="171"/>
      <c r="D295" s="171"/>
      <c r="E295" s="196"/>
      <c r="F295" s="177"/>
      <c r="G295" s="177"/>
      <c r="I295" s="171"/>
      <c r="J295" s="201"/>
      <c r="K295" s="195"/>
      <c r="L295" s="195"/>
      <c r="M295" s="177"/>
      <c r="N295" s="171"/>
      <c r="AC295" s="197"/>
    </row>
    <row r="296" spans="1:29" x14ac:dyDescent="0.2">
      <c r="A296" s="192"/>
      <c r="B296" s="193"/>
      <c r="C296" s="171"/>
      <c r="D296" s="171"/>
      <c r="E296" s="196"/>
      <c r="F296" s="177"/>
      <c r="G296" s="177"/>
      <c r="I296" s="171"/>
      <c r="J296" s="201"/>
      <c r="K296" s="195"/>
      <c r="L296" s="195"/>
      <c r="M296" s="177"/>
      <c r="N296" s="171"/>
      <c r="AC296" s="197"/>
    </row>
    <row r="297" spans="1:29" x14ac:dyDescent="0.2">
      <c r="A297" s="192"/>
      <c r="B297" s="193"/>
      <c r="C297" s="171"/>
      <c r="D297" s="171"/>
      <c r="E297" s="196"/>
      <c r="F297" s="177"/>
      <c r="G297" s="177"/>
      <c r="I297" s="171"/>
      <c r="J297" s="201"/>
      <c r="K297" s="195"/>
      <c r="L297" s="195"/>
      <c r="M297" s="177"/>
      <c r="N297" s="171"/>
      <c r="AC297" s="197"/>
    </row>
    <row r="298" spans="1:29" x14ac:dyDescent="0.2">
      <c r="A298" s="192"/>
      <c r="B298" s="193"/>
      <c r="C298" s="171"/>
      <c r="D298" s="171"/>
      <c r="E298" s="196"/>
      <c r="F298" s="177"/>
      <c r="G298" s="177"/>
      <c r="I298" s="171"/>
      <c r="J298" s="201"/>
      <c r="K298" s="195"/>
      <c r="L298" s="195"/>
      <c r="M298" s="177"/>
      <c r="N298" s="171"/>
      <c r="AC298" s="197"/>
    </row>
    <row r="299" spans="1:29" x14ac:dyDescent="0.2">
      <c r="A299" s="192"/>
      <c r="B299" s="193"/>
      <c r="C299" s="171"/>
      <c r="D299" s="171"/>
      <c r="E299" s="196"/>
      <c r="F299" s="177"/>
      <c r="G299" s="177"/>
      <c r="I299" s="171"/>
      <c r="J299" s="201"/>
      <c r="K299" s="195"/>
      <c r="L299" s="195"/>
      <c r="M299" s="177"/>
      <c r="N299" s="171"/>
      <c r="AC299" s="197"/>
    </row>
    <row r="300" spans="1:29" x14ac:dyDescent="0.2">
      <c r="A300" s="192"/>
      <c r="B300" s="193"/>
      <c r="C300" s="171"/>
      <c r="D300" s="171"/>
      <c r="E300" s="196"/>
      <c r="F300" s="177"/>
      <c r="G300" s="177"/>
      <c r="I300" s="171"/>
      <c r="J300" s="201"/>
      <c r="K300" s="195"/>
      <c r="L300" s="195"/>
      <c r="M300" s="177"/>
      <c r="N300" s="171"/>
      <c r="AC300" s="197"/>
    </row>
    <row r="301" spans="1:29" x14ac:dyDescent="0.2">
      <c r="A301" s="192"/>
      <c r="B301" s="193"/>
      <c r="C301" s="171"/>
      <c r="D301" s="171"/>
      <c r="E301" s="196"/>
      <c r="F301" s="177"/>
      <c r="G301" s="177"/>
      <c r="I301" s="171"/>
      <c r="J301" s="201"/>
      <c r="K301" s="195"/>
      <c r="L301" s="195"/>
      <c r="M301" s="177"/>
      <c r="N301" s="171"/>
      <c r="AC301" s="197"/>
    </row>
    <row r="302" spans="1:29" x14ac:dyDescent="0.2">
      <c r="A302" s="192"/>
      <c r="B302" s="193"/>
      <c r="C302" s="171"/>
      <c r="D302" s="171"/>
      <c r="E302" s="196"/>
      <c r="F302" s="177"/>
      <c r="G302" s="177"/>
      <c r="I302" s="171"/>
      <c r="J302" s="201"/>
      <c r="K302" s="195"/>
      <c r="L302" s="195"/>
      <c r="M302" s="177"/>
      <c r="N302" s="171"/>
      <c r="AC302" s="197"/>
    </row>
    <row r="303" spans="1:29" x14ac:dyDescent="0.2">
      <c r="A303" s="192"/>
      <c r="B303" s="193"/>
      <c r="C303" s="171"/>
      <c r="D303" s="171"/>
      <c r="E303" s="196"/>
      <c r="F303" s="177"/>
      <c r="G303" s="177"/>
      <c r="I303" s="171"/>
      <c r="J303" s="201"/>
      <c r="K303" s="195"/>
      <c r="L303" s="195"/>
      <c r="M303" s="177"/>
      <c r="N303" s="171"/>
      <c r="AC303" s="197"/>
    </row>
    <row r="304" spans="1:29" x14ac:dyDescent="0.2">
      <c r="A304" s="192"/>
      <c r="B304" s="193"/>
      <c r="C304" s="171"/>
      <c r="D304" s="171"/>
      <c r="E304" s="196"/>
      <c r="F304" s="177"/>
      <c r="G304" s="177"/>
      <c r="I304" s="171"/>
      <c r="J304" s="201"/>
      <c r="K304" s="195"/>
      <c r="L304" s="195"/>
      <c r="M304" s="177"/>
      <c r="N304" s="171"/>
      <c r="AC304" s="197"/>
    </row>
    <row r="305" spans="1:29" x14ac:dyDescent="0.2">
      <c r="A305" s="192"/>
      <c r="B305" s="193"/>
      <c r="C305" s="171"/>
      <c r="D305" s="171"/>
      <c r="E305" s="196"/>
      <c r="F305" s="177"/>
      <c r="G305" s="177"/>
      <c r="I305" s="171"/>
      <c r="J305" s="201"/>
      <c r="K305" s="195"/>
      <c r="L305" s="195"/>
      <c r="M305" s="177"/>
      <c r="N305" s="171"/>
      <c r="AC305" s="197"/>
    </row>
    <row r="306" spans="1:29" x14ac:dyDescent="0.2">
      <c r="A306" s="192"/>
      <c r="B306" s="193"/>
      <c r="C306" s="171"/>
      <c r="D306" s="171"/>
      <c r="E306" s="196"/>
      <c r="F306" s="177"/>
      <c r="G306" s="177"/>
      <c r="I306" s="171"/>
      <c r="J306" s="201"/>
      <c r="K306" s="195"/>
      <c r="L306" s="195"/>
      <c r="M306" s="177"/>
      <c r="N306" s="171"/>
      <c r="AC306" s="197"/>
    </row>
    <row r="307" spans="1:29" x14ac:dyDescent="0.2">
      <c r="A307" s="192"/>
      <c r="B307" s="193"/>
      <c r="C307" s="171"/>
      <c r="D307" s="171"/>
      <c r="E307" s="196"/>
      <c r="F307" s="177"/>
      <c r="G307" s="177"/>
      <c r="I307" s="171"/>
      <c r="J307" s="201"/>
      <c r="K307" s="195"/>
      <c r="L307" s="195"/>
      <c r="M307" s="177"/>
      <c r="N307" s="171"/>
      <c r="AC307" s="197"/>
    </row>
    <row r="308" spans="1:29" x14ac:dyDescent="0.2">
      <c r="A308" s="192"/>
      <c r="B308" s="193"/>
      <c r="C308" s="171"/>
      <c r="D308" s="171"/>
      <c r="E308" s="196"/>
      <c r="F308" s="177"/>
      <c r="G308" s="177"/>
      <c r="I308" s="171"/>
      <c r="J308" s="201"/>
      <c r="K308" s="195"/>
      <c r="L308" s="195"/>
      <c r="M308" s="177"/>
      <c r="N308" s="171"/>
      <c r="AC308" s="197"/>
    </row>
    <row r="309" spans="1:29" x14ac:dyDescent="0.2">
      <c r="A309" s="192"/>
      <c r="B309" s="193"/>
      <c r="C309" s="171"/>
      <c r="D309" s="171"/>
      <c r="E309" s="196"/>
      <c r="F309" s="177"/>
      <c r="G309" s="177"/>
      <c r="I309" s="171"/>
      <c r="J309" s="201"/>
      <c r="K309" s="195"/>
      <c r="L309" s="195"/>
      <c r="M309" s="177"/>
      <c r="N309" s="171"/>
      <c r="AC309" s="197"/>
    </row>
    <row r="310" spans="1:29" x14ac:dyDescent="0.2">
      <c r="A310" s="192"/>
      <c r="B310" s="193"/>
      <c r="C310" s="171"/>
      <c r="D310" s="171"/>
      <c r="E310" s="196"/>
      <c r="F310" s="177"/>
      <c r="G310" s="177"/>
      <c r="I310" s="171"/>
      <c r="J310" s="201"/>
      <c r="K310" s="195"/>
      <c r="L310" s="195"/>
      <c r="M310" s="177"/>
      <c r="N310" s="171"/>
      <c r="AC310" s="197"/>
    </row>
    <row r="311" spans="1:29" x14ac:dyDescent="0.2">
      <c r="A311" s="192"/>
      <c r="B311" s="193"/>
      <c r="C311" s="171"/>
      <c r="D311" s="171"/>
      <c r="E311" s="196"/>
      <c r="F311" s="177"/>
      <c r="G311" s="177"/>
      <c r="I311" s="171"/>
      <c r="J311" s="201"/>
      <c r="K311" s="195"/>
      <c r="L311" s="195"/>
      <c r="M311" s="177"/>
      <c r="N311" s="171"/>
      <c r="AC311" s="197"/>
    </row>
    <row r="312" spans="1:29" x14ac:dyDescent="0.2">
      <c r="A312" s="192"/>
      <c r="B312" s="193"/>
      <c r="C312" s="171"/>
      <c r="D312" s="171"/>
      <c r="E312" s="196"/>
      <c r="F312" s="177"/>
      <c r="G312" s="177"/>
      <c r="I312" s="171"/>
      <c r="J312" s="201"/>
      <c r="K312" s="195"/>
      <c r="L312" s="195"/>
      <c r="M312" s="177"/>
      <c r="N312" s="171"/>
      <c r="AC312" s="197"/>
    </row>
    <row r="313" spans="1:29" x14ac:dyDescent="0.2">
      <c r="A313" s="192"/>
      <c r="B313" s="193"/>
      <c r="C313" s="171"/>
      <c r="D313" s="171"/>
      <c r="E313" s="196"/>
      <c r="F313" s="177"/>
      <c r="G313" s="177"/>
      <c r="I313" s="171"/>
      <c r="J313" s="201"/>
      <c r="K313" s="195"/>
      <c r="L313" s="195"/>
      <c r="M313" s="177"/>
      <c r="N313" s="171"/>
      <c r="AC313" s="197"/>
    </row>
    <row r="314" spans="1:29" x14ac:dyDescent="0.2">
      <c r="A314" s="192"/>
      <c r="B314" s="193"/>
      <c r="C314" s="171"/>
      <c r="D314" s="171"/>
      <c r="E314" s="196"/>
      <c r="F314" s="177"/>
      <c r="G314" s="177"/>
      <c r="I314" s="171"/>
      <c r="J314" s="201"/>
      <c r="K314" s="195"/>
      <c r="L314" s="195"/>
      <c r="M314" s="177"/>
      <c r="N314" s="171"/>
      <c r="AC314" s="197"/>
    </row>
    <row r="315" spans="1:29" x14ac:dyDescent="0.2">
      <c r="A315" s="192"/>
      <c r="B315" s="193"/>
      <c r="C315" s="171"/>
      <c r="D315" s="171"/>
      <c r="E315" s="196"/>
      <c r="F315" s="177"/>
      <c r="G315" s="177"/>
      <c r="I315" s="171"/>
      <c r="J315" s="201"/>
      <c r="K315" s="195"/>
      <c r="L315" s="195"/>
      <c r="M315" s="177"/>
      <c r="N315" s="171"/>
      <c r="AC315" s="197"/>
    </row>
    <row r="316" spans="1:29" x14ac:dyDescent="0.2">
      <c r="A316" s="192"/>
      <c r="B316" s="193"/>
      <c r="C316" s="171"/>
      <c r="D316" s="171"/>
      <c r="E316" s="196"/>
      <c r="F316" s="177"/>
      <c r="G316" s="177"/>
      <c r="I316" s="171"/>
      <c r="J316" s="201"/>
      <c r="K316" s="195"/>
      <c r="L316" s="195"/>
      <c r="M316" s="177"/>
      <c r="N316" s="171"/>
      <c r="AC316" s="197"/>
    </row>
    <row r="317" spans="1:29" x14ac:dyDescent="0.2">
      <c r="A317" s="192"/>
      <c r="B317" s="193"/>
      <c r="C317" s="171"/>
      <c r="D317" s="171"/>
      <c r="E317" s="196"/>
      <c r="F317" s="177"/>
      <c r="G317" s="177"/>
      <c r="I317" s="171"/>
      <c r="J317" s="201"/>
      <c r="K317" s="195"/>
      <c r="L317" s="195"/>
      <c r="M317" s="177"/>
      <c r="N317" s="171"/>
      <c r="AC317" s="197"/>
    </row>
    <row r="318" spans="1:29" x14ac:dyDescent="0.2">
      <c r="A318" s="192"/>
      <c r="B318" s="193"/>
      <c r="C318" s="171"/>
      <c r="D318" s="171"/>
      <c r="E318" s="196"/>
      <c r="F318" s="177"/>
      <c r="G318" s="177"/>
      <c r="I318" s="171"/>
      <c r="J318" s="201"/>
      <c r="K318" s="195"/>
      <c r="L318" s="195"/>
      <c r="M318" s="177"/>
      <c r="N318" s="171"/>
      <c r="AC318" s="197"/>
    </row>
    <row r="319" spans="1:29" x14ac:dyDescent="0.2">
      <c r="A319" s="192"/>
      <c r="B319" s="193"/>
      <c r="C319" s="171"/>
      <c r="D319" s="171"/>
      <c r="E319" s="196"/>
      <c r="F319" s="177"/>
      <c r="G319" s="177"/>
      <c r="I319" s="171"/>
      <c r="J319" s="201"/>
      <c r="K319" s="195"/>
      <c r="L319" s="195"/>
      <c r="M319" s="177"/>
      <c r="N319" s="171"/>
      <c r="AC319" s="197"/>
    </row>
    <row r="320" spans="1:29" x14ac:dyDescent="0.2">
      <c r="A320" s="192"/>
      <c r="B320" s="193"/>
      <c r="C320" s="171"/>
      <c r="D320" s="171"/>
      <c r="E320" s="196"/>
      <c r="F320" s="177"/>
      <c r="G320" s="177"/>
      <c r="I320" s="171"/>
      <c r="J320" s="201"/>
      <c r="K320" s="195"/>
      <c r="L320" s="195"/>
      <c r="M320" s="177"/>
      <c r="N320" s="171"/>
      <c r="AC320" s="197"/>
    </row>
    <row r="321" spans="1:29" x14ac:dyDescent="0.2">
      <c r="A321" s="192"/>
      <c r="B321" s="193"/>
      <c r="C321" s="171"/>
      <c r="D321" s="171"/>
      <c r="E321" s="196"/>
      <c r="F321" s="177"/>
      <c r="G321" s="177"/>
      <c r="I321" s="171"/>
      <c r="J321" s="201"/>
      <c r="K321" s="195"/>
      <c r="L321" s="195"/>
      <c r="M321" s="177"/>
      <c r="N321" s="171"/>
      <c r="AC321" s="197"/>
    </row>
    <row r="322" spans="1:29" x14ac:dyDescent="0.2">
      <c r="A322" s="192"/>
      <c r="B322" s="193"/>
      <c r="C322" s="171"/>
      <c r="D322" s="171"/>
      <c r="E322" s="196"/>
      <c r="F322" s="177"/>
      <c r="G322" s="177"/>
      <c r="I322" s="171"/>
      <c r="J322" s="201"/>
      <c r="K322" s="195"/>
      <c r="L322" s="195"/>
      <c r="M322" s="177"/>
      <c r="N322" s="171"/>
      <c r="AC322" s="197"/>
    </row>
    <row r="323" spans="1:29" x14ac:dyDescent="0.2">
      <c r="A323" s="192"/>
      <c r="B323" s="193"/>
      <c r="C323" s="171"/>
      <c r="D323" s="171"/>
      <c r="E323" s="196"/>
      <c r="F323" s="177"/>
      <c r="G323" s="177"/>
      <c r="I323" s="171"/>
      <c r="J323" s="201"/>
      <c r="K323" s="195"/>
      <c r="L323" s="195"/>
      <c r="M323" s="177"/>
      <c r="N323" s="171"/>
      <c r="AC323" s="197"/>
    </row>
    <row r="324" spans="1:29" x14ac:dyDescent="0.2">
      <c r="A324" s="192"/>
      <c r="B324" s="193"/>
      <c r="C324" s="171"/>
      <c r="D324" s="171"/>
      <c r="E324" s="196"/>
      <c r="F324" s="177"/>
      <c r="G324" s="177"/>
      <c r="I324" s="171"/>
      <c r="J324" s="201"/>
      <c r="K324" s="195"/>
      <c r="L324" s="195"/>
      <c r="M324" s="177"/>
      <c r="N324" s="171"/>
      <c r="AC324" s="197"/>
    </row>
    <row r="325" spans="1:29" x14ac:dyDescent="0.2">
      <c r="A325" s="192"/>
      <c r="B325" s="193"/>
      <c r="C325" s="171"/>
      <c r="D325" s="171"/>
      <c r="E325" s="196"/>
      <c r="F325" s="177"/>
      <c r="G325" s="177"/>
      <c r="I325" s="171"/>
      <c r="J325" s="201"/>
      <c r="K325" s="195"/>
      <c r="L325" s="195"/>
      <c r="M325" s="177"/>
      <c r="N325" s="171"/>
      <c r="AC325" s="197"/>
    </row>
    <row r="326" spans="1:29" x14ac:dyDescent="0.2">
      <c r="A326" s="192"/>
      <c r="B326" s="193"/>
      <c r="C326" s="171"/>
      <c r="D326" s="171"/>
      <c r="E326" s="196"/>
      <c r="F326" s="177"/>
      <c r="G326" s="177"/>
      <c r="I326" s="171"/>
      <c r="J326" s="201"/>
      <c r="K326" s="195"/>
      <c r="L326" s="195"/>
      <c r="M326" s="177"/>
      <c r="N326" s="171"/>
      <c r="AC326" s="197"/>
    </row>
    <row r="327" spans="1:29" x14ac:dyDescent="0.2">
      <c r="A327" s="192"/>
      <c r="B327" s="193"/>
      <c r="C327" s="171"/>
      <c r="D327" s="171"/>
      <c r="E327" s="196"/>
      <c r="F327" s="177"/>
      <c r="G327" s="177"/>
      <c r="I327" s="171"/>
      <c r="J327" s="201"/>
      <c r="K327" s="195"/>
      <c r="L327" s="195"/>
      <c r="M327" s="177"/>
      <c r="N327" s="171"/>
      <c r="AC327" s="197"/>
    </row>
    <row r="328" spans="1:29" x14ac:dyDescent="0.2">
      <c r="A328" s="192"/>
      <c r="B328" s="193"/>
      <c r="C328" s="171"/>
      <c r="D328" s="171"/>
      <c r="E328" s="196"/>
      <c r="F328" s="177"/>
      <c r="G328" s="177"/>
      <c r="I328" s="171"/>
      <c r="J328" s="201"/>
      <c r="K328" s="195"/>
      <c r="L328" s="195"/>
      <c r="M328" s="177"/>
      <c r="N328" s="171"/>
      <c r="AC328" s="197"/>
    </row>
    <row r="329" spans="1:29" x14ac:dyDescent="0.2">
      <c r="A329" s="192"/>
      <c r="B329" s="193"/>
      <c r="C329" s="171"/>
      <c r="D329" s="171"/>
      <c r="E329" s="196"/>
      <c r="F329" s="177"/>
      <c r="G329" s="177"/>
      <c r="I329" s="171"/>
      <c r="J329" s="201"/>
      <c r="K329" s="195"/>
      <c r="L329" s="195"/>
      <c r="M329" s="177"/>
      <c r="N329" s="171"/>
      <c r="AC329" s="197"/>
    </row>
    <row r="330" spans="1:29" x14ac:dyDescent="0.2">
      <c r="A330" s="192"/>
      <c r="B330" s="193"/>
      <c r="C330" s="171"/>
      <c r="D330" s="171"/>
      <c r="E330" s="196"/>
      <c r="F330" s="177"/>
      <c r="G330" s="177"/>
      <c r="I330" s="171"/>
      <c r="J330" s="201"/>
      <c r="K330" s="195"/>
      <c r="L330" s="195"/>
      <c r="M330" s="177"/>
      <c r="N330" s="171"/>
      <c r="AC330" s="197"/>
    </row>
    <row r="331" spans="1:29" x14ac:dyDescent="0.2">
      <c r="A331" s="192"/>
      <c r="B331" s="193"/>
      <c r="C331" s="171"/>
      <c r="D331" s="171"/>
      <c r="E331" s="196"/>
      <c r="F331" s="177"/>
      <c r="G331" s="177"/>
      <c r="I331" s="171"/>
      <c r="J331" s="201"/>
      <c r="K331" s="195"/>
      <c r="L331" s="195"/>
      <c r="M331" s="177"/>
      <c r="N331" s="171"/>
      <c r="AC331" s="197"/>
    </row>
    <row r="332" spans="1:29" x14ac:dyDescent="0.2">
      <c r="A332" s="192"/>
      <c r="B332" s="193"/>
      <c r="C332" s="171"/>
      <c r="D332" s="171"/>
      <c r="E332" s="196"/>
      <c r="F332" s="177"/>
      <c r="G332" s="177"/>
      <c r="I332" s="171"/>
      <c r="J332" s="201"/>
      <c r="K332" s="195"/>
      <c r="L332" s="195"/>
      <c r="M332" s="177"/>
      <c r="N332" s="171"/>
      <c r="AC332" s="197"/>
    </row>
    <row r="333" spans="1:29" x14ac:dyDescent="0.2">
      <c r="A333" s="192"/>
      <c r="B333" s="193"/>
      <c r="C333" s="171"/>
      <c r="D333" s="171"/>
      <c r="E333" s="196"/>
      <c r="F333" s="177"/>
      <c r="G333" s="177"/>
      <c r="I333" s="171"/>
      <c r="J333" s="201"/>
      <c r="K333" s="195"/>
      <c r="L333" s="195"/>
      <c r="M333" s="177"/>
      <c r="N333" s="171"/>
      <c r="AC333" s="197"/>
    </row>
    <row r="334" spans="1:29" x14ac:dyDescent="0.2">
      <c r="A334" s="192"/>
      <c r="B334" s="193"/>
      <c r="C334" s="171"/>
      <c r="D334" s="171"/>
      <c r="E334" s="196"/>
      <c r="F334" s="177"/>
      <c r="G334" s="177"/>
      <c r="I334" s="171"/>
      <c r="J334" s="201"/>
      <c r="K334" s="195"/>
      <c r="L334" s="195"/>
      <c r="M334" s="177"/>
      <c r="N334" s="171"/>
      <c r="AC334" s="197"/>
    </row>
    <row r="335" spans="1:29" x14ac:dyDescent="0.2">
      <c r="A335" s="192"/>
      <c r="B335" s="193"/>
      <c r="C335" s="171"/>
      <c r="D335" s="171"/>
      <c r="E335" s="196"/>
      <c r="F335" s="177"/>
      <c r="G335" s="177"/>
      <c r="I335" s="171"/>
      <c r="J335" s="201"/>
      <c r="K335" s="195"/>
      <c r="L335" s="195"/>
      <c r="M335" s="177"/>
      <c r="N335" s="171"/>
      <c r="AC335" s="197"/>
    </row>
    <row r="336" spans="1:29" x14ac:dyDescent="0.2">
      <c r="A336" s="192"/>
      <c r="B336" s="193"/>
      <c r="C336" s="171"/>
      <c r="D336" s="171"/>
      <c r="E336" s="196"/>
      <c r="F336" s="177"/>
      <c r="G336" s="177"/>
      <c r="I336" s="171"/>
      <c r="J336" s="201"/>
      <c r="K336" s="195"/>
      <c r="L336" s="195"/>
      <c r="M336" s="177"/>
      <c r="N336" s="171"/>
      <c r="AC336" s="197"/>
    </row>
    <row r="337" spans="1:29" x14ac:dyDescent="0.2">
      <c r="A337" s="192"/>
      <c r="B337" s="193"/>
      <c r="C337" s="171"/>
      <c r="D337" s="171"/>
      <c r="E337" s="196"/>
      <c r="F337" s="177"/>
      <c r="G337" s="177"/>
      <c r="I337" s="171"/>
      <c r="J337" s="201"/>
      <c r="K337" s="195"/>
      <c r="L337" s="195"/>
      <c r="M337" s="177"/>
      <c r="N337" s="171"/>
      <c r="AC337" s="197"/>
    </row>
    <row r="338" spans="1:29" x14ac:dyDescent="0.2">
      <c r="A338" s="192"/>
      <c r="B338" s="193"/>
      <c r="C338" s="171"/>
      <c r="D338" s="171"/>
      <c r="E338" s="196"/>
      <c r="F338" s="177"/>
      <c r="G338" s="177"/>
      <c r="I338" s="171"/>
      <c r="J338" s="201"/>
      <c r="K338" s="195"/>
      <c r="L338" s="195"/>
      <c r="M338" s="177"/>
      <c r="N338" s="171"/>
      <c r="AC338" s="197"/>
    </row>
    <row r="339" spans="1:29" x14ac:dyDescent="0.2">
      <c r="A339" s="192"/>
      <c r="B339" s="193"/>
      <c r="C339" s="171"/>
      <c r="D339" s="171"/>
      <c r="E339" s="196"/>
      <c r="F339" s="177"/>
      <c r="G339" s="177"/>
      <c r="I339" s="171"/>
      <c r="J339" s="201"/>
      <c r="K339" s="195"/>
      <c r="L339" s="195"/>
      <c r="M339" s="177"/>
      <c r="N339" s="171"/>
      <c r="AC339" s="197"/>
    </row>
    <row r="340" spans="1:29" x14ac:dyDescent="0.2">
      <c r="A340" s="192"/>
      <c r="B340" s="193"/>
      <c r="C340" s="171"/>
      <c r="D340" s="171"/>
      <c r="E340" s="196"/>
      <c r="F340" s="177"/>
      <c r="G340" s="177"/>
      <c r="I340" s="171"/>
      <c r="J340" s="201"/>
      <c r="K340" s="195"/>
      <c r="L340" s="195"/>
      <c r="M340" s="177"/>
      <c r="N340" s="171"/>
      <c r="AC340" s="197"/>
    </row>
    <row r="341" spans="1:29" x14ac:dyDescent="0.2">
      <c r="A341" s="192"/>
      <c r="B341" s="193"/>
      <c r="C341" s="171"/>
      <c r="D341" s="171"/>
      <c r="E341" s="196"/>
      <c r="F341" s="177"/>
      <c r="G341" s="177"/>
      <c r="I341" s="171"/>
      <c r="J341" s="201"/>
      <c r="K341" s="195"/>
      <c r="L341" s="195"/>
      <c r="M341" s="177"/>
      <c r="N341" s="171"/>
      <c r="AC341" s="197"/>
    </row>
    <row r="342" spans="1:29" x14ac:dyDescent="0.2">
      <c r="A342" s="192"/>
      <c r="B342" s="193"/>
      <c r="C342" s="171"/>
      <c r="D342" s="171"/>
      <c r="E342" s="196"/>
      <c r="F342" s="177"/>
      <c r="G342" s="177"/>
      <c r="I342" s="171"/>
      <c r="J342" s="201"/>
      <c r="K342" s="195"/>
      <c r="L342" s="195"/>
      <c r="M342" s="177"/>
      <c r="N342" s="171"/>
      <c r="AC342" s="197"/>
    </row>
    <row r="343" spans="1:29" x14ac:dyDescent="0.2">
      <c r="A343" s="192"/>
      <c r="B343" s="193"/>
      <c r="C343" s="171"/>
      <c r="D343" s="171"/>
      <c r="E343" s="196"/>
      <c r="F343" s="177"/>
      <c r="G343" s="177"/>
      <c r="I343" s="171"/>
      <c r="J343" s="201"/>
      <c r="K343" s="195"/>
      <c r="L343" s="195"/>
      <c r="M343" s="177"/>
      <c r="N343" s="171"/>
      <c r="AC343" s="197"/>
    </row>
    <row r="344" spans="1:29" x14ac:dyDescent="0.2">
      <c r="A344" s="192"/>
      <c r="B344" s="193"/>
      <c r="C344" s="171"/>
      <c r="D344" s="171"/>
      <c r="E344" s="196"/>
      <c r="F344" s="177"/>
      <c r="G344" s="177"/>
      <c r="I344" s="171"/>
      <c r="J344" s="201"/>
      <c r="K344" s="195"/>
      <c r="L344" s="195"/>
      <c r="M344" s="177"/>
      <c r="N344" s="171"/>
      <c r="AC344" s="197"/>
    </row>
    <row r="345" spans="1:29" x14ac:dyDescent="0.2">
      <c r="A345" s="192"/>
      <c r="B345" s="193"/>
      <c r="C345" s="171"/>
      <c r="D345" s="171"/>
      <c r="E345" s="196"/>
      <c r="F345" s="177"/>
      <c r="G345" s="177"/>
      <c r="I345" s="171"/>
      <c r="J345" s="201"/>
      <c r="K345" s="195"/>
      <c r="L345" s="195"/>
      <c r="M345" s="177"/>
      <c r="N345" s="171"/>
      <c r="AC345" s="197"/>
    </row>
    <row r="346" spans="1:29" x14ac:dyDescent="0.2">
      <c r="A346" s="192"/>
      <c r="B346" s="193"/>
      <c r="C346" s="171"/>
      <c r="D346" s="171"/>
      <c r="E346" s="196"/>
      <c r="F346" s="177"/>
      <c r="G346" s="177"/>
      <c r="I346" s="171"/>
      <c r="J346" s="201"/>
      <c r="K346" s="195"/>
      <c r="L346" s="195"/>
      <c r="M346" s="177"/>
      <c r="N346" s="171"/>
      <c r="AC346" s="197"/>
    </row>
    <row r="347" spans="1:29" x14ac:dyDescent="0.2">
      <c r="A347" s="192"/>
      <c r="B347" s="193"/>
      <c r="C347" s="171"/>
      <c r="D347" s="171"/>
      <c r="E347" s="196"/>
      <c r="F347" s="177"/>
      <c r="G347" s="177"/>
      <c r="I347" s="171"/>
      <c r="J347" s="201"/>
      <c r="K347" s="195"/>
      <c r="L347" s="195"/>
      <c r="M347" s="177"/>
      <c r="N347" s="171"/>
      <c r="AC347" s="197"/>
    </row>
    <row r="348" spans="1:29" x14ac:dyDescent="0.2">
      <c r="A348" s="192"/>
      <c r="B348" s="193"/>
      <c r="C348" s="171"/>
      <c r="D348" s="171"/>
      <c r="E348" s="196"/>
      <c r="F348" s="177"/>
      <c r="G348" s="177"/>
      <c r="I348" s="171"/>
      <c r="J348" s="201"/>
      <c r="K348" s="195"/>
      <c r="L348" s="195"/>
      <c r="M348" s="177"/>
      <c r="N348" s="171"/>
      <c r="AC348" s="197"/>
    </row>
    <row r="349" spans="1:29" x14ac:dyDescent="0.2">
      <c r="A349" s="192"/>
      <c r="B349" s="193"/>
      <c r="C349" s="171"/>
      <c r="D349" s="171"/>
      <c r="E349" s="196"/>
      <c r="F349" s="177"/>
      <c r="G349" s="177"/>
      <c r="I349" s="171"/>
      <c r="J349" s="201"/>
      <c r="K349" s="195"/>
      <c r="L349" s="195"/>
      <c r="M349" s="177"/>
      <c r="N349" s="171"/>
      <c r="AC349" s="197"/>
    </row>
    <row r="350" spans="1:29" x14ac:dyDescent="0.2">
      <c r="A350" s="192"/>
      <c r="B350" s="193"/>
      <c r="C350" s="171"/>
      <c r="D350" s="171"/>
      <c r="E350" s="196"/>
      <c r="F350" s="177"/>
      <c r="G350" s="177"/>
      <c r="I350" s="171"/>
      <c r="J350" s="201"/>
      <c r="K350" s="195"/>
      <c r="L350" s="195"/>
      <c r="M350" s="177"/>
      <c r="N350" s="171"/>
      <c r="AC350" s="197"/>
    </row>
    <row r="351" spans="1:29" x14ac:dyDescent="0.2">
      <c r="A351" s="192"/>
      <c r="B351" s="193"/>
      <c r="C351" s="171"/>
      <c r="D351" s="171"/>
      <c r="E351" s="196"/>
      <c r="F351" s="177"/>
      <c r="G351" s="177"/>
      <c r="I351" s="171"/>
      <c r="J351" s="201"/>
      <c r="K351" s="195"/>
      <c r="L351" s="195"/>
      <c r="M351" s="177"/>
      <c r="N351" s="171"/>
      <c r="AC351" s="197"/>
    </row>
    <row r="352" spans="1:29" x14ac:dyDescent="0.2">
      <c r="A352" s="192"/>
      <c r="B352" s="193"/>
      <c r="C352" s="171"/>
      <c r="D352" s="171"/>
      <c r="E352" s="196"/>
      <c r="F352" s="177"/>
      <c r="G352" s="177"/>
      <c r="I352" s="171"/>
      <c r="J352" s="201"/>
      <c r="K352" s="195"/>
      <c r="L352" s="195"/>
      <c r="M352" s="177"/>
      <c r="N352" s="171"/>
      <c r="AC352" s="197"/>
    </row>
    <row r="353" spans="1:29" x14ac:dyDescent="0.2">
      <c r="A353" s="192"/>
      <c r="B353" s="193"/>
      <c r="C353" s="171"/>
      <c r="D353" s="171"/>
      <c r="E353" s="196"/>
      <c r="F353" s="177"/>
      <c r="G353" s="177"/>
      <c r="I353" s="171"/>
      <c r="J353" s="201"/>
      <c r="K353" s="195"/>
      <c r="L353" s="195"/>
      <c r="M353" s="177"/>
      <c r="N353" s="171"/>
      <c r="AC353" s="197"/>
    </row>
    <row r="354" spans="1:29" x14ac:dyDescent="0.2">
      <c r="A354" s="192"/>
      <c r="B354" s="193"/>
      <c r="C354" s="171"/>
      <c r="D354" s="171"/>
      <c r="E354" s="196"/>
      <c r="F354" s="177"/>
      <c r="G354" s="177"/>
      <c r="I354" s="171"/>
      <c r="J354" s="201"/>
      <c r="K354" s="195"/>
      <c r="L354" s="195"/>
      <c r="M354" s="177"/>
      <c r="N354" s="171"/>
      <c r="AC354" s="197"/>
    </row>
    <row r="355" spans="1:29" x14ac:dyDescent="0.2">
      <c r="A355" s="192"/>
      <c r="B355" s="193"/>
      <c r="C355" s="171"/>
      <c r="D355" s="171"/>
      <c r="E355" s="196"/>
      <c r="F355" s="177"/>
      <c r="G355" s="177"/>
      <c r="I355" s="171"/>
      <c r="J355" s="201"/>
      <c r="K355" s="195"/>
      <c r="L355" s="195"/>
      <c r="M355" s="177"/>
      <c r="N355" s="171"/>
      <c r="AC355" s="197"/>
    </row>
    <row r="356" spans="1:29" x14ac:dyDescent="0.2">
      <c r="A356" s="192"/>
      <c r="B356" s="193"/>
      <c r="C356" s="171"/>
      <c r="D356" s="171"/>
      <c r="E356" s="196"/>
      <c r="F356" s="177"/>
      <c r="G356" s="177"/>
      <c r="I356" s="171"/>
      <c r="J356" s="201"/>
      <c r="K356" s="195"/>
      <c r="L356" s="195"/>
      <c r="M356" s="177"/>
      <c r="N356" s="171"/>
      <c r="AC356" s="197"/>
    </row>
    <row r="357" spans="1:29" x14ac:dyDescent="0.2">
      <c r="A357" s="192"/>
      <c r="B357" s="193"/>
      <c r="C357" s="171"/>
      <c r="D357" s="171"/>
      <c r="E357" s="196"/>
      <c r="F357" s="177"/>
      <c r="G357" s="177"/>
      <c r="I357" s="171"/>
      <c r="J357" s="201"/>
      <c r="K357" s="195"/>
      <c r="L357" s="195"/>
      <c r="M357" s="177"/>
      <c r="N357" s="171"/>
      <c r="AC357" s="197"/>
    </row>
    <row r="358" spans="1:29" x14ac:dyDescent="0.2">
      <c r="A358" s="192"/>
      <c r="B358" s="193"/>
      <c r="C358" s="171"/>
      <c r="D358" s="171"/>
      <c r="E358" s="196"/>
      <c r="F358" s="177"/>
      <c r="G358" s="177"/>
      <c r="I358" s="171"/>
      <c r="J358" s="201"/>
      <c r="K358" s="195"/>
      <c r="L358" s="195"/>
      <c r="M358" s="177"/>
      <c r="N358" s="171"/>
      <c r="AC358" s="197"/>
    </row>
    <row r="359" spans="1:29" x14ac:dyDescent="0.2">
      <c r="A359" s="192"/>
      <c r="B359" s="193"/>
      <c r="C359" s="171"/>
      <c r="D359" s="171"/>
      <c r="E359" s="196"/>
      <c r="F359" s="177"/>
      <c r="G359" s="177"/>
      <c r="I359" s="171"/>
      <c r="J359" s="201"/>
      <c r="K359" s="195"/>
      <c r="L359" s="195"/>
      <c r="M359" s="177"/>
      <c r="N359" s="171"/>
      <c r="AC359" s="197"/>
    </row>
    <row r="360" spans="1:29" x14ac:dyDescent="0.2">
      <c r="A360" s="192"/>
      <c r="B360" s="193"/>
      <c r="C360" s="171"/>
      <c r="D360" s="171"/>
      <c r="E360" s="196"/>
      <c r="F360" s="177"/>
      <c r="G360" s="177"/>
      <c r="I360" s="171"/>
      <c r="J360" s="201"/>
      <c r="K360" s="195"/>
      <c r="L360" s="195"/>
      <c r="M360" s="177"/>
      <c r="N360" s="171"/>
      <c r="AC360" s="197"/>
    </row>
    <row r="361" spans="1:29" x14ac:dyDescent="0.2">
      <c r="A361" s="192"/>
      <c r="B361" s="193"/>
      <c r="C361" s="171"/>
      <c r="D361" s="171"/>
      <c r="E361" s="196"/>
      <c r="F361" s="177"/>
      <c r="G361" s="177"/>
      <c r="I361" s="171"/>
      <c r="J361" s="201"/>
      <c r="K361" s="195"/>
      <c r="L361" s="195"/>
      <c r="M361" s="177"/>
      <c r="N361" s="171"/>
      <c r="AC361" s="197"/>
    </row>
    <row r="362" spans="1:29" x14ac:dyDescent="0.2">
      <c r="A362" s="192"/>
      <c r="B362" s="193"/>
      <c r="C362" s="171"/>
      <c r="D362" s="171"/>
      <c r="E362" s="196"/>
      <c r="F362" s="177"/>
      <c r="G362" s="177"/>
      <c r="I362" s="171"/>
      <c r="J362" s="201"/>
      <c r="K362" s="195"/>
      <c r="L362" s="195"/>
      <c r="M362" s="177"/>
      <c r="N362" s="171"/>
      <c r="AC362" s="197"/>
    </row>
    <row r="363" spans="1:29" x14ac:dyDescent="0.2">
      <c r="A363" s="192"/>
      <c r="B363" s="193"/>
      <c r="C363" s="171"/>
      <c r="D363" s="171"/>
      <c r="E363" s="196"/>
      <c r="F363" s="177"/>
      <c r="G363" s="177"/>
      <c r="I363" s="171"/>
      <c r="J363" s="201"/>
      <c r="K363" s="195"/>
      <c r="L363" s="195"/>
      <c r="M363" s="177"/>
      <c r="N363" s="171"/>
      <c r="AC363" s="197"/>
    </row>
    <row r="364" spans="1:29" x14ac:dyDescent="0.2">
      <c r="A364" s="192"/>
      <c r="B364" s="193"/>
      <c r="C364" s="171"/>
      <c r="D364" s="171"/>
      <c r="E364" s="196"/>
      <c r="F364" s="177"/>
      <c r="G364" s="177"/>
      <c r="I364" s="171"/>
      <c r="J364" s="201"/>
      <c r="K364" s="195"/>
      <c r="L364" s="195"/>
      <c r="M364" s="177"/>
      <c r="N364" s="171"/>
      <c r="AC364" s="197"/>
    </row>
    <row r="365" spans="1:29" x14ac:dyDescent="0.2">
      <c r="A365" s="192"/>
      <c r="B365" s="193"/>
      <c r="C365" s="171"/>
      <c r="D365" s="171"/>
      <c r="E365" s="196"/>
      <c r="F365" s="177"/>
      <c r="G365" s="177"/>
      <c r="I365" s="171"/>
      <c r="J365" s="201"/>
      <c r="K365" s="195"/>
      <c r="L365" s="195"/>
      <c r="M365" s="177"/>
      <c r="N365" s="171"/>
      <c r="AC365" s="197"/>
    </row>
    <row r="366" spans="1:29" x14ac:dyDescent="0.2">
      <c r="A366" s="192"/>
      <c r="B366" s="193"/>
      <c r="C366" s="171"/>
      <c r="D366" s="171"/>
      <c r="E366" s="196"/>
      <c r="F366" s="177"/>
      <c r="G366" s="177"/>
      <c r="I366" s="171"/>
      <c r="J366" s="201"/>
      <c r="K366" s="195"/>
      <c r="L366" s="195"/>
      <c r="M366" s="177"/>
      <c r="N366" s="171"/>
      <c r="AC366" s="197"/>
    </row>
    <row r="367" spans="1:29" x14ac:dyDescent="0.2">
      <c r="A367" s="192"/>
      <c r="B367" s="193"/>
      <c r="C367" s="171"/>
      <c r="D367" s="171"/>
      <c r="E367" s="196"/>
      <c r="F367" s="177"/>
      <c r="G367" s="177"/>
      <c r="I367" s="171"/>
      <c r="J367" s="201"/>
      <c r="K367" s="195"/>
      <c r="L367" s="195"/>
      <c r="M367" s="177"/>
      <c r="N367" s="171"/>
      <c r="AC367" s="197"/>
    </row>
    <row r="368" spans="1:29" x14ac:dyDescent="0.2">
      <c r="A368" s="192"/>
      <c r="B368" s="193"/>
      <c r="C368" s="171"/>
      <c r="D368" s="171"/>
      <c r="E368" s="196"/>
      <c r="F368" s="177"/>
      <c r="G368" s="177"/>
      <c r="I368" s="171"/>
      <c r="J368" s="201"/>
      <c r="K368" s="195"/>
      <c r="L368" s="195"/>
      <c r="M368" s="177"/>
      <c r="N368" s="171"/>
      <c r="AC368" s="197"/>
    </row>
    <row r="369" spans="1:29" x14ac:dyDescent="0.2">
      <c r="A369" s="192"/>
      <c r="B369" s="193"/>
      <c r="C369" s="171"/>
      <c r="D369" s="171"/>
      <c r="E369" s="196"/>
      <c r="F369" s="177"/>
      <c r="G369" s="177"/>
      <c r="I369" s="171"/>
      <c r="J369" s="201"/>
      <c r="K369" s="195"/>
      <c r="L369" s="195"/>
      <c r="M369" s="177"/>
      <c r="N369" s="171"/>
      <c r="AC369" s="197"/>
    </row>
    <row r="370" spans="1:29" x14ac:dyDescent="0.2">
      <c r="A370" s="192"/>
      <c r="B370" s="193"/>
      <c r="C370" s="171"/>
      <c r="D370" s="171"/>
      <c r="E370" s="196"/>
      <c r="F370" s="177"/>
      <c r="G370" s="177"/>
      <c r="I370" s="171"/>
      <c r="J370" s="201"/>
      <c r="K370" s="195"/>
      <c r="L370" s="195"/>
      <c r="M370" s="177"/>
      <c r="N370" s="171"/>
      <c r="AC370" s="197"/>
    </row>
    <row r="371" spans="1:29" x14ac:dyDescent="0.2">
      <c r="A371" s="192"/>
      <c r="B371" s="193"/>
      <c r="C371" s="171"/>
      <c r="D371" s="171"/>
      <c r="E371" s="196"/>
      <c r="F371" s="177"/>
      <c r="G371" s="177"/>
      <c r="I371" s="171"/>
      <c r="J371" s="201"/>
      <c r="K371" s="195"/>
      <c r="L371" s="195"/>
      <c r="M371" s="177"/>
      <c r="N371" s="171"/>
      <c r="AC371" s="197"/>
    </row>
    <row r="372" spans="1:29" x14ac:dyDescent="0.2">
      <c r="A372" s="192"/>
      <c r="B372" s="193"/>
      <c r="C372" s="171"/>
      <c r="D372" s="171"/>
      <c r="E372" s="196"/>
      <c r="F372" s="177"/>
      <c r="G372" s="177"/>
      <c r="I372" s="171"/>
      <c r="J372" s="201"/>
      <c r="K372" s="195"/>
      <c r="L372" s="195"/>
      <c r="M372" s="177"/>
      <c r="N372" s="171"/>
      <c r="AC372" s="197"/>
    </row>
    <row r="373" spans="1:29" x14ac:dyDescent="0.2">
      <c r="A373" s="192"/>
      <c r="B373" s="193"/>
      <c r="C373" s="171"/>
      <c r="D373" s="171"/>
      <c r="E373" s="196"/>
      <c r="F373" s="177"/>
      <c r="G373" s="177"/>
      <c r="I373" s="171"/>
      <c r="J373" s="201"/>
      <c r="K373" s="195"/>
      <c r="L373" s="195"/>
      <c r="M373" s="177"/>
      <c r="N373" s="171"/>
      <c r="AC373" s="197"/>
    </row>
    <row r="374" spans="1:29" x14ac:dyDescent="0.2">
      <c r="A374" s="192"/>
      <c r="B374" s="193"/>
      <c r="C374" s="171"/>
      <c r="D374" s="171"/>
      <c r="E374" s="196"/>
      <c r="F374" s="177"/>
      <c r="G374" s="177"/>
      <c r="I374" s="171"/>
      <c r="J374" s="201"/>
      <c r="K374" s="195"/>
      <c r="L374" s="195"/>
      <c r="M374" s="177"/>
      <c r="N374" s="171"/>
      <c r="AC374" s="197"/>
    </row>
    <row r="375" spans="1:29" x14ac:dyDescent="0.2">
      <c r="A375" s="192"/>
      <c r="B375" s="193"/>
      <c r="C375" s="171"/>
      <c r="D375" s="171"/>
      <c r="E375" s="196"/>
      <c r="F375" s="177"/>
      <c r="G375" s="177"/>
      <c r="I375" s="171"/>
      <c r="J375" s="201"/>
      <c r="K375" s="195"/>
      <c r="L375" s="195"/>
      <c r="M375" s="177"/>
      <c r="N375" s="171"/>
      <c r="AC375" s="197"/>
    </row>
    <row r="376" spans="1:29" x14ac:dyDescent="0.2">
      <c r="A376" s="192"/>
      <c r="B376" s="193"/>
      <c r="C376" s="171"/>
      <c r="D376" s="171"/>
      <c r="E376" s="196"/>
      <c r="F376" s="177"/>
      <c r="G376" s="177"/>
      <c r="I376" s="171"/>
      <c r="J376" s="201"/>
      <c r="K376" s="195"/>
      <c r="L376" s="195"/>
      <c r="M376" s="177"/>
      <c r="N376" s="171"/>
      <c r="AC376" s="197"/>
    </row>
    <row r="377" spans="1:29" x14ac:dyDescent="0.2">
      <c r="A377" s="192"/>
      <c r="B377" s="193"/>
      <c r="C377" s="171"/>
      <c r="D377" s="171"/>
      <c r="E377" s="196"/>
      <c r="F377" s="177"/>
      <c r="G377" s="177"/>
      <c r="I377" s="171"/>
      <c r="J377" s="201"/>
      <c r="K377" s="195"/>
      <c r="L377" s="195"/>
      <c r="M377" s="177"/>
      <c r="N377" s="171"/>
      <c r="AC377" s="197"/>
    </row>
    <row r="378" spans="1:29" x14ac:dyDescent="0.2">
      <c r="A378" s="192"/>
      <c r="B378" s="193"/>
      <c r="C378" s="171"/>
      <c r="D378" s="171"/>
      <c r="E378" s="196"/>
      <c r="F378" s="177"/>
      <c r="G378" s="177"/>
      <c r="I378" s="171"/>
      <c r="J378" s="201"/>
      <c r="K378" s="195"/>
      <c r="L378" s="195"/>
      <c r="M378" s="177"/>
      <c r="N378" s="171"/>
      <c r="AC378" s="197"/>
    </row>
    <row r="379" spans="1:29" x14ac:dyDescent="0.2">
      <c r="A379" s="192"/>
      <c r="B379" s="193"/>
      <c r="C379" s="171"/>
      <c r="D379" s="171"/>
      <c r="E379" s="196"/>
      <c r="F379" s="177"/>
      <c r="G379" s="177"/>
      <c r="I379" s="171"/>
      <c r="J379" s="201"/>
      <c r="K379" s="195"/>
      <c r="L379" s="195"/>
      <c r="M379" s="177"/>
      <c r="N379" s="171"/>
      <c r="AC379" s="197"/>
    </row>
    <row r="380" spans="1:29" x14ac:dyDescent="0.2">
      <c r="A380" s="192"/>
      <c r="B380" s="193"/>
      <c r="C380" s="171"/>
      <c r="D380" s="171"/>
      <c r="E380" s="196"/>
      <c r="F380" s="177"/>
      <c r="G380" s="177"/>
      <c r="I380" s="171"/>
      <c r="J380" s="201"/>
      <c r="K380" s="195"/>
      <c r="L380" s="195"/>
      <c r="M380" s="177"/>
      <c r="N380" s="171"/>
      <c r="AC380" s="197"/>
    </row>
    <row r="381" spans="1:29" x14ac:dyDescent="0.2">
      <c r="A381" s="192"/>
      <c r="B381" s="193"/>
      <c r="C381" s="171"/>
      <c r="D381" s="171"/>
      <c r="E381" s="196"/>
      <c r="F381" s="177"/>
      <c r="G381" s="177"/>
      <c r="I381" s="171"/>
      <c r="J381" s="201"/>
      <c r="K381" s="195"/>
      <c r="L381" s="195"/>
      <c r="M381" s="177"/>
      <c r="N381" s="171"/>
      <c r="AC381" s="197"/>
    </row>
    <row r="382" spans="1:29" x14ac:dyDescent="0.2">
      <c r="A382" s="192"/>
      <c r="B382" s="193"/>
      <c r="C382" s="171"/>
      <c r="D382" s="171"/>
      <c r="E382" s="196"/>
      <c r="F382" s="177"/>
      <c r="G382" s="177"/>
      <c r="I382" s="171"/>
      <c r="J382" s="201"/>
      <c r="K382" s="195"/>
      <c r="L382" s="195"/>
      <c r="M382" s="177"/>
      <c r="N382" s="171"/>
      <c r="AC382" s="197"/>
    </row>
    <row r="383" spans="1:29" x14ac:dyDescent="0.2">
      <c r="A383" s="192"/>
      <c r="B383" s="193"/>
      <c r="C383" s="171"/>
      <c r="D383" s="171"/>
      <c r="E383" s="196"/>
      <c r="F383" s="177"/>
      <c r="G383" s="177"/>
      <c r="I383" s="171"/>
      <c r="J383" s="201"/>
      <c r="K383" s="195"/>
      <c r="L383" s="195"/>
      <c r="M383" s="177"/>
      <c r="N383" s="171"/>
      <c r="AC383" s="197"/>
    </row>
    <row r="384" spans="1:29" x14ac:dyDescent="0.2">
      <c r="A384" s="192"/>
      <c r="B384" s="193"/>
      <c r="C384" s="171"/>
      <c r="D384" s="171"/>
      <c r="E384" s="196"/>
      <c r="F384" s="177"/>
      <c r="G384" s="177"/>
      <c r="I384" s="171"/>
      <c r="J384" s="201"/>
      <c r="K384" s="195"/>
      <c r="L384" s="195"/>
      <c r="M384" s="177"/>
      <c r="N384" s="171"/>
      <c r="AC384" s="197"/>
    </row>
    <row r="385" spans="1:29" x14ac:dyDescent="0.2">
      <c r="A385" s="192"/>
      <c r="B385" s="193"/>
      <c r="C385" s="171"/>
      <c r="D385" s="171"/>
      <c r="E385" s="196"/>
      <c r="F385" s="177"/>
      <c r="G385" s="177"/>
      <c r="I385" s="171"/>
      <c r="J385" s="201"/>
      <c r="K385" s="195"/>
      <c r="L385" s="195"/>
      <c r="M385" s="177"/>
      <c r="N385" s="171"/>
      <c r="AC385" s="197"/>
    </row>
    <row r="386" spans="1:29" x14ac:dyDescent="0.2">
      <c r="A386" s="192"/>
      <c r="B386" s="193"/>
      <c r="C386" s="171"/>
      <c r="D386" s="171"/>
      <c r="E386" s="196"/>
      <c r="F386" s="177"/>
      <c r="G386" s="177"/>
      <c r="I386" s="171"/>
      <c r="J386" s="201"/>
      <c r="K386" s="195"/>
      <c r="L386" s="195"/>
      <c r="M386" s="177"/>
      <c r="N386" s="171"/>
      <c r="AC386" s="197"/>
    </row>
    <row r="387" spans="1:29" x14ac:dyDescent="0.2">
      <c r="A387" s="192"/>
      <c r="B387" s="193"/>
      <c r="C387" s="171"/>
      <c r="D387" s="171"/>
      <c r="E387" s="196"/>
      <c r="F387" s="177"/>
      <c r="G387" s="177"/>
      <c r="I387" s="171"/>
      <c r="J387" s="201"/>
      <c r="K387" s="195"/>
      <c r="L387" s="195"/>
      <c r="M387" s="177"/>
      <c r="N387" s="171"/>
      <c r="AC387" s="197"/>
    </row>
    <row r="388" spans="1:29" x14ac:dyDescent="0.2">
      <c r="A388" s="192"/>
      <c r="B388" s="193"/>
      <c r="C388" s="171"/>
      <c r="D388" s="171"/>
      <c r="E388" s="196"/>
      <c r="F388" s="177"/>
      <c r="G388" s="177"/>
      <c r="I388" s="171"/>
      <c r="J388" s="201"/>
      <c r="K388" s="195"/>
      <c r="L388" s="195"/>
      <c r="M388" s="177"/>
      <c r="N388" s="171"/>
      <c r="AC388" s="197"/>
    </row>
    <row r="389" spans="1:29" x14ac:dyDescent="0.2">
      <c r="A389" s="192"/>
      <c r="B389" s="193"/>
      <c r="C389" s="171"/>
      <c r="D389" s="171"/>
      <c r="E389" s="196"/>
      <c r="F389" s="177"/>
      <c r="G389" s="177"/>
      <c r="I389" s="171"/>
      <c r="J389" s="201"/>
      <c r="K389" s="195"/>
      <c r="L389" s="195"/>
      <c r="M389" s="177"/>
      <c r="N389" s="171"/>
      <c r="AC389" s="197"/>
    </row>
    <row r="390" spans="1:29" x14ac:dyDescent="0.2">
      <c r="A390" s="192"/>
      <c r="B390" s="193"/>
      <c r="C390" s="171"/>
      <c r="D390" s="171"/>
      <c r="E390" s="196"/>
      <c r="F390" s="177"/>
      <c r="G390" s="177"/>
      <c r="I390" s="171"/>
      <c r="J390" s="201"/>
      <c r="K390" s="195"/>
      <c r="L390" s="195"/>
      <c r="M390" s="177"/>
      <c r="N390" s="171"/>
      <c r="AC390" s="197"/>
    </row>
    <row r="391" spans="1:29" x14ac:dyDescent="0.2">
      <c r="A391" s="192"/>
      <c r="B391" s="193"/>
      <c r="C391" s="171"/>
      <c r="D391" s="171"/>
      <c r="E391" s="196"/>
      <c r="F391" s="177"/>
      <c r="G391" s="177"/>
      <c r="I391" s="171"/>
      <c r="J391" s="201"/>
      <c r="K391" s="195"/>
      <c r="L391" s="195"/>
      <c r="M391" s="177"/>
      <c r="N391" s="171"/>
      <c r="AC391" s="197"/>
    </row>
    <row r="392" spans="1:29" x14ac:dyDescent="0.2">
      <c r="A392" s="192"/>
      <c r="B392" s="193"/>
      <c r="C392" s="171"/>
      <c r="D392" s="171"/>
      <c r="E392" s="196"/>
      <c r="F392" s="177"/>
      <c r="G392" s="177"/>
      <c r="I392" s="171"/>
      <c r="J392" s="201"/>
      <c r="K392" s="195"/>
      <c r="L392" s="195"/>
      <c r="M392" s="177"/>
      <c r="N392" s="171"/>
      <c r="AC392" s="197"/>
    </row>
    <row r="393" spans="1:29" x14ac:dyDescent="0.2">
      <c r="A393" s="192"/>
      <c r="B393" s="193"/>
      <c r="C393" s="171"/>
      <c r="D393" s="171"/>
      <c r="E393" s="196"/>
      <c r="F393" s="177"/>
      <c r="G393" s="177"/>
      <c r="I393" s="171"/>
      <c r="J393" s="201"/>
      <c r="K393" s="195"/>
      <c r="L393" s="195"/>
      <c r="M393" s="177"/>
      <c r="N393" s="171"/>
      <c r="AC393" s="197"/>
    </row>
    <row r="394" spans="1:29" x14ac:dyDescent="0.2">
      <c r="A394" s="192"/>
      <c r="B394" s="193"/>
      <c r="C394" s="171"/>
      <c r="D394" s="171"/>
      <c r="E394" s="196"/>
      <c r="F394" s="177"/>
      <c r="G394" s="177"/>
      <c r="I394" s="171"/>
      <c r="J394" s="201"/>
      <c r="K394" s="195"/>
      <c r="L394" s="195"/>
      <c r="M394" s="177"/>
      <c r="N394" s="171"/>
      <c r="AC394" s="197"/>
    </row>
    <row r="395" spans="1:29" x14ac:dyDescent="0.2">
      <c r="A395" s="192"/>
      <c r="B395" s="193"/>
      <c r="C395" s="171"/>
      <c r="D395" s="171"/>
      <c r="E395" s="196"/>
      <c r="F395" s="177"/>
      <c r="G395" s="177"/>
      <c r="I395" s="171"/>
      <c r="J395" s="201"/>
      <c r="K395" s="195"/>
      <c r="L395" s="195"/>
      <c r="M395" s="177"/>
      <c r="N395" s="171"/>
      <c r="AC395" s="197"/>
    </row>
    <row r="396" spans="1:29" x14ac:dyDescent="0.2">
      <c r="A396" s="192"/>
      <c r="B396" s="193"/>
      <c r="C396" s="171"/>
      <c r="D396" s="171"/>
      <c r="E396" s="196"/>
      <c r="F396" s="177"/>
      <c r="G396" s="177"/>
      <c r="I396" s="171"/>
      <c r="J396" s="201"/>
      <c r="K396" s="195"/>
      <c r="L396" s="195"/>
      <c r="M396" s="177"/>
      <c r="N396" s="171"/>
      <c r="AC396" s="197"/>
    </row>
    <row r="397" spans="1:29" x14ac:dyDescent="0.2">
      <c r="A397" s="192"/>
      <c r="B397" s="193"/>
      <c r="C397" s="171"/>
      <c r="D397" s="171"/>
      <c r="E397" s="196"/>
      <c r="F397" s="177"/>
      <c r="G397" s="177"/>
      <c r="I397" s="171"/>
      <c r="J397" s="201"/>
      <c r="K397" s="195"/>
      <c r="L397" s="195"/>
      <c r="M397" s="177"/>
      <c r="N397" s="171"/>
      <c r="AC397" s="197"/>
    </row>
    <row r="398" spans="1:29" x14ac:dyDescent="0.2">
      <c r="A398" s="192"/>
      <c r="B398" s="193"/>
      <c r="C398" s="171"/>
      <c r="D398" s="171"/>
      <c r="E398" s="196"/>
      <c r="F398" s="177"/>
      <c r="G398" s="177"/>
      <c r="I398" s="171"/>
      <c r="J398" s="201"/>
      <c r="K398" s="195"/>
      <c r="L398" s="195"/>
      <c r="M398" s="177"/>
      <c r="N398" s="171"/>
      <c r="AC398" s="197"/>
    </row>
    <row r="399" spans="1:29" x14ac:dyDescent="0.2">
      <c r="A399" s="192"/>
      <c r="B399" s="193"/>
      <c r="C399" s="171"/>
      <c r="D399" s="171"/>
      <c r="E399" s="196"/>
      <c r="F399" s="177"/>
      <c r="G399" s="177"/>
      <c r="I399" s="171"/>
      <c r="J399" s="201"/>
      <c r="K399" s="195"/>
      <c r="L399" s="195"/>
      <c r="M399" s="177"/>
      <c r="N399" s="171"/>
      <c r="AC399" s="197"/>
    </row>
    <row r="400" spans="1:29" x14ac:dyDescent="0.2">
      <c r="A400" s="192"/>
      <c r="B400" s="193"/>
      <c r="C400" s="171"/>
      <c r="D400" s="171"/>
      <c r="E400" s="196"/>
      <c r="F400" s="177"/>
      <c r="G400" s="177"/>
      <c r="I400" s="171"/>
      <c r="J400" s="201"/>
      <c r="K400" s="195"/>
      <c r="L400" s="195"/>
      <c r="M400" s="177"/>
      <c r="N400" s="171"/>
      <c r="AC400" s="197"/>
    </row>
    <row r="401" spans="1:29" x14ac:dyDescent="0.2">
      <c r="A401" s="192"/>
      <c r="B401" s="193"/>
      <c r="C401" s="171"/>
      <c r="D401" s="171"/>
      <c r="E401" s="196"/>
      <c r="F401" s="177"/>
      <c r="G401" s="177"/>
      <c r="I401" s="171"/>
      <c r="J401" s="201"/>
      <c r="K401" s="195"/>
      <c r="L401" s="195"/>
      <c r="M401" s="177"/>
      <c r="N401" s="171"/>
      <c r="AC401" s="197"/>
    </row>
    <row r="402" spans="1:29" x14ac:dyDescent="0.2">
      <c r="A402" s="192"/>
      <c r="B402" s="193"/>
      <c r="C402" s="171"/>
      <c r="D402" s="171"/>
      <c r="E402" s="196"/>
      <c r="F402" s="177"/>
      <c r="G402" s="177"/>
      <c r="I402" s="171"/>
      <c r="J402" s="201"/>
      <c r="K402" s="195"/>
      <c r="L402" s="195"/>
      <c r="M402" s="177"/>
      <c r="N402" s="171"/>
      <c r="AC402" s="197"/>
    </row>
    <row r="403" spans="1:29" x14ac:dyDescent="0.2">
      <c r="A403" s="192"/>
      <c r="B403" s="193"/>
      <c r="C403" s="171"/>
      <c r="D403" s="171"/>
      <c r="E403" s="196"/>
      <c r="F403" s="177"/>
      <c r="G403" s="177"/>
      <c r="I403" s="171"/>
      <c r="J403" s="201"/>
      <c r="K403" s="195"/>
      <c r="L403" s="195"/>
      <c r="M403" s="177"/>
      <c r="N403" s="171"/>
      <c r="AC403" s="197"/>
    </row>
    <row r="404" spans="1:29" x14ac:dyDescent="0.2">
      <c r="A404" s="192"/>
      <c r="B404" s="193"/>
      <c r="C404" s="171"/>
      <c r="D404" s="171"/>
      <c r="E404" s="196"/>
      <c r="F404" s="177"/>
      <c r="G404" s="177"/>
      <c r="I404" s="171"/>
      <c r="J404" s="201"/>
      <c r="K404" s="195"/>
      <c r="L404" s="195"/>
      <c r="M404" s="177"/>
      <c r="N404" s="171"/>
      <c r="AC404" s="197"/>
    </row>
    <row r="405" spans="1:29" x14ac:dyDescent="0.2">
      <c r="A405" s="192"/>
      <c r="B405" s="193"/>
      <c r="C405" s="171"/>
      <c r="D405" s="171"/>
      <c r="E405" s="196"/>
      <c r="F405" s="177"/>
      <c r="G405" s="177"/>
      <c r="I405" s="171"/>
      <c r="J405" s="201"/>
      <c r="K405" s="195"/>
      <c r="L405" s="195"/>
      <c r="M405" s="177"/>
      <c r="N405" s="171"/>
      <c r="AC405" s="197"/>
    </row>
    <row r="406" spans="1:29" x14ac:dyDescent="0.2">
      <c r="A406" s="192"/>
      <c r="B406" s="193"/>
      <c r="C406" s="171"/>
      <c r="D406" s="171"/>
      <c r="E406" s="196"/>
      <c r="F406" s="177"/>
      <c r="G406" s="177"/>
      <c r="I406" s="171"/>
      <c r="J406" s="201"/>
      <c r="K406" s="195"/>
      <c r="L406" s="195"/>
      <c r="M406" s="177"/>
      <c r="N406" s="171"/>
      <c r="AC406" s="197"/>
    </row>
    <row r="407" spans="1:29" x14ac:dyDescent="0.2">
      <c r="A407" s="192"/>
      <c r="B407" s="193"/>
      <c r="C407" s="171"/>
      <c r="D407" s="171"/>
      <c r="E407" s="196"/>
      <c r="F407" s="177"/>
      <c r="G407" s="177"/>
      <c r="I407" s="171"/>
      <c r="J407" s="201"/>
      <c r="K407" s="195"/>
      <c r="L407" s="195"/>
      <c r="M407" s="177"/>
      <c r="N407" s="171"/>
      <c r="AC407" s="197"/>
    </row>
    <row r="408" spans="1:29" x14ac:dyDescent="0.2">
      <c r="A408" s="192"/>
      <c r="B408" s="193"/>
      <c r="C408" s="171"/>
      <c r="D408" s="171"/>
      <c r="E408" s="196"/>
      <c r="F408" s="177"/>
      <c r="G408" s="177"/>
      <c r="I408" s="171"/>
      <c r="J408" s="201"/>
      <c r="K408" s="195"/>
      <c r="L408" s="195"/>
      <c r="M408" s="177"/>
      <c r="N408" s="171"/>
      <c r="AC408" s="197"/>
    </row>
    <row r="409" spans="1:29" x14ac:dyDescent="0.2">
      <c r="A409" s="192"/>
      <c r="B409" s="193"/>
      <c r="C409" s="171"/>
      <c r="D409" s="171"/>
      <c r="E409" s="196"/>
      <c r="F409" s="177"/>
      <c r="G409" s="177"/>
      <c r="I409" s="171"/>
      <c r="J409" s="201"/>
      <c r="K409" s="195"/>
      <c r="L409" s="195"/>
      <c r="M409" s="177"/>
      <c r="N409" s="171"/>
      <c r="AC409" s="197"/>
    </row>
    <row r="410" spans="1:29" x14ac:dyDescent="0.2">
      <c r="A410" s="192"/>
      <c r="B410" s="193"/>
      <c r="C410" s="171"/>
      <c r="D410" s="171"/>
      <c r="E410" s="196"/>
      <c r="F410" s="177"/>
      <c r="G410" s="177"/>
      <c r="I410" s="171"/>
      <c r="J410" s="201"/>
      <c r="K410" s="195"/>
      <c r="L410" s="195"/>
      <c r="M410" s="177"/>
      <c r="N410" s="171"/>
      <c r="AC410" s="197"/>
    </row>
    <row r="411" spans="1:29" x14ac:dyDescent="0.2">
      <c r="A411" s="192"/>
      <c r="B411" s="193"/>
      <c r="C411" s="171"/>
      <c r="D411" s="171"/>
      <c r="E411" s="196"/>
      <c r="F411" s="177"/>
      <c r="G411" s="177"/>
      <c r="I411" s="171"/>
      <c r="J411" s="201"/>
      <c r="K411" s="195"/>
      <c r="L411" s="195"/>
      <c r="M411" s="177"/>
      <c r="N411" s="171"/>
      <c r="AC411" s="197"/>
    </row>
    <row r="412" spans="1:29" x14ac:dyDescent="0.2">
      <c r="A412" s="192"/>
      <c r="B412" s="193"/>
      <c r="C412" s="171"/>
      <c r="D412" s="171"/>
      <c r="E412" s="196"/>
      <c r="F412" s="177"/>
      <c r="G412" s="177"/>
      <c r="I412" s="171"/>
      <c r="J412" s="201"/>
      <c r="K412" s="195"/>
      <c r="L412" s="195"/>
      <c r="M412" s="177"/>
      <c r="N412" s="171"/>
      <c r="AC412" s="197"/>
    </row>
    <row r="413" spans="1:29" x14ac:dyDescent="0.2">
      <c r="A413" s="192"/>
      <c r="B413" s="193"/>
      <c r="C413" s="171"/>
      <c r="D413" s="171"/>
      <c r="E413" s="196"/>
      <c r="F413" s="177"/>
      <c r="G413" s="177"/>
      <c r="I413" s="171"/>
      <c r="J413" s="201"/>
      <c r="K413" s="195"/>
      <c r="L413" s="195"/>
      <c r="M413" s="177"/>
      <c r="N413" s="171"/>
      <c r="AC413" s="197"/>
    </row>
    <row r="414" spans="1:29" x14ac:dyDescent="0.2">
      <c r="A414" s="192"/>
      <c r="B414" s="193"/>
      <c r="C414" s="171"/>
      <c r="D414" s="171"/>
      <c r="E414" s="196"/>
      <c r="F414" s="177"/>
      <c r="G414" s="177"/>
      <c r="I414" s="171"/>
      <c r="J414" s="201"/>
      <c r="K414" s="195"/>
      <c r="L414" s="195"/>
      <c r="M414" s="177"/>
      <c r="N414" s="171"/>
      <c r="AC414" s="197"/>
    </row>
    <row r="415" spans="1:29" x14ac:dyDescent="0.2">
      <c r="A415" s="192"/>
      <c r="B415" s="193"/>
      <c r="C415" s="171"/>
      <c r="D415" s="171"/>
      <c r="E415" s="196"/>
      <c r="F415" s="177"/>
      <c r="G415" s="177"/>
      <c r="I415" s="171"/>
      <c r="J415" s="201"/>
      <c r="K415" s="195"/>
      <c r="L415" s="195"/>
      <c r="M415" s="177"/>
      <c r="N415" s="171"/>
      <c r="AC415" s="197"/>
    </row>
    <row r="416" spans="1:29" x14ac:dyDescent="0.2">
      <c r="A416" s="192"/>
      <c r="B416" s="193"/>
      <c r="C416" s="171"/>
      <c r="D416" s="171"/>
      <c r="E416" s="196"/>
      <c r="F416" s="177"/>
      <c r="G416" s="177"/>
      <c r="I416" s="171"/>
      <c r="J416" s="201"/>
      <c r="K416" s="195"/>
      <c r="L416" s="195"/>
      <c r="M416" s="177"/>
      <c r="N416" s="171"/>
      <c r="AC416" s="197"/>
    </row>
    <row r="417" spans="1:29" x14ac:dyDescent="0.2">
      <c r="A417" s="192"/>
      <c r="B417" s="193"/>
      <c r="C417" s="171"/>
      <c r="D417" s="171"/>
      <c r="E417" s="196"/>
      <c r="F417" s="177"/>
      <c r="G417" s="177"/>
      <c r="I417" s="171"/>
      <c r="J417" s="201"/>
      <c r="K417" s="195"/>
      <c r="L417" s="195"/>
      <c r="M417" s="177"/>
      <c r="N417" s="171"/>
      <c r="AC417" s="197"/>
    </row>
    <row r="418" spans="1:29" x14ac:dyDescent="0.2">
      <c r="A418" s="192"/>
      <c r="B418" s="193"/>
      <c r="C418" s="171"/>
      <c r="D418" s="171"/>
      <c r="E418" s="196"/>
      <c r="F418" s="177"/>
      <c r="G418" s="177"/>
      <c r="I418" s="171"/>
      <c r="J418" s="201"/>
      <c r="K418" s="195"/>
      <c r="L418" s="195"/>
      <c r="M418" s="177"/>
      <c r="N418" s="171"/>
      <c r="AC418" s="197"/>
    </row>
    <row r="419" spans="1:29" x14ac:dyDescent="0.2">
      <c r="A419" s="192"/>
      <c r="B419" s="193"/>
      <c r="C419" s="171"/>
      <c r="D419" s="171"/>
      <c r="E419" s="196"/>
      <c r="F419" s="177"/>
      <c r="G419" s="177"/>
      <c r="I419" s="171"/>
      <c r="J419" s="201"/>
      <c r="K419" s="195"/>
      <c r="L419" s="195"/>
      <c r="M419" s="177"/>
      <c r="N419" s="171"/>
      <c r="AC419" s="197"/>
    </row>
    <row r="420" spans="1:29" x14ac:dyDescent="0.2">
      <c r="A420" s="192"/>
      <c r="B420" s="193"/>
      <c r="C420" s="171"/>
      <c r="D420" s="171"/>
      <c r="E420" s="196"/>
      <c r="F420" s="177"/>
      <c r="G420" s="177"/>
      <c r="I420" s="171"/>
      <c r="J420" s="201"/>
      <c r="K420" s="195"/>
      <c r="L420" s="195"/>
      <c r="M420" s="177"/>
      <c r="N420" s="171"/>
      <c r="AC420" s="197"/>
    </row>
    <row r="421" spans="1:29" x14ac:dyDescent="0.2">
      <c r="A421" s="192"/>
      <c r="B421" s="193"/>
      <c r="C421" s="171"/>
      <c r="D421" s="171"/>
      <c r="E421" s="196"/>
      <c r="F421" s="177"/>
      <c r="G421" s="177"/>
      <c r="I421" s="171"/>
      <c r="J421" s="201"/>
      <c r="K421" s="195"/>
      <c r="L421" s="195"/>
      <c r="M421" s="177"/>
      <c r="N421" s="171"/>
      <c r="AC421" s="197"/>
    </row>
    <row r="422" spans="1:29" x14ac:dyDescent="0.2">
      <c r="A422" s="192"/>
      <c r="B422" s="193"/>
      <c r="C422" s="171"/>
      <c r="D422" s="171"/>
      <c r="E422" s="196"/>
      <c r="F422" s="177"/>
      <c r="G422" s="177"/>
      <c r="I422" s="171"/>
      <c r="J422" s="201"/>
      <c r="K422" s="195"/>
      <c r="L422" s="195"/>
      <c r="M422" s="177"/>
      <c r="N422" s="171"/>
      <c r="AC422" s="197"/>
    </row>
    <row r="423" spans="1:29" x14ac:dyDescent="0.2">
      <c r="A423" s="192"/>
      <c r="B423" s="193"/>
      <c r="C423" s="171"/>
      <c r="D423" s="171"/>
      <c r="E423" s="196"/>
      <c r="F423" s="177"/>
      <c r="G423" s="177"/>
      <c r="I423" s="171"/>
      <c r="J423" s="201"/>
      <c r="K423" s="195"/>
      <c r="L423" s="195"/>
      <c r="M423" s="177"/>
      <c r="N423" s="171"/>
      <c r="AC423" s="197"/>
    </row>
    <row r="424" spans="1:29" x14ac:dyDescent="0.2">
      <c r="A424" s="192"/>
      <c r="B424" s="193"/>
      <c r="C424" s="171"/>
      <c r="D424" s="171"/>
      <c r="E424" s="196"/>
      <c r="F424" s="177"/>
      <c r="G424" s="177"/>
      <c r="I424" s="171"/>
      <c r="J424" s="201"/>
      <c r="K424" s="195"/>
      <c r="L424" s="195"/>
      <c r="M424" s="177"/>
      <c r="N424" s="171"/>
      <c r="AC424" s="197"/>
    </row>
    <row r="425" spans="1:29" x14ac:dyDescent="0.2">
      <c r="A425" s="192"/>
      <c r="B425" s="193"/>
      <c r="C425" s="171"/>
      <c r="D425" s="171"/>
      <c r="E425" s="196"/>
      <c r="F425" s="177"/>
      <c r="G425" s="177"/>
      <c r="I425" s="171"/>
      <c r="J425" s="201"/>
      <c r="K425" s="195"/>
      <c r="L425" s="195"/>
      <c r="M425" s="177"/>
      <c r="N425" s="171"/>
      <c r="AC425" s="197"/>
    </row>
    <row r="426" spans="1:29" x14ac:dyDescent="0.2">
      <c r="A426" s="192"/>
      <c r="B426" s="193"/>
      <c r="C426" s="171"/>
      <c r="D426" s="171"/>
      <c r="E426" s="196"/>
      <c r="F426" s="177"/>
      <c r="G426" s="177"/>
      <c r="I426" s="171"/>
      <c r="J426" s="201"/>
      <c r="K426" s="195"/>
      <c r="L426" s="195"/>
      <c r="M426" s="177"/>
      <c r="N426" s="171"/>
      <c r="AC426" s="197"/>
    </row>
    <row r="427" spans="1:29" x14ac:dyDescent="0.2">
      <c r="A427" s="192"/>
      <c r="B427" s="193"/>
      <c r="C427" s="171"/>
      <c r="D427" s="171"/>
      <c r="E427" s="196"/>
      <c r="F427" s="177"/>
      <c r="G427" s="177"/>
      <c r="I427" s="171"/>
      <c r="J427" s="201"/>
      <c r="K427" s="195"/>
      <c r="L427" s="195"/>
      <c r="M427" s="177"/>
      <c r="N427" s="171"/>
      <c r="AC427" s="197"/>
    </row>
    <row r="428" spans="1:29" x14ac:dyDescent="0.2">
      <c r="A428" s="192"/>
      <c r="B428" s="193"/>
      <c r="C428" s="171"/>
      <c r="D428" s="171"/>
      <c r="E428" s="196"/>
      <c r="F428" s="177"/>
      <c r="G428" s="177"/>
      <c r="I428" s="171"/>
      <c r="J428" s="201"/>
      <c r="K428" s="195"/>
      <c r="L428" s="195"/>
      <c r="M428" s="177"/>
      <c r="N428" s="171"/>
      <c r="AC428" s="197"/>
    </row>
    <row r="429" spans="1:29" x14ac:dyDescent="0.2">
      <c r="A429" s="192"/>
      <c r="B429" s="193"/>
      <c r="C429" s="171"/>
      <c r="D429" s="171"/>
      <c r="E429" s="196"/>
      <c r="F429" s="177"/>
      <c r="G429" s="177"/>
      <c r="I429" s="171"/>
      <c r="J429" s="201"/>
      <c r="K429" s="195"/>
      <c r="L429" s="195"/>
      <c r="M429" s="177"/>
      <c r="N429" s="171"/>
      <c r="AC429" s="197"/>
    </row>
    <row r="430" spans="1:29" x14ac:dyDescent="0.2">
      <c r="A430" s="192"/>
      <c r="B430" s="193"/>
      <c r="C430" s="171"/>
      <c r="D430" s="171"/>
      <c r="E430" s="196"/>
      <c r="F430" s="177"/>
      <c r="G430" s="177"/>
      <c r="I430" s="171"/>
      <c r="J430" s="201"/>
      <c r="K430" s="195"/>
      <c r="L430" s="195"/>
      <c r="M430" s="177"/>
      <c r="N430" s="171"/>
      <c r="AC430" s="197"/>
    </row>
    <row r="431" spans="1:29" x14ac:dyDescent="0.2">
      <c r="A431" s="192"/>
      <c r="B431" s="193"/>
      <c r="C431" s="171"/>
      <c r="D431" s="171"/>
      <c r="E431" s="196"/>
      <c r="F431" s="177"/>
      <c r="G431" s="177"/>
      <c r="I431" s="171"/>
      <c r="J431" s="201"/>
      <c r="K431" s="195"/>
      <c r="L431" s="195"/>
      <c r="M431" s="177"/>
      <c r="N431" s="171"/>
      <c r="AC431" s="197"/>
    </row>
    <row r="432" spans="1:29" x14ac:dyDescent="0.2">
      <c r="A432" s="192"/>
      <c r="B432" s="193"/>
      <c r="C432" s="171"/>
      <c r="D432" s="171"/>
      <c r="E432" s="196"/>
      <c r="F432" s="177"/>
      <c r="G432" s="177"/>
      <c r="I432" s="171"/>
      <c r="J432" s="201"/>
      <c r="K432" s="195"/>
      <c r="L432" s="195"/>
      <c r="M432" s="177"/>
      <c r="N432" s="171"/>
      <c r="AC432" s="197"/>
    </row>
    <row r="433" spans="1:29" x14ac:dyDescent="0.2">
      <c r="A433" s="192"/>
      <c r="B433" s="193"/>
      <c r="C433" s="171"/>
      <c r="D433" s="171"/>
      <c r="E433" s="196"/>
      <c r="F433" s="177"/>
      <c r="G433" s="177"/>
      <c r="I433" s="171"/>
      <c r="J433" s="201"/>
      <c r="K433" s="195"/>
      <c r="L433" s="195"/>
      <c r="M433" s="177"/>
      <c r="N433" s="171"/>
      <c r="AC433" s="197"/>
    </row>
    <row r="434" spans="1:29" x14ac:dyDescent="0.2">
      <c r="A434" s="192"/>
      <c r="B434" s="193"/>
      <c r="C434" s="171"/>
      <c r="D434" s="171"/>
      <c r="E434" s="196"/>
      <c r="F434" s="177"/>
      <c r="G434" s="177"/>
      <c r="I434" s="171"/>
      <c r="J434" s="201"/>
      <c r="K434" s="195"/>
      <c r="L434" s="195"/>
      <c r="M434" s="177"/>
      <c r="N434" s="171"/>
      <c r="AC434" s="197"/>
    </row>
    <row r="435" spans="1:29" x14ac:dyDescent="0.2">
      <c r="A435" s="192"/>
      <c r="B435" s="193"/>
      <c r="C435" s="171"/>
      <c r="D435" s="171"/>
      <c r="E435" s="196"/>
      <c r="F435" s="177"/>
      <c r="G435" s="177"/>
      <c r="I435" s="171"/>
      <c r="J435" s="201"/>
      <c r="K435" s="195"/>
      <c r="L435" s="195"/>
      <c r="M435" s="177"/>
      <c r="N435" s="171"/>
      <c r="AC435" s="197"/>
    </row>
    <row r="436" spans="1:29" x14ac:dyDescent="0.2">
      <c r="A436" s="192"/>
      <c r="B436" s="193"/>
      <c r="C436" s="171"/>
      <c r="D436" s="171"/>
      <c r="E436" s="196"/>
      <c r="F436" s="177"/>
      <c r="G436" s="177"/>
      <c r="I436" s="171"/>
      <c r="J436" s="201"/>
      <c r="K436" s="195"/>
      <c r="L436" s="195"/>
      <c r="M436" s="177"/>
      <c r="N436" s="171"/>
      <c r="AC436" s="197"/>
    </row>
    <row r="437" spans="1:29" x14ac:dyDescent="0.2">
      <c r="A437" s="192"/>
      <c r="B437" s="193"/>
      <c r="C437" s="171"/>
      <c r="D437" s="171"/>
      <c r="E437" s="196"/>
      <c r="F437" s="177"/>
      <c r="G437" s="177"/>
      <c r="I437" s="171"/>
      <c r="J437" s="201"/>
      <c r="K437" s="195"/>
      <c r="L437" s="195"/>
      <c r="M437" s="177"/>
      <c r="N437" s="171"/>
      <c r="AC437" s="197"/>
    </row>
    <row r="438" spans="1:29" x14ac:dyDescent="0.2">
      <c r="A438" s="192"/>
      <c r="B438" s="193"/>
      <c r="C438" s="171"/>
      <c r="D438" s="171"/>
      <c r="E438" s="196"/>
      <c r="F438" s="177"/>
      <c r="G438" s="177"/>
      <c r="I438" s="171"/>
      <c r="J438" s="201"/>
      <c r="K438" s="195"/>
      <c r="L438" s="195"/>
      <c r="M438" s="177"/>
      <c r="N438" s="171"/>
      <c r="AC438" s="197"/>
    </row>
    <row r="439" spans="1:29" x14ac:dyDescent="0.2">
      <c r="A439" s="192"/>
      <c r="B439" s="193"/>
      <c r="C439" s="171"/>
      <c r="D439" s="171"/>
      <c r="E439" s="196"/>
      <c r="F439" s="177"/>
      <c r="G439" s="177"/>
      <c r="I439" s="171"/>
      <c r="J439" s="201"/>
      <c r="K439" s="195"/>
      <c r="L439" s="195"/>
      <c r="M439" s="177"/>
      <c r="N439" s="171"/>
      <c r="AC439" s="197"/>
    </row>
    <row r="440" spans="1:29" x14ac:dyDescent="0.2">
      <c r="A440" s="192"/>
      <c r="B440" s="193"/>
      <c r="C440" s="171"/>
      <c r="D440" s="171"/>
      <c r="E440" s="196"/>
      <c r="F440" s="177"/>
      <c r="G440" s="177"/>
      <c r="I440" s="171"/>
      <c r="J440" s="201"/>
      <c r="K440" s="195"/>
      <c r="L440" s="195"/>
      <c r="M440" s="177"/>
      <c r="N440" s="171"/>
      <c r="AC440" s="197"/>
    </row>
    <row r="441" spans="1:29" x14ac:dyDescent="0.2">
      <c r="A441" s="192"/>
      <c r="B441" s="193"/>
      <c r="C441" s="171"/>
      <c r="D441" s="171"/>
      <c r="E441" s="196"/>
      <c r="F441" s="177"/>
      <c r="G441" s="177"/>
      <c r="I441" s="171"/>
      <c r="J441" s="201"/>
      <c r="K441" s="195"/>
      <c r="L441" s="195"/>
      <c r="M441" s="177"/>
      <c r="N441" s="171"/>
      <c r="AC441" s="197"/>
    </row>
    <row r="442" spans="1:29" x14ac:dyDescent="0.2">
      <c r="A442" s="192"/>
      <c r="B442" s="193"/>
      <c r="C442" s="171"/>
      <c r="D442" s="171"/>
      <c r="E442" s="196"/>
      <c r="F442" s="177"/>
      <c r="G442" s="177"/>
      <c r="I442" s="171"/>
      <c r="J442" s="201"/>
      <c r="K442" s="195"/>
      <c r="L442" s="195"/>
      <c r="M442" s="177"/>
      <c r="N442" s="171"/>
      <c r="AC442" s="197"/>
    </row>
    <row r="443" spans="1:29" x14ac:dyDescent="0.2">
      <c r="A443" s="192"/>
      <c r="B443" s="193"/>
      <c r="C443" s="171"/>
      <c r="D443" s="171"/>
      <c r="E443" s="196"/>
      <c r="F443" s="177"/>
      <c r="G443" s="177"/>
      <c r="I443" s="171"/>
      <c r="J443" s="201"/>
      <c r="K443" s="195"/>
      <c r="L443" s="195"/>
      <c r="M443" s="177"/>
      <c r="N443" s="171"/>
      <c r="AC443" s="197"/>
    </row>
    <row r="444" spans="1:29" x14ac:dyDescent="0.2">
      <c r="A444" s="192"/>
      <c r="B444" s="193"/>
      <c r="C444" s="171"/>
      <c r="D444" s="171"/>
      <c r="E444" s="196"/>
      <c r="F444" s="177"/>
      <c r="G444" s="177"/>
      <c r="I444" s="171"/>
      <c r="J444" s="201"/>
      <c r="K444" s="195"/>
      <c r="L444" s="195"/>
      <c r="M444" s="177"/>
      <c r="N444" s="171"/>
      <c r="AC444" s="197"/>
    </row>
    <row r="445" spans="1:29" x14ac:dyDescent="0.2">
      <c r="A445" s="192"/>
      <c r="B445" s="193"/>
      <c r="C445" s="171"/>
      <c r="D445" s="171"/>
      <c r="E445" s="196"/>
      <c r="F445" s="177"/>
      <c r="G445" s="177"/>
      <c r="I445" s="171"/>
      <c r="J445" s="201"/>
      <c r="K445" s="195"/>
      <c r="L445" s="195"/>
      <c r="M445" s="177"/>
      <c r="N445" s="171"/>
      <c r="AC445" s="197"/>
    </row>
    <row r="446" spans="1:29" x14ac:dyDescent="0.2">
      <c r="A446" s="192"/>
      <c r="B446" s="193"/>
      <c r="C446" s="171"/>
      <c r="D446" s="171"/>
      <c r="E446" s="196"/>
      <c r="F446" s="177"/>
      <c r="G446" s="177"/>
      <c r="I446" s="171"/>
      <c r="J446" s="201"/>
      <c r="K446" s="195"/>
      <c r="L446" s="195"/>
      <c r="M446" s="177"/>
      <c r="N446" s="171"/>
      <c r="AC446" s="197"/>
    </row>
    <row r="447" spans="1:29" x14ac:dyDescent="0.2">
      <c r="A447" s="192"/>
      <c r="B447" s="193"/>
      <c r="C447" s="171"/>
      <c r="D447" s="171"/>
      <c r="E447" s="196"/>
      <c r="F447" s="177"/>
      <c r="G447" s="177"/>
      <c r="I447" s="171"/>
      <c r="J447" s="201"/>
      <c r="K447" s="195"/>
      <c r="L447" s="195"/>
      <c r="M447" s="177"/>
      <c r="N447" s="171"/>
      <c r="AC447" s="197"/>
    </row>
    <row r="448" spans="1:29" x14ac:dyDescent="0.2">
      <c r="A448" s="192"/>
      <c r="B448" s="193"/>
      <c r="C448" s="171"/>
      <c r="D448" s="171"/>
      <c r="E448" s="196"/>
      <c r="F448" s="177"/>
      <c r="G448" s="177"/>
      <c r="I448" s="171"/>
      <c r="J448" s="201"/>
      <c r="K448" s="195"/>
      <c r="L448" s="195"/>
      <c r="M448" s="177"/>
      <c r="N448" s="171"/>
      <c r="AC448" s="197"/>
    </row>
    <row r="449" spans="1:29" x14ac:dyDescent="0.2">
      <c r="A449" s="192"/>
      <c r="B449" s="193"/>
      <c r="C449" s="171"/>
      <c r="D449" s="171"/>
      <c r="E449" s="196"/>
      <c r="F449" s="177"/>
      <c r="G449" s="177"/>
      <c r="I449" s="171"/>
      <c r="J449" s="201"/>
      <c r="K449" s="195"/>
      <c r="L449" s="195"/>
      <c r="M449" s="177"/>
      <c r="N449" s="171"/>
      <c r="AC449" s="197"/>
    </row>
    <row r="450" spans="1:29" x14ac:dyDescent="0.2">
      <c r="A450" s="192"/>
      <c r="B450" s="193"/>
      <c r="C450" s="171"/>
      <c r="D450" s="171"/>
      <c r="E450" s="196"/>
      <c r="F450" s="177"/>
      <c r="G450" s="177"/>
      <c r="I450" s="171"/>
      <c r="J450" s="201"/>
      <c r="K450" s="195"/>
      <c r="L450" s="195"/>
      <c r="M450" s="177"/>
      <c r="N450" s="171"/>
      <c r="AC450" s="197"/>
    </row>
    <row r="451" spans="1:29" x14ac:dyDescent="0.2">
      <c r="A451" s="192"/>
      <c r="B451" s="193"/>
      <c r="C451" s="171"/>
      <c r="D451" s="171"/>
      <c r="E451" s="196"/>
      <c r="F451" s="177"/>
      <c r="G451" s="177"/>
      <c r="I451" s="171"/>
      <c r="J451" s="201"/>
      <c r="K451" s="195"/>
      <c r="L451" s="195"/>
      <c r="M451" s="177"/>
      <c r="N451" s="171"/>
      <c r="AC451" s="197"/>
    </row>
    <row r="452" spans="1:29" x14ac:dyDescent="0.2">
      <c r="A452" s="192"/>
      <c r="B452" s="193"/>
      <c r="C452" s="171"/>
      <c r="D452" s="171"/>
      <c r="E452" s="196"/>
      <c r="F452" s="177"/>
      <c r="G452" s="177"/>
      <c r="I452" s="171"/>
      <c r="J452" s="201"/>
      <c r="K452" s="195"/>
      <c r="L452" s="195"/>
      <c r="M452" s="177"/>
      <c r="N452" s="171"/>
      <c r="AC452" s="197"/>
    </row>
    <row r="453" spans="1:29" x14ac:dyDescent="0.2">
      <c r="A453" s="192"/>
      <c r="B453" s="193"/>
      <c r="C453" s="171"/>
      <c r="D453" s="171"/>
      <c r="E453" s="196"/>
      <c r="F453" s="177"/>
      <c r="G453" s="177"/>
      <c r="I453" s="171"/>
      <c r="J453" s="201"/>
      <c r="K453" s="195"/>
      <c r="L453" s="195"/>
      <c r="M453" s="177"/>
      <c r="N453" s="171"/>
      <c r="AC453" s="197"/>
    </row>
    <row r="454" spans="1:29" x14ac:dyDescent="0.2">
      <c r="A454" s="192"/>
      <c r="B454" s="193"/>
      <c r="C454" s="171"/>
      <c r="D454" s="171"/>
      <c r="E454" s="196"/>
      <c r="F454" s="177"/>
      <c r="G454" s="177"/>
      <c r="I454" s="171"/>
      <c r="J454" s="201"/>
      <c r="K454" s="195"/>
      <c r="L454" s="195"/>
      <c r="M454" s="177"/>
      <c r="N454" s="171"/>
      <c r="AC454" s="197"/>
    </row>
    <row r="455" spans="1:29" x14ac:dyDescent="0.2">
      <c r="A455" s="192"/>
      <c r="B455" s="193"/>
      <c r="C455" s="171"/>
      <c r="D455" s="171"/>
      <c r="E455" s="196"/>
      <c r="F455" s="177"/>
      <c r="G455" s="177"/>
      <c r="I455" s="171"/>
      <c r="J455" s="201"/>
      <c r="K455" s="195"/>
      <c r="L455" s="195"/>
      <c r="M455" s="177"/>
      <c r="N455" s="171"/>
      <c r="AC455" s="197"/>
    </row>
    <row r="456" spans="1:29" x14ac:dyDescent="0.2">
      <c r="A456" s="192"/>
      <c r="B456" s="193"/>
      <c r="C456" s="171"/>
      <c r="D456" s="171"/>
      <c r="E456" s="196"/>
      <c r="F456" s="177"/>
      <c r="G456" s="177"/>
      <c r="I456" s="171"/>
      <c r="J456" s="201"/>
      <c r="K456" s="195"/>
      <c r="L456" s="195"/>
      <c r="M456" s="177"/>
      <c r="N456" s="171"/>
      <c r="AC456" s="197"/>
    </row>
    <row r="457" spans="1:29" x14ac:dyDescent="0.2">
      <c r="A457" s="192"/>
      <c r="B457" s="193"/>
      <c r="C457" s="171"/>
      <c r="D457" s="171"/>
      <c r="E457" s="196"/>
      <c r="F457" s="177"/>
      <c r="G457" s="177"/>
      <c r="I457" s="171"/>
      <c r="J457" s="201"/>
      <c r="K457" s="195"/>
      <c r="L457" s="195"/>
      <c r="M457" s="177"/>
      <c r="N457" s="171"/>
      <c r="AC457" s="197"/>
    </row>
    <row r="458" spans="1:29" x14ac:dyDescent="0.2">
      <c r="A458" s="192"/>
      <c r="B458" s="193"/>
      <c r="C458" s="171"/>
      <c r="D458" s="171"/>
      <c r="E458" s="196"/>
      <c r="F458" s="177"/>
      <c r="G458" s="177"/>
      <c r="I458" s="171"/>
      <c r="J458" s="201"/>
      <c r="K458" s="195"/>
      <c r="L458" s="195"/>
      <c r="M458" s="177"/>
      <c r="N458" s="171"/>
      <c r="AC458" s="197"/>
    </row>
    <row r="459" spans="1:29" x14ac:dyDescent="0.2">
      <c r="A459" s="192"/>
      <c r="B459" s="193"/>
      <c r="C459" s="171"/>
      <c r="D459" s="171"/>
      <c r="E459" s="196"/>
      <c r="F459" s="177"/>
      <c r="G459" s="177"/>
      <c r="I459" s="171"/>
      <c r="J459" s="201"/>
      <c r="K459" s="195"/>
      <c r="L459" s="195"/>
      <c r="M459" s="177"/>
      <c r="N459" s="171"/>
      <c r="AC459" s="197"/>
    </row>
    <row r="460" spans="1:29" x14ac:dyDescent="0.2">
      <c r="A460" s="192"/>
      <c r="B460" s="193"/>
      <c r="C460" s="171"/>
      <c r="D460" s="171"/>
      <c r="E460" s="196"/>
      <c r="F460" s="177"/>
      <c r="G460" s="177"/>
      <c r="I460" s="171"/>
      <c r="J460" s="201"/>
      <c r="K460" s="195"/>
      <c r="L460" s="195"/>
      <c r="M460" s="177"/>
      <c r="N460" s="171"/>
      <c r="AC460" s="197"/>
    </row>
    <row r="461" spans="1:29" x14ac:dyDescent="0.2">
      <c r="A461" s="192"/>
      <c r="B461" s="193"/>
      <c r="C461" s="171"/>
      <c r="D461" s="171"/>
      <c r="E461" s="196"/>
      <c r="F461" s="177"/>
      <c r="G461" s="177"/>
      <c r="I461" s="171"/>
      <c r="J461" s="201"/>
      <c r="K461" s="195"/>
      <c r="L461" s="195"/>
      <c r="M461" s="177"/>
      <c r="N461" s="171"/>
      <c r="AC461" s="197"/>
    </row>
    <row r="462" spans="1:29" x14ac:dyDescent="0.2">
      <c r="A462" s="192"/>
      <c r="B462" s="193"/>
      <c r="C462" s="171"/>
      <c r="D462" s="171"/>
      <c r="E462" s="196"/>
      <c r="F462" s="177"/>
      <c r="G462" s="177"/>
      <c r="I462" s="171"/>
      <c r="J462" s="201"/>
      <c r="K462" s="195"/>
      <c r="L462" s="195"/>
      <c r="M462" s="177"/>
      <c r="N462" s="171"/>
      <c r="AC462" s="197"/>
    </row>
    <row r="463" spans="1:29" x14ac:dyDescent="0.2">
      <c r="A463" s="192"/>
      <c r="B463" s="193"/>
      <c r="C463" s="171"/>
      <c r="D463" s="171"/>
      <c r="E463" s="196"/>
      <c r="F463" s="177"/>
      <c r="G463" s="177"/>
      <c r="I463" s="171"/>
      <c r="J463" s="201"/>
      <c r="K463" s="195"/>
      <c r="L463" s="195"/>
      <c r="M463" s="177"/>
      <c r="N463" s="171"/>
      <c r="AC463" s="197"/>
    </row>
    <row r="464" spans="1:29" x14ac:dyDescent="0.2">
      <c r="A464" s="192"/>
      <c r="B464" s="193"/>
      <c r="C464" s="171"/>
      <c r="D464" s="171"/>
      <c r="E464" s="196"/>
      <c r="F464" s="177"/>
      <c r="G464" s="177"/>
      <c r="I464" s="171"/>
      <c r="J464" s="201"/>
      <c r="K464" s="195"/>
      <c r="L464" s="195"/>
      <c r="M464" s="177"/>
      <c r="N464" s="171"/>
      <c r="AC464" s="197"/>
    </row>
    <row r="465" spans="1:29" x14ac:dyDescent="0.2">
      <c r="A465" s="192"/>
      <c r="B465" s="193"/>
      <c r="C465" s="171"/>
      <c r="D465" s="171"/>
      <c r="E465" s="196"/>
      <c r="F465" s="177"/>
      <c r="G465" s="177"/>
      <c r="I465" s="171"/>
      <c r="J465" s="201"/>
      <c r="K465" s="195"/>
      <c r="L465" s="195"/>
      <c r="M465" s="177"/>
      <c r="N465" s="171"/>
      <c r="AC465" s="197"/>
    </row>
    <row r="466" spans="1:29" x14ac:dyDescent="0.2">
      <c r="A466" s="192"/>
      <c r="B466" s="193"/>
      <c r="C466" s="171"/>
      <c r="D466" s="171"/>
      <c r="E466" s="196"/>
      <c r="F466" s="177"/>
      <c r="G466" s="177"/>
      <c r="I466" s="171"/>
      <c r="J466" s="201"/>
      <c r="K466" s="195"/>
      <c r="L466" s="195"/>
      <c r="M466" s="177"/>
      <c r="N466" s="171"/>
      <c r="AC466" s="197"/>
    </row>
    <row r="467" spans="1:29" x14ac:dyDescent="0.2">
      <c r="A467" s="192"/>
      <c r="B467" s="193"/>
      <c r="C467" s="171"/>
      <c r="D467" s="171"/>
      <c r="E467" s="196"/>
      <c r="F467" s="177"/>
      <c r="G467" s="177"/>
      <c r="I467" s="171"/>
      <c r="J467" s="201"/>
      <c r="K467" s="195"/>
      <c r="L467" s="195"/>
      <c r="M467" s="177"/>
      <c r="N467" s="171"/>
      <c r="AC467" s="197"/>
    </row>
    <row r="468" spans="1:29" x14ac:dyDescent="0.2">
      <c r="A468" s="192"/>
      <c r="B468" s="193"/>
      <c r="C468" s="171"/>
      <c r="D468" s="171"/>
      <c r="E468" s="196"/>
      <c r="F468" s="177"/>
      <c r="G468" s="177"/>
      <c r="I468" s="171"/>
      <c r="J468" s="201"/>
      <c r="K468" s="195"/>
      <c r="L468" s="195"/>
      <c r="M468" s="177"/>
      <c r="N468" s="171"/>
      <c r="AC468" s="197"/>
    </row>
    <row r="469" spans="1:29" x14ac:dyDescent="0.2">
      <c r="A469" s="192"/>
      <c r="B469" s="193"/>
      <c r="C469" s="171"/>
      <c r="D469" s="171"/>
      <c r="E469" s="196"/>
      <c r="F469" s="177"/>
      <c r="G469" s="177"/>
      <c r="I469" s="171"/>
      <c r="J469" s="201"/>
      <c r="K469" s="195"/>
      <c r="L469" s="195"/>
      <c r="M469" s="177"/>
      <c r="N469" s="171"/>
      <c r="AC469" s="197"/>
    </row>
    <row r="470" spans="1:29" x14ac:dyDescent="0.2">
      <c r="A470" s="192"/>
      <c r="B470" s="193"/>
      <c r="C470" s="171"/>
      <c r="D470" s="171"/>
      <c r="E470" s="196"/>
      <c r="F470" s="177"/>
      <c r="G470" s="177"/>
      <c r="I470" s="171"/>
      <c r="J470" s="201"/>
      <c r="K470" s="195"/>
      <c r="L470" s="195"/>
      <c r="M470" s="177"/>
      <c r="N470" s="171"/>
      <c r="AC470" s="197"/>
    </row>
    <row r="471" spans="1:29" x14ac:dyDescent="0.2">
      <c r="A471" s="192"/>
      <c r="B471" s="193"/>
      <c r="C471" s="171"/>
      <c r="D471" s="171"/>
      <c r="E471" s="196"/>
      <c r="F471" s="177"/>
      <c r="G471" s="177"/>
      <c r="I471" s="171"/>
      <c r="J471" s="201"/>
      <c r="K471" s="195"/>
      <c r="L471" s="195"/>
      <c r="M471" s="177"/>
      <c r="N471" s="171"/>
      <c r="AC471" s="197"/>
    </row>
    <row r="472" spans="1:29" x14ac:dyDescent="0.2">
      <c r="A472" s="192"/>
      <c r="B472" s="193"/>
      <c r="C472" s="171"/>
      <c r="D472" s="171"/>
      <c r="E472" s="196"/>
      <c r="F472" s="177"/>
      <c r="G472" s="177"/>
      <c r="I472" s="171"/>
      <c r="J472" s="201"/>
      <c r="K472" s="195"/>
      <c r="L472" s="195"/>
      <c r="M472" s="177"/>
      <c r="N472" s="171"/>
      <c r="AC472" s="197"/>
    </row>
    <row r="473" spans="1:29" x14ac:dyDescent="0.2">
      <c r="A473" s="192"/>
      <c r="B473" s="193"/>
      <c r="C473" s="171"/>
      <c r="D473" s="171"/>
      <c r="E473" s="196"/>
      <c r="F473" s="177"/>
      <c r="G473" s="177"/>
      <c r="I473" s="171"/>
      <c r="J473" s="201"/>
      <c r="K473" s="195"/>
      <c r="L473" s="195"/>
      <c r="M473" s="177"/>
      <c r="N473" s="171"/>
      <c r="AC473" s="197"/>
    </row>
    <row r="474" spans="1:29" x14ac:dyDescent="0.2">
      <c r="A474" s="192"/>
      <c r="B474" s="193"/>
      <c r="C474" s="171"/>
      <c r="D474" s="171"/>
      <c r="E474" s="196"/>
      <c r="F474" s="177"/>
      <c r="G474" s="177"/>
      <c r="I474" s="171"/>
      <c r="J474" s="201"/>
      <c r="K474" s="195"/>
      <c r="L474" s="195"/>
      <c r="M474" s="177"/>
      <c r="N474" s="171"/>
      <c r="AC474" s="197"/>
    </row>
    <row r="475" spans="1:29" x14ac:dyDescent="0.2">
      <c r="A475" s="192"/>
      <c r="B475" s="193"/>
      <c r="C475" s="171"/>
      <c r="D475" s="171"/>
      <c r="E475" s="196"/>
      <c r="F475" s="177"/>
      <c r="G475" s="177"/>
      <c r="I475" s="171"/>
      <c r="J475" s="201"/>
      <c r="K475" s="195"/>
      <c r="L475" s="195"/>
      <c r="M475" s="177"/>
      <c r="N475" s="171"/>
      <c r="AC475" s="197"/>
    </row>
    <row r="476" spans="1:29" x14ac:dyDescent="0.2">
      <c r="A476" s="192"/>
      <c r="B476" s="193"/>
      <c r="C476" s="171"/>
      <c r="D476" s="171"/>
      <c r="E476" s="196"/>
      <c r="F476" s="177"/>
      <c r="G476" s="177"/>
      <c r="I476" s="171"/>
      <c r="J476" s="201"/>
      <c r="K476" s="195"/>
      <c r="L476" s="195"/>
      <c r="M476" s="177"/>
      <c r="N476" s="171"/>
      <c r="AC476" s="197"/>
    </row>
    <row r="477" spans="1:29" x14ac:dyDescent="0.2">
      <c r="A477" s="192"/>
      <c r="B477" s="193"/>
      <c r="C477" s="171"/>
      <c r="D477" s="171"/>
      <c r="E477" s="196"/>
      <c r="F477" s="177"/>
      <c r="G477" s="177"/>
      <c r="I477" s="171"/>
      <c r="J477" s="201"/>
      <c r="K477" s="195"/>
      <c r="L477" s="195"/>
      <c r="M477" s="177"/>
      <c r="N477" s="171"/>
      <c r="AC477" s="197"/>
    </row>
    <row r="478" spans="1:29" x14ac:dyDescent="0.2">
      <c r="A478" s="192"/>
      <c r="B478" s="193"/>
      <c r="C478" s="171"/>
      <c r="D478" s="171"/>
      <c r="E478" s="196"/>
      <c r="F478" s="177"/>
      <c r="G478" s="177"/>
      <c r="I478" s="171"/>
      <c r="J478" s="201"/>
      <c r="K478" s="195"/>
      <c r="L478" s="195"/>
      <c r="M478" s="177"/>
      <c r="N478" s="171"/>
      <c r="AC478" s="197"/>
    </row>
    <row r="479" spans="1:29" x14ac:dyDescent="0.2">
      <c r="A479" s="192"/>
      <c r="B479" s="193"/>
      <c r="C479" s="171"/>
      <c r="D479" s="171"/>
      <c r="E479" s="196"/>
      <c r="F479" s="177"/>
      <c r="G479" s="177"/>
      <c r="I479" s="171"/>
      <c r="J479" s="201"/>
      <c r="K479" s="195"/>
      <c r="L479" s="195"/>
      <c r="M479" s="177"/>
      <c r="N479" s="171"/>
      <c r="AC479" s="197"/>
    </row>
    <row r="480" spans="1:29" x14ac:dyDescent="0.2">
      <c r="A480" s="192"/>
      <c r="B480" s="193"/>
      <c r="C480" s="171"/>
      <c r="D480" s="171"/>
      <c r="E480" s="196"/>
      <c r="F480" s="177"/>
      <c r="G480" s="177"/>
      <c r="I480" s="171"/>
      <c r="J480" s="201"/>
      <c r="K480" s="195"/>
      <c r="L480" s="195"/>
      <c r="M480" s="177"/>
      <c r="N480" s="171"/>
      <c r="AC480" s="197"/>
    </row>
    <row r="481" spans="1:29" x14ac:dyDescent="0.2">
      <c r="A481" s="192"/>
      <c r="B481" s="193"/>
      <c r="C481" s="171"/>
      <c r="D481" s="171"/>
      <c r="E481" s="196"/>
      <c r="F481" s="177"/>
      <c r="G481" s="177"/>
      <c r="I481" s="171"/>
      <c r="J481" s="201"/>
      <c r="K481" s="195"/>
      <c r="L481" s="195"/>
      <c r="M481" s="177"/>
      <c r="N481" s="171"/>
      <c r="AC481" s="197"/>
    </row>
    <row r="482" spans="1:29" x14ac:dyDescent="0.2">
      <c r="A482" s="192"/>
      <c r="B482" s="193"/>
      <c r="C482" s="171"/>
      <c r="D482" s="171"/>
      <c r="E482" s="196"/>
      <c r="F482" s="177"/>
      <c r="G482" s="177"/>
      <c r="I482" s="171"/>
      <c r="J482" s="201"/>
      <c r="K482" s="195"/>
      <c r="L482" s="195"/>
      <c r="M482" s="177"/>
      <c r="N482" s="171"/>
      <c r="AC482" s="197"/>
    </row>
    <row r="483" spans="1:29" x14ac:dyDescent="0.2">
      <c r="A483" s="192"/>
      <c r="B483" s="193"/>
      <c r="C483" s="171"/>
      <c r="D483" s="171"/>
      <c r="E483" s="196"/>
      <c r="F483" s="177"/>
      <c r="G483" s="177"/>
      <c r="I483" s="171"/>
      <c r="J483" s="201"/>
      <c r="K483" s="195"/>
      <c r="L483" s="195"/>
      <c r="M483" s="177"/>
      <c r="N483" s="171"/>
      <c r="AC483" s="197"/>
    </row>
    <row r="484" spans="1:29" x14ac:dyDescent="0.2">
      <c r="A484" s="192"/>
      <c r="B484" s="193"/>
      <c r="C484" s="171"/>
      <c r="D484" s="171"/>
      <c r="E484" s="196"/>
      <c r="F484" s="177"/>
      <c r="G484" s="177"/>
      <c r="I484" s="171"/>
      <c r="J484" s="201"/>
      <c r="K484" s="195"/>
      <c r="L484" s="195"/>
      <c r="M484" s="177"/>
      <c r="N484" s="171"/>
      <c r="AC484" s="197"/>
    </row>
    <row r="485" spans="1:29" x14ac:dyDescent="0.2">
      <c r="A485" s="192"/>
      <c r="B485" s="193"/>
      <c r="C485" s="171"/>
      <c r="D485" s="171"/>
      <c r="E485" s="196"/>
      <c r="F485" s="177"/>
      <c r="G485" s="177"/>
      <c r="I485" s="171"/>
      <c r="J485" s="201"/>
      <c r="K485" s="195"/>
      <c r="L485" s="195"/>
      <c r="M485" s="177"/>
      <c r="N485" s="171"/>
      <c r="AC485" s="197"/>
    </row>
    <row r="486" spans="1:29" x14ac:dyDescent="0.2">
      <c r="A486" s="192"/>
      <c r="B486" s="193"/>
      <c r="C486" s="171"/>
      <c r="D486" s="171"/>
      <c r="E486" s="196"/>
      <c r="F486" s="177"/>
      <c r="G486" s="177"/>
      <c r="I486" s="171"/>
      <c r="J486" s="201"/>
      <c r="K486" s="195"/>
      <c r="L486" s="195"/>
      <c r="M486" s="177"/>
      <c r="N486" s="171"/>
      <c r="AC486" s="197"/>
    </row>
    <row r="487" spans="1:29" x14ac:dyDescent="0.2">
      <c r="A487" s="192"/>
      <c r="B487" s="193"/>
      <c r="C487" s="171"/>
      <c r="D487" s="171"/>
      <c r="E487" s="196"/>
      <c r="F487" s="177"/>
      <c r="G487" s="177"/>
      <c r="I487" s="171"/>
      <c r="J487" s="201"/>
      <c r="K487" s="195"/>
      <c r="L487" s="195"/>
      <c r="M487" s="177"/>
      <c r="N487" s="171"/>
      <c r="AC487" s="197"/>
    </row>
    <row r="488" spans="1:29" x14ac:dyDescent="0.2">
      <c r="A488" s="192"/>
      <c r="B488" s="193"/>
      <c r="C488" s="171"/>
      <c r="D488" s="171"/>
      <c r="E488" s="196"/>
      <c r="F488" s="177"/>
      <c r="G488" s="177"/>
      <c r="I488" s="171"/>
      <c r="J488" s="201"/>
      <c r="K488" s="195"/>
      <c r="L488" s="195"/>
      <c r="M488" s="177"/>
      <c r="N488" s="171"/>
      <c r="AC488" s="197"/>
    </row>
    <row r="489" spans="1:29" x14ac:dyDescent="0.2">
      <c r="A489" s="192"/>
      <c r="B489" s="193"/>
      <c r="C489" s="171"/>
      <c r="D489" s="171"/>
      <c r="E489" s="196"/>
      <c r="F489" s="177"/>
      <c r="G489" s="177"/>
      <c r="I489" s="171"/>
      <c r="J489" s="201"/>
      <c r="K489" s="195"/>
      <c r="L489" s="195"/>
      <c r="M489" s="177"/>
      <c r="N489" s="171"/>
      <c r="AC489" s="197"/>
    </row>
    <row r="490" spans="1:29" x14ac:dyDescent="0.2">
      <c r="A490" s="192"/>
      <c r="B490" s="193"/>
      <c r="C490" s="171"/>
      <c r="D490" s="171"/>
      <c r="E490" s="196"/>
      <c r="F490" s="177"/>
      <c r="G490" s="177"/>
      <c r="I490" s="171"/>
      <c r="J490" s="201"/>
      <c r="K490" s="195"/>
      <c r="L490" s="195"/>
      <c r="M490" s="177"/>
      <c r="N490" s="171"/>
      <c r="AC490" s="197"/>
    </row>
    <row r="491" spans="1:29" x14ac:dyDescent="0.2">
      <c r="A491" s="192"/>
      <c r="B491" s="193"/>
      <c r="C491" s="171"/>
      <c r="D491" s="171"/>
      <c r="E491" s="196"/>
      <c r="F491" s="177"/>
      <c r="G491" s="177"/>
      <c r="I491" s="171"/>
      <c r="J491" s="201"/>
      <c r="K491" s="195"/>
      <c r="L491" s="195"/>
      <c r="M491" s="177"/>
      <c r="N491" s="171"/>
      <c r="AC491" s="197"/>
    </row>
    <row r="492" spans="1:29" x14ac:dyDescent="0.2">
      <c r="A492" s="192"/>
      <c r="B492" s="193"/>
      <c r="C492" s="171"/>
      <c r="D492" s="171"/>
      <c r="E492" s="196"/>
      <c r="F492" s="177"/>
      <c r="G492" s="177"/>
      <c r="I492" s="171"/>
      <c r="J492" s="201"/>
      <c r="K492" s="195"/>
      <c r="L492" s="195"/>
      <c r="M492" s="177"/>
      <c r="N492" s="171"/>
      <c r="AC492" s="197"/>
    </row>
    <row r="493" spans="1:29" x14ac:dyDescent="0.2">
      <c r="A493" s="192"/>
      <c r="B493" s="193"/>
      <c r="C493" s="171"/>
      <c r="D493" s="171"/>
      <c r="E493" s="196"/>
      <c r="F493" s="177"/>
      <c r="G493" s="177"/>
      <c r="I493" s="171"/>
      <c r="J493" s="201"/>
      <c r="K493" s="195"/>
      <c r="L493" s="195"/>
      <c r="M493" s="177"/>
      <c r="N493" s="171"/>
      <c r="AC493" s="197"/>
    </row>
    <row r="494" spans="1:29" x14ac:dyDescent="0.2">
      <c r="A494" s="192"/>
      <c r="B494" s="193"/>
      <c r="C494" s="171"/>
      <c r="D494" s="171"/>
      <c r="E494" s="196"/>
      <c r="F494" s="177"/>
      <c r="G494" s="177"/>
      <c r="I494" s="171"/>
      <c r="J494" s="201"/>
      <c r="K494" s="195"/>
      <c r="L494" s="195"/>
      <c r="M494" s="177"/>
      <c r="N494" s="171"/>
      <c r="AC494" s="197"/>
    </row>
    <row r="495" spans="1:29" x14ac:dyDescent="0.2">
      <c r="A495" s="192"/>
      <c r="B495" s="193"/>
      <c r="C495" s="171"/>
      <c r="D495" s="171"/>
      <c r="E495" s="196"/>
      <c r="F495" s="177"/>
      <c r="G495" s="177"/>
      <c r="I495" s="171"/>
      <c r="J495" s="201"/>
      <c r="K495" s="195"/>
      <c r="L495" s="195"/>
      <c r="M495" s="177"/>
      <c r="N495" s="171"/>
      <c r="AC495" s="197"/>
    </row>
    <row r="496" spans="1:29" x14ac:dyDescent="0.2">
      <c r="A496" s="192"/>
      <c r="B496" s="193"/>
      <c r="C496" s="171"/>
      <c r="D496" s="171"/>
      <c r="E496" s="196"/>
      <c r="F496" s="177"/>
      <c r="G496" s="177"/>
      <c r="I496" s="171"/>
      <c r="J496" s="201"/>
      <c r="K496" s="195"/>
      <c r="L496" s="195"/>
      <c r="M496" s="177"/>
      <c r="N496" s="171"/>
      <c r="AC496" s="197"/>
    </row>
    <row r="497" spans="1:29" x14ac:dyDescent="0.2">
      <c r="A497" s="192"/>
      <c r="B497" s="193"/>
      <c r="C497" s="171"/>
      <c r="D497" s="171"/>
      <c r="E497" s="196"/>
      <c r="F497" s="177"/>
      <c r="G497" s="177"/>
      <c r="I497" s="171"/>
      <c r="J497" s="201"/>
      <c r="K497" s="195"/>
      <c r="L497" s="195"/>
      <c r="M497" s="177"/>
      <c r="N497" s="171"/>
      <c r="AC497" s="197"/>
    </row>
    <row r="498" spans="1:29" x14ac:dyDescent="0.2">
      <c r="A498" s="192"/>
      <c r="B498" s="193"/>
      <c r="C498" s="171"/>
      <c r="D498" s="171"/>
      <c r="E498" s="196"/>
      <c r="F498" s="177"/>
      <c r="G498" s="177"/>
      <c r="I498" s="171"/>
      <c r="J498" s="201"/>
      <c r="K498" s="195"/>
      <c r="L498" s="195"/>
      <c r="M498" s="177"/>
      <c r="N498" s="171"/>
      <c r="AC498" s="197"/>
    </row>
    <row r="499" spans="1:29" x14ac:dyDescent="0.2">
      <c r="A499" s="192"/>
      <c r="B499" s="193"/>
      <c r="C499" s="171"/>
      <c r="D499" s="171"/>
      <c r="E499" s="196"/>
      <c r="F499" s="177"/>
      <c r="G499" s="177"/>
      <c r="I499" s="171"/>
      <c r="J499" s="201"/>
      <c r="K499" s="195"/>
      <c r="L499" s="195"/>
      <c r="M499" s="177"/>
      <c r="N499" s="171"/>
      <c r="AC499" s="197"/>
    </row>
    <row r="500" spans="1:29" x14ac:dyDescent="0.2">
      <c r="A500" s="192"/>
      <c r="B500" s="193"/>
      <c r="C500" s="171"/>
      <c r="D500" s="171"/>
      <c r="E500" s="196"/>
      <c r="F500" s="177"/>
      <c r="G500" s="177"/>
      <c r="I500" s="171"/>
      <c r="J500" s="201"/>
      <c r="K500" s="195"/>
      <c r="L500" s="195"/>
      <c r="M500" s="177"/>
      <c r="N500" s="171"/>
    </row>
    <row r="501" spans="1:29" x14ac:dyDescent="0.2">
      <c r="A501" s="192"/>
      <c r="B501" s="193"/>
      <c r="C501" s="171"/>
      <c r="D501" s="171"/>
      <c r="E501" s="196"/>
      <c r="F501" s="177"/>
      <c r="G501" s="177"/>
      <c r="I501" s="171"/>
      <c r="J501" s="201"/>
      <c r="K501" s="195"/>
      <c r="L501" s="195"/>
      <c r="M501" s="177"/>
      <c r="N501" s="171"/>
    </row>
    <row r="502" spans="1:29" x14ac:dyDescent="0.2">
      <c r="A502" s="192"/>
      <c r="B502" s="193"/>
      <c r="C502" s="171"/>
      <c r="D502" s="171"/>
      <c r="E502" s="196"/>
      <c r="F502" s="177"/>
      <c r="G502" s="177"/>
      <c r="I502" s="171"/>
      <c r="J502" s="201"/>
      <c r="K502" s="195"/>
      <c r="L502" s="195"/>
      <c r="M502" s="177"/>
      <c r="N502" s="171"/>
    </row>
    <row r="503" spans="1:29" x14ac:dyDescent="0.2">
      <c r="A503" s="192"/>
      <c r="B503" s="193"/>
      <c r="C503" s="171"/>
      <c r="D503" s="171"/>
      <c r="E503" s="196"/>
      <c r="F503" s="177"/>
      <c r="G503" s="177"/>
      <c r="I503" s="171"/>
      <c r="J503" s="201"/>
      <c r="K503" s="195"/>
      <c r="L503" s="195"/>
      <c r="M503" s="177"/>
      <c r="N503" s="171"/>
    </row>
    <row r="504" spans="1:29" x14ac:dyDescent="0.2">
      <c r="A504" s="192"/>
      <c r="B504" s="193"/>
      <c r="C504" s="171"/>
      <c r="D504" s="171"/>
      <c r="E504" s="196"/>
      <c r="F504" s="177"/>
      <c r="G504" s="177"/>
      <c r="I504" s="171"/>
      <c r="J504" s="201"/>
      <c r="K504" s="195"/>
      <c r="L504" s="195"/>
      <c r="M504" s="177"/>
      <c r="N504" s="171"/>
    </row>
    <row r="505" spans="1:29" x14ac:dyDescent="0.2">
      <c r="A505" s="192"/>
      <c r="B505" s="193"/>
      <c r="C505" s="171"/>
      <c r="D505" s="171"/>
      <c r="E505" s="196"/>
      <c r="F505" s="177"/>
      <c r="G505" s="177"/>
      <c r="I505" s="171"/>
      <c r="J505" s="201"/>
      <c r="K505" s="195"/>
      <c r="L505" s="195"/>
      <c r="M505" s="177"/>
      <c r="N505" s="171"/>
    </row>
    <row r="506" spans="1:29" x14ac:dyDescent="0.2">
      <c r="A506" s="192"/>
      <c r="B506" s="193"/>
      <c r="C506" s="171"/>
      <c r="D506" s="171"/>
      <c r="E506" s="196"/>
      <c r="F506" s="177"/>
      <c r="G506" s="177"/>
      <c r="I506" s="171"/>
      <c r="J506" s="201"/>
      <c r="K506" s="195"/>
      <c r="L506" s="195"/>
      <c r="M506" s="177"/>
      <c r="N506" s="171"/>
    </row>
    <row r="507" spans="1:29" x14ac:dyDescent="0.2">
      <c r="A507" s="192"/>
      <c r="B507" s="193"/>
      <c r="C507" s="171"/>
      <c r="D507" s="171"/>
      <c r="E507" s="196"/>
      <c r="F507" s="177"/>
      <c r="G507" s="177"/>
      <c r="I507" s="171"/>
      <c r="J507" s="201"/>
      <c r="K507" s="195"/>
      <c r="L507" s="195"/>
      <c r="M507" s="177"/>
      <c r="N507" s="171"/>
    </row>
    <row r="508" spans="1:29" x14ac:dyDescent="0.2">
      <c r="A508" s="192"/>
      <c r="B508" s="193"/>
      <c r="C508" s="171"/>
      <c r="D508" s="171"/>
      <c r="E508" s="196"/>
      <c r="F508" s="177"/>
      <c r="G508" s="177"/>
      <c r="I508" s="171"/>
      <c r="J508" s="201"/>
      <c r="K508" s="195"/>
      <c r="L508" s="195"/>
      <c r="M508" s="177"/>
      <c r="N508" s="171"/>
    </row>
    <row r="509" spans="1:29" x14ac:dyDescent="0.2">
      <c r="A509" s="192"/>
      <c r="B509" s="193"/>
      <c r="C509" s="171"/>
      <c r="D509" s="171"/>
      <c r="E509" s="196"/>
      <c r="F509" s="177"/>
      <c r="G509" s="177"/>
      <c r="I509" s="171"/>
      <c r="J509" s="201"/>
      <c r="K509" s="195"/>
      <c r="L509" s="195"/>
      <c r="M509" s="177"/>
      <c r="N509" s="171"/>
    </row>
    <row r="510" spans="1:29" x14ac:dyDescent="0.2">
      <c r="A510" s="192"/>
      <c r="B510" s="193"/>
      <c r="C510" s="171"/>
      <c r="D510" s="171"/>
      <c r="E510" s="196"/>
      <c r="F510" s="177"/>
      <c r="G510" s="177"/>
      <c r="I510" s="171"/>
      <c r="J510" s="201"/>
      <c r="K510" s="195"/>
      <c r="L510" s="195"/>
      <c r="M510" s="177"/>
      <c r="N510" s="171"/>
    </row>
    <row r="511" spans="1:29" x14ac:dyDescent="0.2">
      <c r="A511" s="192"/>
      <c r="B511" s="193"/>
      <c r="C511" s="171"/>
      <c r="D511" s="171"/>
      <c r="E511" s="196"/>
      <c r="F511" s="177"/>
      <c r="G511" s="177"/>
      <c r="I511" s="171"/>
      <c r="J511" s="201"/>
      <c r="K511" s="195"/>
      <c r="L511" s="195"/>
      <c r="M511" s="177"/>
      <c r="N511" s="171"/>
    </row>
    <row r="512" spans="1:29" x14ac:dyDescent="0.2">
      <c r="A512" s="192"/>
      <c r="B512" s="193"/>
      <c r="C512" s="171"/>
      <c r="D512" s="171"/>
      <c r="E512" s="196"/>
      <c r="F512" s="177"/>
      <c r="G512" s="177"/>
      <c r="I512" s="171"/>
      <c r="J512" s="201"/>
      <c r="K512" s="195"/>
      <c r="L512" s="195"/>
      <c r="M512" s="177"/>
      <c r="N512" s="171"/>
    </row>
    <row r="513" spans="1:14" x14ac:dyDescent="0.2">
      <c r="A513" s="192"/>
      <c r="B513" s="193"/>
      <c r="C513" s="171"/>
      <c r="D513" s="171"/>
      <c r="E513" s="196"/>
      <c r="F513" s="177"/>
      <c r="G513" s="177"/>
      <c r="I513" s="171"/>
      <c r="J513" s="201"/>
      <c r="K513" s="195"/>
      <c r="L513" s="195"/>
      <c r="M513" s="177"/>
      <c r="N513" s="171"/>
    </row>
    <row r="514" spans="1:14" x14ac:dyDescent="0.2">
      <c r="A514" s="192"/>
      <c r="B514" s="193"/>
      <c r="C514" s="171"/>
      <c r="D514" s="171"/>
      <c r="E514" s="196"/>
      <c r="F514" s="177"/>
      <c r="G514" s="177"/>
      <c r="I514" s="171"/>
      <c r="J514" s="201"/>
      <c r="K514" s="195"/>
      <c r="L514" s="195"/>
      <c r="M514" s="177"/>
      <c r="N514" s="171"/>
    </row>
    <row r="515" spans="1:14" x14ac:dyDescent="0.2">
      <c r="A515" s="192"/>
      <c r="B515" s="193"/>
      <c r="C515" s="171"/>
      <c r="D515" s="171"/>
      <c r="E515" s="196"/>
      <c r="F515" s="177"/>
      <c r="G515" s="177"/>
      <c r="I515" s="171"/>
      <c r="J515" s="201"/>
      <c r="K515" s="195"/>
      <c r="L515" s="195"/>
      <c r="M515" s="177"/>
      <c r="N515" s="171"/>
    </row>
    <row r="516" spans="1:14" x14ac:dyDescent="0.2">
      <c r="A516" s="192"/>
      <c r="B516" s="193"/>
      <c r="C516" s="171"/>
      <c r="D516" s="171"/>
      <c r="E516" s="196"/>
      <c r="F516" s="177"/>
      <c r="G516" s="177"/>
      <c r="I516" s="171"/>
      <c r="J516" s="201"/>
      <c r="K516" s="195"/>
      <c r="L516" s="195"/>
      <c r="M516" s="177"/>
      <c r="N516" s="171"/>
    </row>
    <row r="517" spans="1:14" x14ac:dyDescent="0.2">
      <c r="A517" s="192"/>
      <c r="B517" s="193"/>
      <c r="C517" s="171"/>
      <c r="D517" s="171"/>
      <c r="E517" s="196"/>
      <c r="F517" s="177"/>
      <c r="G517" s="177"/>
      <c r="I517" s="171"/>
      <c r="J517" s="201"/>
      <c r="K517" s="195"/>
      <c r="L517" s="195"/>
      <c r="M517" s="177"/>
      <c r="N517" s="171"/>
    </row>
    <row r="518" spans="1:14" x14ac:dyDescent="0.2">
      <c r="A518" s="192"/>
      <c r="B518" s="193"/>
      <c r="C518" s="171"/>
      <c r="D518" s="171"/>
      <c r="E518" s="196"/>
      <c r="F518" s="177"/>
      <c r="G518" s="177"/>
      <c r="I518" s="171"/>
      <c r="J518" s="201"/>
      <c r="K518" s="195"/>
      <c r="L518" s="195"/>
      <c r="M518" s="177"/>
      <c r="N518" s="171"/>
    </row>
    <row r="519" spans="1:14" x14ac:dyDescent="0.2">
      <c r="A519" s="192"/>
      <c r="B519" s="193"/>
      <c r="C519" s="171"/>
      <c r="D519" s="171"/>
      <c r="E519" s="196"/>
      <c r="F519" s="177"/>
      <c r="G519" s="177"/>
      <c r="H519" s="177"/>
      <c r="I519" s="176"/>
      <c r="J519" s="201"/>
      <c r="K519" s="195"/>
      <c r="L519" s="195"/>
      <c r="M519" s="177"/>
      <c r="N519" s="171"/>
    </row>
    <row r="520" spans="1:14" x14ac:dyDescent="0.2">
      <c r="A520" s="192"/>
      <c r="B520" s="193"/>
      <c r="C520" s="171"/>
      <c r="D520" s="171"/>
      <c r="E520" s="196"/>
      <c r="F520" s="177"/>
      <c r="G520" s="177"/>
      <c r="H520" s="177"/>
      <c r="I520" s="176"/>
      <c r="J520" s="201"/>
      <c r="K520" s="195"/>
      <c r="L520" s="195"/>
      <c r="M520" s="177"/>
      <c r="N520" s="171"/>
    </row>
    <row r="521" spans="1:14" x14ac:dyDescent="0.2">
      <c r="A521" s="192"/>
      <c r="B521" s="193"/>
      <c r="C521" s="171"/>
      <c r="D521" s="171"/>
      <c r="E521" s="196"/>
      <c r="F521" s="177"/>
      <c r="G521" s="177"/>
      <c r="H521" s="177"/>
      <c r="I521" s="176"/>
      <c r="J521" s="201"/>
      <c r="K521" s="195"/>
      <c r="L521" s="195"/>
      <c r="M521" s="177"/>
      <c r="N521" s="171"/>
    </row>
    <row r="522" spans="1:14" x14ac:dyDescent="0.2">
      <c r="A522" s="192"/>
      <c r="B522" s="193"/>
      <c r="C522" s="171"/>
      <c r="D522" s="171"/>
      <c r="E522" s="196"/>
      <c r="F522" s="177"/>
      <c r="G522" s="177"/>
      <c r="H522" s="177"/>
      <c r="I522" s="176"/>
      <c r="J522" s="201"/>
      <c r="K522" s="195"/>
      <c r="L522" s="195"/>
      <c r="M522" s="177"/>
      <c r="N522" s="171"/>
    </row>
    <row r="523" spans="1:14" x14ac:dyDescent="0.2">
      <c r="A523" s="192"/>
      <c r="B523" s="193"/>
      <c r="C523" s="171"/>
      <c r="D523" s="171"/>
      <c r="E523" s="196"/>
      <c r="F523" s="177"/>
      <c r="G523" s="177"/>
      <c r="H523" s="177"/>
      <c r="I523" s="176"/>
      <c r="J523" s="201"/>
      <c r="K523" s="195"/>
      <c r="L523" s="195"/>
      <c r="M523" s="177"/>
      <c r="N523" s="171"/>
    </row>
    <row r="524" spans="1:14" x14ac:dyDescent="0.2">
      <c r="A524" s="192"/>
      <c r="B524" s="193"/>
      <c r="C524" s="171"/>
      <c r="D524" s="171"/>
      <c r="E524" s="196"/>
      <c r="F524" s="177"/>
      <c r="G524" s="177"/>
      <c r="H524" s="177"/>
      <c r="I524" s="176"/>
      <c r="J524" s="201"/>
      <c r="K524" s="195"/>
      <c r="L524" s="195"/>
      <c r="M524" s="177"/>
      <c r="N524" s="171"/>
    </row>
    <row r="525" spans="1:14" x14ac:dyDescent="0.2">
      <c r="A525" s="192"/>
      <c r="B525" s="193"/>
      <c r="C525" s="171"/>
      <c r="D525" s="171"/>
      <c r="E525" s="196"/>
      <c r="F525" s="177"/>
      <c r="G525" s="177"/>
      <c r="H525" s="177"/>
      <c r="I525" s="176"/>
      <c r="J525" s="201"/>
      <c r="K525" s="195"/>
      <c r="L525" s="195"/>
      <c r="M525" s="177"/>
      <c r="N525" s="171"/>
    </row>
    <row r="526" spans="1:14" x14ac:dyDescent="0.2">
      <c r="A526" s="192"/>
      <c r="B526" s="193"/>
      <c r="C526" s="171"/>
      <c r="D526" s="171"/>
      <c r="E526" s="196"/>
      <c r="F526" s="177"/>
      <c r="G526" s="177"/>
      <c r="H526" s="177"/>
      <c r="I526" s="176"/>
      <c r="J526" s="201"/>
      <c r="K526" s="195"/>
      <c r="L526" s="195"/>
      <c r="M526" s="177"/>
      <c r="N526" s="171"/>
    </row>
    <row r="527" spans="1:14" x14ac:dyDescent="0.2">
      <c r="A527" s="192"/>
      <c r="B527" s="193"/>
      <c r="C527" s="171"/>
      <c r="D527" s="171"/>
      <c r="E527" s="196"/>
      <c r="F527" s="177"/>
      <c r="G527" s="177"/>
      <c r="H527" s="177"/>
      <c r="I527" s="176"/>
      <c r="J527" s="201"/>
      <c r="K527" s="195"/>
      <c r="L527" s="195"/>
      <c r="M527" s="177"/>
      <c r="N527" s="171"/>
    </row>
    <row r="528" spans="1:14" x14ac:dyDescent="0.2">
      <c r="A528" s="192"/>
      <c r="B528" s="193"/>
      <c r="C528" s="171"/>
      <c r="D528" s="171"/>
      <c r="E528" s="196"/>
      <c r="F528" s="177"/>
      <c r="G528" s="177"/>
      <c r="H528" s="177"/>
      <c r="I528" s="176"/>
      <c r="J528" s="201"/>
      <c r="K528" s="195"/>
      <c r="L528" s="195"/>
      <c r="M528" s="177"/>
      <c r="N528" s="171"/>
    </row>
    <row r="529" spans="1:14" x14ac:dyDescent="0.2">
      <c r="A529" s="192"/>
      <c r="B529" s="193"/>
      <c r="C529" s="171"/>
      <c r="D529" s="171"/>
      <c r="E529" s="196"/>
      <c r="F529" s="177"/>
      <c r="G529" s="177"/>
      <c r="H529" s="177"/>
      <c r="I529" s="176"/>
      <c r="J529" s="201"/>
      <c r="K529" s="195"/>
      <c r="L529" s="195"/>
      <c r="M529" s="177"/>
      <c r="N529" s="171"/>
    </row>
    <row r="530" spans="1:14" x14ac:dyDescent="0.2">
      <c r="A530" s="192"/>
      <c r="B530" s="193"/>
      <c r="C530" s="171"/>
      <c r="D530" s="171"/>
      <c r="E530" s="196"/>
      <c r="F530" s="177"/>
      <c r="G530" s="177"/>
      <c r="H530" s="177"/>
      <c r="I530" s="176"/>
      <c r="J530" s="201"/>
      <c r="K530" s="195"/>
      <c r="L530" s="195"/>
      <c r="M530" s="177"/>
      <c r="N530" s="171"/>
    </row>
    <row r="531" spans="1:14" x14ac:dyDescent="0.2">
      <c r="A531" s="192"/>
      <c r="B531" s="193"/>
      <c r="C531" s="171"/>
      <c r="D531" s="171"/>
      <c r="E531" s="196"/>
      <c r="F531" s="177"/>
      <c r="G531" s="177"/>
      <c r="H531" s="177"/>
      <c r="I531" s="176"/>
      <c r="J531" s="201"/>
      <c r="K531" s="195"/>
      <c r="L531" s="195"/>
      <c r="M531" s="177"/>
      <c r="N531" s="171"/>
    </row>
    <row r="532" spans="1:14" x14ac:dyDescent="0.2">
      <c r="A532" s="192"/>
      <c r="B532" s="193"/>
      <c r="C532" s="171"/>
      <c r="D532" s="171"/>
      <c r="E532" s="196"/>
      <c r="F532" s="177"/>
      <c r="G532" s="177"/>
      <c r="H532" s="177"/>
      <c r="I532" s="176"/>
      <c r="J532" s="201"/>
      <c r="K532" s="195"/>
      <c r="L532" s="195"/>
      <c r="M532" s="177"/>
      <c r="N532" s="171"/>
    </row>
    <row r="533" spans="1:14" x14ac:dyDescent="0.2">
      <c r="A533" s="192"/>
      <c r="B533" s="193"/>
      <c r="C533" s="171"/>
      <c r="D533" s="171"/>
      <c r="E533" s="196"/>
      <c r="F533" s="177"/>
      <c r="G533" s="177"/>
      <c r="H533" s="177"/>
      <c r="I533" s="176"/>
      <c r="J533" s="201"/>
      <c r="K533" s="195"/>
      <c r="L533" s="195"/>
      <c r="M533" s="177"/>
      <c r="N533" s="171"/>
    </row>
    <row r="534" spans="1:14" x14ac:dyDescent="0.2">
      <c r="A534" s="192"/>
      <c r="B534" s="193"/>
      <c r="C534" s="171"/>
      <c r="D534" s="171"/>
      <c r="E534" s="196"/>
      <c r="F534" s="177"/>
      <c r="G534" s="177"/>
      <c r="H534" s="177"/>
      <c r="I534" s="176"/>
      <c r="J534" s="201"/>
      <c r="K534" s="195"/>
      <c r="L534" s="195"/>
      <c r="M534" s="177"/>
      <c r="N534" s="171"/>
    </row>
    <row r="535" spans="1:14" x14ac:dyDescent="0.2">
      <c r="A535" s="192"/>
      <c r="B535" s="193"/>
      <c r="C535" s="171"/>
      <c r="D535" s="171"/>
      <c r="E535" s="196"/>
      <c r="F535" s="177"/>
      <c r="G535" s="177"/>
      <c r="H535" s="177"/>
      <c r="I535" s="176"/>
      <c r="J535" s="201"/>
      <c r="K535" s="195"/>
      <c r="L535" s="195"/>
      <c r="M535" s="177"/>
      <c r="N535" s="171"/>
    </row>
    <row r="536" spans="1:14" x14ac:dyDescent="0.2">
      <c r="A536" s="192"/>
      <c r="B536" s="193"/>
      <c r="C536" s="171"/>
      <c r="D536" s="171"/>
      <c r="E536" s="196"/>
      <c r="F536" s="177"/>
      <c r="G536" s="177"/>
      <c r="H536" s="177"/>
      <c r="I536" s="176"/>
      <c r="J536" s="201"/>
      <c r="K536" s="195"/>
      <c r="L536" s="195"/>
      <c r="M536" s="177"/>
      <c r="N536" s="171"/>
    </row>
    <row r="537" spans="1:14" x14ac:dyDescent="0.2">
      <c r="A537" s="192"/>
      <c r="B537" s="193"/>
      <c r="C537" s="171"/>
      <c r="D537" s="171"/>
      <c r="E537" s="196"/>
      <c r="F537" s="177"/>
      <c r="G537" s="177"/>
      <c r="H537" s="177"/>
      <c r="I537" s="176"/>
      <c r="J537" s="201"/>
      <c r="K537" s="195"/>
      <c r="L537" s="195"/>
      <c r="M537" s="177"/>
      <c r="N537" s="171"/>
    </row>
    <row r="538" spans="1:14" x14ac:dyDescent="0.2">
      <c r="A538" s="192"/>
      <c r="B538" s="193"/>
      <c r="C538" s="171"/>
      <c r="D538" s="171"/>
      <c r="E538" s="196"/>
      <c r="F538" s="177"/>
      <c r="G538" s="177"/>
      <c r="H538" s="177"/>
      <c r="I538" s="176"/>
      <c r="J538" s="201"/>
      <c r="K538" s="195"/>
      <c r="L538" s="195"/>
      <c r="M538" s="177"/>
      <c r="N538" s="171"/>
    </row>
    <row r="539" spans="1:14" x14ac:dyDescent="0.2">
      <c r="A539" s="192"/>
      <c r="B539" s="193"/>
      <c r="C539" s="171"/>
      <c r="D539" s="171"/>
      <c r="E539" s="196"/>
      <c r="F539" s="177"/>
      <c r="G539" s="177"/>
      <c r="H539" s="177"/>
      <c r="I539" s="176"/>
      <c r="J539" s="201"/>
      <c r="K539" s="195"/>
      <c r="L539" s="195"/>
      <c r="M539" s="177"/>
      <c r="N539" s="171"/>
    </row>
    <row r="540" spans="1:14" x14ac:dyDescent="0.2">
      <c r="A540" s="192"/>
      <c r="B540" s="193"/>
      <c r="C540" s="171"/>
      <c r="D540" s="171"/>
      <c r="E540" s="196"/>
      <c r="F540" s="177"/>
      <c r="G540" s="177"/>
      <c r="H540" s="177"/>
      <c r="I540" s="176"/>
      <c r="J540" s="201"/>
      <c r="K540" s="195"/>
      <c r="L540" s="195"/>
      <c r="M540" s="177"/>
      <c r="N540" s="171"/>
    </row>
    <row r="541" spans="1:14" x14ac:dyDescent="0.2">
      <c r="A541" s="192"/>
      <c r="B541" s="193"/>
      <c r="C541" s="171"/>
      <c r="D541" s="171"/>
      <c r="E541" s="196"/>
      <c r="F541" s="177"/>
      <c r="G541" s="177"/>
      <c r="H541" s="177"/>
      <c r="I541" s="176"/>
      <c r="J541" s="201"/>
      <c r="K541" s="195"/>
      <c r="L541" s="195"/>
      <c r="M541" s="177"/>
      <c r="N541" s="171"/>
    </row>
    <row r="542" spans="1:14" x14ac:dyDescent="0.2">
      <c r="A542" s="192"/>
      <c r="B542" s="193"/>
      <c r="C542" s="171"/>
      <c r="D542" s="171"/>
      <c r="E542" s="196"/>
      <c r="F542" s="177"/>
      <c r="G542" s="177"/>
      <c r="H542" s="177"/>
      <c r="I542" s="176"/>
      <c r="J542" s="201"/>
      <c r="K542" s="195"/>
      <c r="L542" s="195"/>
      <c r="M542" s="177"/>
      <c r="N542" s="171"/>
    </row>
    <row r="543" spans="1:14" x14ac:dyDescent="0.2">
      <c r="A543" s="192"/>
      <c r="B543" s="193"/>
      <c r="C543" s="171"/>
      <c r="D543" s="171"/>
      <c r="E543" s="196"/>
      <c r="F543" s="177"/>
      <c r="G543" s="177"/>
      <c r="H543" s="177"/>
      <c r="I543" s="176"/>
      <c r="J543" s="201"/>
      <c r="K543" s="195"/>
      <c r="L543" s="195"/>
      <c r="M543" s="177"/>
      <c r="N543" s="171"/>
    </row>
    <row r="544" spans="1:14" x14ac:dyDescent="0.2">
      <c r="A544" s="192"/>
      <c r="B544" s="193"/>
      <c r="C544" s="171"/>
      <c r="D544" s="171"/>
      <c r="E544" s="196"/>
      <c r="F544" s="177"/>
      <c r="G544" s="177"/>
      <c r="H544" s="177"/>
      <c r="I544" s="176"/>
      <c r="J544" s="201"/>
      <c r="K544" s="195"/>
      <c r="L544" s="195"/>
      <c r="M544" s="177"/>
      <c r="N544" s="171"/>
    </row>
    <row r="545" spans="1:14" x14ac:dyDescent="0.2">
      <c r="A545" s="192"/>
      <c r="B545" s="193"/>
      <c r="C545" s="171"/>
      <c r="D545" s="171"/>
      <c r="E545" s="196"/>
      <c r="F545" s="177"/>
      <c r="G545" s="177"/>
      <c r="H545" s="177"/>
      <c r="I545" s="176"/>
      <c r="J545" s="201"/>
      <c r="K545" s="195"/>
      <c r="L545" s="195"/>
      <c r="M545" s="177"/>
      <c r="N545" s="171"/>
    </row>
    <row r="546" spans="1:14" x14ac:dyDescent="0.2">
      <c r="A546" s="192"/>
      <c r="B546" s="193"/>
      <c r="C546" s="171"/>
      <c r="D546" s="171"/>
      <c r="E546" s="196"/>
      <c r="F546" s="177"/>
      <c r="G546" s="177"/>
      <c r="H546" s="177"/>
      <c r="I546" s="176"/>
      <c r="J546" s="201"/>
      <c r="K546" s="195"/>
      <c r="L546" s="195"/>
      <c r="M546" s="177"/>
      <c r="N546" s="171"/>
    </row>
    <row r="547" spans="1:14" x14ac:dyDescent="0.2">
      <c r="A547" s="192"/>
      <c r="B547" s="193"/>
      <c r="C547" s="171"/>
      <c r="D547" s="171"/>
      <c r="E547" s="196"/>
      <c r="F547" s="177"/>
      <c r="G547" s="177"/>
      <c r="H547" s="177"/>
      <c r="I547" s="176"/>
      <c r="J547" s="201"/>
      <c r="K547" s="195"/>
      <c r="L547" s="195"/>
      <c r="M547" s="177"/>
      <c r="N547" s="171"/>
    </row>
    <row r="548" spans="1:14" x14ac:dyDescent="0.2">
      <c r="A548" s="192"/>
      <c r="B548" s="193"/>
      <c r="C548" s="171"/>
      <c r="D548" s="171"/>
      <c r="E548" s="196"/>
      <c r="F548" s="177"/>
      <c r="G548" s="177"/>
      <c r="H548" s="177"/>
      <c r="I548" s="176"/>
      <c r="J548" s="201"/>
      <c r="K548" s="195"/>
      <c r="L548" s="195"/>
      <c r="M548" s="177"/>
      <c r="N548" s="171"/>
    </row>
    <row r="549" spans="1:14" x14ac:dyDescent="0.2">
      <c r="A549" s="192"/>
      <c r="B549" s="193"/>
      <c r="C549" s="171"/>
      <c r="D549" s="171"/>
      <c r="E549" s="196"/>
      <c r="F549" s="177"/>
      <c r="G549" s="177"/>
      <c r="H549" s="177"/>
      <c r="I549" s="176"/>
      <c r="J549" s="201"/>
      <c r="K549" s="195"/>
      <c r="L549" s="195"/>
      <c r="M549" s="177"/>
      <c r="N549" s="171"/>
    </row>
    <row r="550" spans="1:14" x14ac:dyDescent="0.2">
      <c r="A550" s="192"/>
      <c r="B550" s="193"/>
      <c r="C550" s="171"/>
      <c r="D550" s="171"/>
      <c r="E550" s="196"/>
      <c r="F550" s="177"/>
      <c r="G550" s="177"/>
      <c r="H550" s="177"/>
      <c r="I550" s="176"/>
      <c r="J550" s="201"/>
      <c r="K550" s="195"/>
      <c r="L550" s="195"/>
      <c r="M550" s="177"/>
      <c r="N550" s="171"/>
    </row>
    <row r="551" spans="1:14" x14ac:dyDescent="0.2">
      <c r="A551" s="192"/>
      <c r="B551" s="193"/>
      <c r="C551" s="171"/>
      <c r="D551" s="171"/>
      <c r="E551" s="196"/>
      <c r="F551" s="177"/>
      <c r="G551" s="177"/>
      <c r="H551" s="177"/>
      <c r="I551" s="176"/>
      <c r="J551" s="201"/>
      <c r="K551" s="195"/>
      <c r="L551" s="195"/>
      <c r="M551" s="177"/>
      <c r="N551" s="171"/>
    </row>
    <row r="552" spans="1:14" x14ac:dyDescent="0.2">
      <c r="A552" s="192"/>
      <c r="B552" s="193"/>
      <c r="C552" s="171"/>
      <c r="D552" s="171"/>
      <c r="E552" s="196"/>
      <c r="F552" s="177"/>
      <c r="G552" s="177"/>
      <c r="H552" s="177"/>
      <c r="I552" s="176"/>
      <c r="J552" s="201"/>
      <c r="K552" s="195"/>
      <c r="L552" s="195"/>
      <c r="M552" s="177"/>
      <c r="N552" s="171"/>
    </row>
    <row r="553" spans="1:14" x14ac:dyDescent="0.2">
      <c r="A553" s="192"/>
      <c r="B553" s="193"/>
      <c r="C553" s="171"/>
      <c r="D553" s="171"/>
      <c r="E553" s="196"/>
      <c r="F553" s="177"/>
      <c r="G553" s="177"/>
      <c r="H553" s="177"/>
      <c r="I553" s="176"/>
      <c r="J553" s="201"/>
      <c r="K553" s="195"/>
      <c r="L553" s="195"/>
      <c r="M553" s="177"/>
      <c r="N553" s="171"/>
    </row>
    <row r="554" spans="1:14" x14ac:dyDescent="0.2">
      <c r="A554" s="192"/>
      <c r="B554" s="193"/>
      <c r="C554" s="171"/>
      <c r="D554" s="171"/>
      <c r="E554" s="196"/>
      <c r="F554" s="177"/>
      <c r="G554" s="177"/>
      <c r="H554" s="177"/>
      <c r="I554" s="176"/>
      <c r="J554" s="201"/>
      <c r="K554" s="195"/>
      <c r="L554" s="195"/>
      <c r="M554" s="177"/>
      <c r="N554" s="171"/>
    </row>
    <row r="555" spans="1:14" x14ac:dyDescent="0.2">
      <c r="A555" s="192"/>
      <c r="B555" s="193"/>
      <c r="C555" s="171"/>
      <c r="D555" s="171"/>
      <c r="E555" s="196"/>
      <c r="F555" s="177"/>
      <c r="G555" s="177"/>
      <c r="H555" s="177"/>
      <c r="I555" s="176"/>
      <c r="J555" s="201"/>
      <c r="K555" s="195"/>
      <c r="L555" s="195"/>
      <c r="M555" s="177"/>
      <c r="N555" s="171"/>
    </row>
    <row r="556" spans="1:14" x14ac:dyDescent="0.2">
      <c r="A556" s="192"/>
      <c r="B556" s="193"/>
      <c r="C556" s="171"/>
      <c r="D556" s="171"/>
      <c r="E556" s="196"/>
      <c r="F556" s="177"/>
      <c r="G556" s="177"/>
      <c r="H556" s="177"/>
      <c r="I556" s="176"/>
      <c r="J556" s="201"/>
      <c r="K556" s="195"/>
      <c r="L556" s="195"/>
      <c r="M556" s="177"/>
      <c r="N556" s="171"/>
    </row>
    <row r="557" spans="1:14" x14ac:dyDescent="0.2">
      <c r="A557" s="192"/>
      <c r="B557" s="193"/>
      <c r="C557" s="171"/>
      <c r="D557" s="171"/>
      <c r="E557" s="196"/>
      <c r="F557" s="177"/>
      <c r="G557" s="177"/>
      <c r="H557" s="177"/>
      <c r="I557" s="176"/>
      <c r="J557" s="201"/>
      <c r="K557" s="195"/>
      <c r="L557" s="195"/>
      <c r="M557" s="177"/>
      <c r="N557" s="171"/>
    </row>
    <row r="558" spans="1:14" x14ac:dyDescent="0.2">
      <c r="A558" s="192"/>
      <c r="B558" s="193"/>
      <c r="C558" s="171"/>
      <c r="D558" s="171"/>
      <c r="E558" s="196"/>
      <c r="F558" s="177"/>
      <c r="G558" s="177"/>
      <c r="H558" s="177"/>
      <c r="I558" s="176"/>
      <c r="J558" s="201"/>
      <c r="K558" s="195"/>
      <c r="L558" s="195"/>
      <c r="M558" s="177"/>
      <c r="N558" s="171"/>
    </row>
    <row r="559" spans="1:14" x14ac:dyDescent="0.2">
      <c r="A559" s="192"/>
      <c r="B559" s="193"/>
      <c r="C559" s="171"/>
      <c r="D559" s="171"/>
      <c r="E559" s="196"/>
      <c r="F559" s="177"/>
      <c r="G559" s="177"/>
      <c r="H559" s="177"/>
      <c r="I559" s="176"/>
      <c r="J559" s="201"/>
      <c r="K559" s="195"/>
      <c r="L559" s="195"/>
      <c r="M559" s="177"/>
      <c r="N559" s="171"/>
    </row>
    <row r="560" spans="1:14" x14ac:dyDescent="0.2">
      <c r="A560" s="192"/>
      <c r="B560" s="193"/>
      <c r="C560" s="171"/>
      <c r="D560" s="171"/>
      <c r="E560" s="196"/>
      <c r="F560" s="177"/>
      <c r="G560" s="177"/>
      <c r="H560" s="177"/>
      <c r="I560" s="176"/>
      <c r="J560" s="201"/>
      <c r="K560" s="195"/>
      <c r="L560" s="195"/>
      <c r="M560" s="177"/>
      <c r="N560" s="171"/>
    </row>
    <row r="561" spans="1:14" x14ac:dyDescent="0.2">
      <c r="A561" s="192"/>
      <c r="B561" s="193"/>
      <c r="C561" s="171"/>
      <c r="D561" s="171"/>
      <c r="E561" s="196"/>
      <c r="F561" s="177"/>
      <c r="G561" s="177"/>
      <c r="H561" s="177"/>
      <c r="I561" s="176"/>
      <c r="J561" s="201"/>
      <c r="K561" s="195"/>
      <c r="L561" s="195"/>
      <c r="M561" s="177"/>
      <c r="N561" s="171"/>
    </row>
    <row r="562" spans="1:14" x14ac:dyDescent="0.2">
      <c r="A562" s="192"/>
      <c r="B562" s="193"/>
      <c r="C562" s="171"/>
      <c r="D562" s="171"/>
      <c r="E562" s="196"/>
      <c r="F562" s="177"/>
      <c r="G562" s="177"/>
      <c r="H562" s="177"/>
      <c r="I562" s="176"/>
      <c r="J562" s="201"/>
      <c r="K562" s="195"/>
      <c r="L562" s="195"/>
      <c r="M562" s="177"/>
      <c r="N562" s="171"/>
    </row>
    <row r="563" spans="1:14" x14ac:dyDescent="0.2">
      <c r="A563" s="192"/>
      <c r="B563" s="193"/>
      <c r="C563" s="171"/>
      <c r="D563" s="171"/>
      <c r="E563" s="196"/>
      <c r="F563" s="177"/>
      <c r="G563" s="177"/>
      <c r="H563" s="177"/>
      <c r="I563" s="176"/>
      <c r="J563" s="201"/>
      <c r="K563" s="195"/>
      <c r="L563" s="195"/>
      <c r="M563" s="177"/>
      <c r="N563" s="171"/>
    </row>
    <row r="564" spans="1:14" x14ac:dyDescent="0.2">
      <c r="A564" s="192"/>
      <c r="B564" s="193"/>
      <c r="C564" s="171"/>
      <c r="D564" s="171"/>
      <c r="E564" s="196"/>
      <c r="F564" s="177"/>
      <c r="G564" s="177"/>
      <c r="H564" s="177"/>
      <c r="I564" s="176"/>
      <c r="J564" s="201"/>
      <c r="K564" s="195"/>
      <c r="L564" s="195"/>
      <c r="M564" s="177"/>
      <c r="N564" s="171"/>
    </row>
    <row r="565" spans="1:14" x14ac:dyDescent="0.2">
      <c r="A565" s="192"/>
      <c r="B565" s="193"/>
      <c r="C565" s="171"/>
      <c r="D565" s="171"/>
      <c r="E565" s="196"/>
      <c r="F565" s="177"/>
      <c r="G565" s="177"/>
      <c r="H565" s="177"/>
      <c r="I565" s="176"/>
      <c r="J565" s="201"/>
      <c r="K565" s="195"/>
      <c r="L565" s="195"/>
      <c r="M565" s="177"/>
      <c r="N565" s="171"/>
    </row>
    <row r="566" spans="1:14" x14ac:dyDescent="0.2">
      <c r="A566" s="192"/>
      <c r="B566" s="193"/>
      <c r="C566" s="171"/>
      <c r="D566" s="171"/>
      <c r="E566" s="196"/>
      <c r="F566" s="177"/>
      <c r="G566" s="177"/>
      <c r="H566" s="177"/>
      <c r="I566" s="176"/>
      <c r="J566" s="201"/>
      <c r="K566" s="195"/>
      <c r="L566" s="195"/>
      <c r="M566" s="177"/>
      <c r="N566" s="171"/>
    </row>
    <row r="567" spans="1:14" x14ac:dyDescent="0.2">
      <c r="A567" s="192"/>
      <c r="B567" s="193"/>
      <c r="C567" s="171"/>
      <c r="D567" s="171"/>
      <c r="E567" s="196"/>
      <c r="F567" s="177"/>
      <c r="G567" s="177"/>
      <c r="H567" s="177"/>
      <c r="I567" s="176"/>
      <c r="J567" s="201"/>
      <c r="K567" s="195"/>
      <c r="L567" s="195"/>
      <c r="M567" s="177"/>
      <c r="N567" s="171"/>
    </row>
    <row r="568" spans="1:14" x14ac:dyDescent="0.2">
      <c r="A568" s="192"/>
      <c r="B568" s="193"/>
      <c r="C568" s="171"/>
      <c r="D568" s="171"/>
      <c r="E568" s="196"/>
      <c r="F568" s="177"/>
      <c r="G568" s="177"/>
      <c r="H568" s="177"/>
      <c r="I568" s="176"/>
      <c r="J568" s="201"/>
      <c r="K568" s="195"/>
      <c r="L568" s="195"/>
      <c r="M568" s="177"/>
      <c r="N568" s="171"/>
    </row>
    <row r="569" spans="1:14" x14ac:dyDescent="0.2">
      <c r="A569" s="192"/>
      <c r="B569" s="193"/>
      <c r="C569" s="171"/>
      <c r="D569" s="171"/>
      <c r="E569" s="196"/>
      <c r="F569" s="177"/>
      <c r="G569" s="177"/>
      <c r="H569" s="177"/>
      <c r="I569" s="176"/>
      <c r="J569" s="201"/>
      <c r="K569" s="195"/>
      <c r="L569" s="195"/>
      <c r="M569" s="177"/>
      <c r="N569" s="171"/>
    </row>
    <row r="570" spans="1:14" x14ac:dyDescent="0.2">
      <c r="A570" s="192"/>
      <c r="B570" s="193"/>
      <c r="C570" s="171"/>
      <c r="D570" s="171"/>
      <c r="E570" s="196"/>
      <c r="F570" s="177"/>
      <c r="G570" s="177"/>
      <c r="H570" s="177"/>
      <c r="I570" s="176"/>
      <c r="J570" s="201"/>
      <c r="K570" s="195"/>
      <c r="L570" s="195"/>
      <c r="M570" s="177"/>
      <c r="N570" s="171"/>
    </row>
    <row r="571" spans="1:14" x14ac:dyDescent="0.2">
      <c r="A571" s="192"/>
      <c r="B571" s="193"/>
      <c r="C571" s="171"/>
      <c r="D571" s="171"/>
      <c r="E571" s="196"/>
      <c r="F571" s="177"/>
      <c r="G571" s="177"/>
      <c r="H571" s="177"/>
      <c r="I571" s="176"/>
      <c r="J571" s="201"/>
      <c r="K571" s="195"/>
      <c r="L571" s="195"/>
      <c r="M571" s="177"/>
      <c r="N571" s="171"/>
    </row>
    <row r="572" spans="1:14" x14ac:dyDescent="0.2">
      <c r="A572" s="192"/>
      <c r="B572" s="193"/>
      <c r="C572" s="171"/>
      <c r="D572" s="171"/>
      <c r="E572" s="196"/>
      <c r="F572" s="177"/>
      <c r="G572" s="177"/>
      <c r="H572" s="177"/>
      <c r="I572" s="176"/>
      <c r="J572" s="201"/>
      <c r="K572" s="195"/>
      <c r="L572" s="195"/>
      <c r="M572" s="177"/>
      <c r="N572" s="171"/>
    </row>
    <row r="573" spans="1:14" x14ac:dyDescent="0.2">
      <c r="A573" s="192"/>
      <c r="B573" s="193"/>
      <c r="C573" s="171"/>
      <c r="D573" s="171"/>
      <c r="E573" s="196"/>
      <c r="F573" s="177"/>
      <c r="G573" s="177"/>
      <c r="H573" s="177"/>
      <c r="I573" s="176"/>
      <c r="J573" s="201"/>
      <c r="K573" s="195"/>
      <c r="L573" s="195"/>
      <c r="M573" s="177"/>
      <c r="N573" s="171"/>
    </row>
    <row r="574" spans="1:14" x14ac:dyDescent="0.2">
      <c r="A574" s="192"/>
      <c r="B574" s="193"/>
      <c r="C574" s="171"/>
      <c r="D574" s="171"/>
      <c r="E574" s="196"/>
      <c r="F574" s="177"/>
      <c r="G574" s="177"/>
      <c r="H574" s="177"/>
      <c r="I574" s="176"/>
      <c r="J574" s="201"/>
      <c r="K574" s="195"/>
      <c r="L574" s="195"/>
      <c r="M574" s="177"/>
      <c r="N574" s="171"/>
    </row>
    <row r="575" spans="1:14" x14ac:dyDescent="0.2">
      <c r="A575" s="192"/>
      <c r="B575" s="193"/>
      <c r="C575" s="171"/>
      <c r="D575" s="171"/>
      <c r="E575" s="196"/>
      <c r="F575" s="177"/>
      <c r="G575" s="177"/>
      <c r="H575" s="177"/>
      <c r="I575" s="176"/>
      <c r="J575" s="201"/>
      <c r="K575" s="195"/>
      <c r="L575" s="195"/>
      <c r="M575" s="177"/>
      <c r="N575" s="171"/>
    </row>
    <row r="576" spans="1:14" x14ac:dyDescent="0.2">
      <c r="A576" s="192"/>
      <c r="B576" s="193"/>
      <c r="C576" s="171"/>
      <c r="D576" s="171"/>
      <c r="E576" s="196"/>
      <c r="F576" s="177"/>
      <c r="G576" s="177"/>
      <c r="H576" s="177"/>
      <c r="I576" s="176"/>
      <c r="J576" s="201"/>
      <c r="K576" s="195"/>
      <c r="L576" s="195"/>
      <c r="M576" s="177"/>
      <c r="N576" s="171"/>
    </row>
    <row r="577" spans="1:14" x14ac:dyDescent="0.2">
      <c r="A577" s="192"/>
      <c r="B577" s="193"/>
      <c r="C577" s="171"/>
      <c r="D577" s="171"/>
      <c r="E577" s="196"/>
      <c r="F577" s="177"/>
      <c r="G577" s="177"/>
      <c r="H577" s="177"/>
      <c r="I577" s="176"/>
      <c r="J577" s="201"/>
      <c r="K577" s="195"/>
      <c r="L577" s="195"/>
      <c r="M577" s="177"/>
      <c r="N577" s="171"/>
    </row>
    <row r="578" spans="1:14" x14ac:dyDescent="0.2">
      <c r="A578" s="192"/>
      <c r="B578" s="193"/>
      <c r="C578" s="171"/>
      <c r="D578" s="171"/>
      <c r="E578" s="196"/>
      <c r="F578" s="177"/>
      <c r="G578" s="177"/>
      <c r="H578" s="177"/>
      <c r="I578" s="176"/>
      <c r="J578" s="201"/>
      <c r="K578" s="195"/>
      <c r="L578" s="195"/>
      <c r="M578" s="177"/>
      <c r="N578" s="171"/>
    </row>
    <row r="579" spans="1:14" x14ac:dyDescent="0.2">
      <c r="A579" s="192"/>
      <c r="B579" s="193"/>
      <c r="C579" s="171"/>
      <c r="D579" s="171"/>
      <c r="E579" s="196"/>
      <c r="F579" s="177"/>
      <c r="G579" s="177"/>
      <c r="H579" s="177"/>
      <c r="I579" s="176"/>
      <c r="J579" s="201"/>
      <c r="K579" s="195"/>
      <c r="L579" s="195"/>
      <c r="M579" s="177"/>
      <c r="N579" s="171"/>
    </row>
    <row r="580" spans="1:14" x14ac:dyDescent="0.2">
      <c r="A580" s="192"/>
      <c r="B580" s="193"/>
      <c r="C580" s="171"/>
      <c r="D580" s="171"/>
      <c r="E580" s="196"/>
      <c r="F580" s="177"/>
      <c r="G580" s="177"/>
      <c r="H580" s="177"/>
      <c r="I580" s="176"/>
      <c r="J580" s="201"/>
      <c r="K580" s="195"/>
      <c r="L580" s="195"/>
      <c r="M580" s="177"/>
      <c r="N580" s="171"/>
    </row>
    <row r="581" spans="1:14" x14ac:dyDescent="0.2">
      <c r="A581" s="192"/>
      <c r="B581" s="193"/>
      <c r="C581" s="171"/>
      <c r="D581" s="171"/>
      <c r="E581" s="196"/>
      <c r="F581" s="177"/>
      <c r="G581" s="177"/>
      <c r="H581" s="177"/>
      <c r="I581" s="176"/>
      <c r="J581" s="201"/>
      <c r="K581" s="195"/>
      <c r="L581" s="195"/>
      <c r="M581" s="177"/>
      <c r="N581" s="171"/>
    </row>
    <row r="582" spans="1:14" x14ac:dyDescent="0.2">
      <c r="A582" s="192"/>
      <c r="B582" s="193"/>
      <c r="C582" s="171"/>
      <c r="D582" s="171"/>
      <c r="E582" s="196"/>
      <c r="F582" s="177"/>
      <c r="G582" s="177"/>
      <c r="H582" s="177"/>
      <c r="I582" s="176"/>
      <c r="J582" s="201"/>
      <c r="K582" s="195"/>
      <c r="L582" s="195"/>
      <c r="M582" s="177"/>
      <c r="N582" s="171"/>
    </row>
    <row r="583" spans="1:14" x14ac:dyDescent="0.2">
      <c r="A583" s="192"/>
      <c r="B583" s="193"/>
      <c r="C583" s="171"/>
      <c r="D583" s="171"/>
      <c r="E583" s="196"/>
      <c r="F583" s="177"/>
      <c r="G583" s="177"/>
      <c r="H583" s="177"/>
      <c r="I583" s="176"/>
      <c r="J583" s="201"/>
      <c r="K583" s="195"/>
      <c r="L583" s="195"/>
      <c r="M583" s="177"/>
      <c r="N583" s="171"/>
    </row>
    <row r="584" spans="1:14" x14ac:dyDescent="0.2">
      <c r="A584" s="192"/>
      <c r="B584" s="193"/>
      <c r="C584" s="171"/>
      <c r="D584" s="171"/>
      <c r="E584" s="196"/>
      <c r="F584" s="177"/>
      <c r="G584" s="177"/>
      <c r="H584" s="177"/>
      <c r="I584" s="176"/>
      <c r="J584" s="201"/>
      <c r="K584" s="195"/>
      <c r="L584" s="195"/>
      <c r="M584" s="177"/>
      <c r="N584" s="171"/>
    </row>
    <row r="585" spans="1:14" x14ac:dyDescent="0.2">
      <c r="A585" s="192"/>
      <c r="B585" s="193"/>
      <c r="C585" s="171"/>
      <c r="D585" s="171"/>
      <c r="E585" s="196"/>
      <c r="F585" s="177"/>
      <c r="G585" s="177"/>
      <c r="H585" s="177"/>
      <c r="I585" s="176"/>
      <c r="J585" s="201"/>
      <c r="K585" s="195"/>
      <c r="L585" s="195"/>
      <c r="M585" s="177"/>
      <c r="N585" s="171"/>
    </row>
    <row r="586" spans="1:14" x14ac:dyDescent="0.2">
      <c r="A586" s="192"/>
      <c r="B586" s="193"/>
      <c r="C586" s="171"/>
      <c r="D586" s="171"/>
      <c r="E586" s="196"/>
      <c r="F586" s="177"/>
      <c r="G586" s="177"/>
      <c r="H586" s="177"/>
      <c r="I586" s="176"/>
      <c r="J586" s="201"/>
      <c r="K586" s="195"/>
      <c r="L586" s="195"/>
      <c r="M586" s="177"/>
      <c r="N586" s="171"/>
    </row>
    <row r="587" spans="1:14" x14ac:dyDescent="0.2">
      <c r="A587" s="192"/>
      <c r="B587" s="193"/>
      <c r="C587" s="171"/>
      <c r="D587" s="171"/>
      <c r="E587" s="196"/>
      <c r="F587" s="177"/>
      <c r="G587" s="177"/>
      <c r="H587" s="177"/>
      <c r="I587" s="176"/>
      <c r="J587" s="201"/>
      <c r="K587" s="195"/>
      <c r="L587" s="195"/>
      <c r="M587" s="177"/>
      <c r="N587" s="171"/>
    </row>
    <row r="588" spans="1:14" x14ac:dyDescent="0.2">
      <c r="A588" s="192"/>
      <c r="B588" s="193"/>
      <c r="C588" s="171"/>
      <c r="D588" s="171"/>
      <c r="E588" s="196"/>
      <c r="F588" s="177"/>
      <c r="G588" s="177"/>
      <c r="H588" s="177"/>
      <c r="I588" s="176"/>
      <c r="J588" s="201"/>
      <c r="K588" s="195"/>
      <c r="L588" s="195"/>
      <c r="M588" s="177"/>
      <c r="N588" s="171"/>
    </row>
    <row r="589" spans="1:14" x14ac:dyDescent="0.2">
      <c r="A589" s="192"/>
      <c r="B589" s="193"/>
      <c r="C589" s="171"/>
      <c r="D589" s="171"/>
      <c r="E589" s="196"/>
      <c r="F589" s="177"/>
      <c r="G589" s="177"/>
      <c r="H589" s="177"/>
      <c r="I589" s="176"/>
      <c r="J589" s="201"/>
      <c r="K589" s="195"/>
      <c r="L589" s="195"/>
      <c r="M589" s="177"/>
      <c r="N589" s="171"/>
    </row>
    <row r="590" spans="1:14" x14ac:dyDescent="0.2">
      <c r="A590" s="192"/>
      <c r="B590" s="193"/>
      <c r="C590" s="171"/>
      <c r="D590" s="171"/>
      <c r="E590" s="196"/>
      <c r="F590" s="177"/>
      <c r="G590" s="177"/>
      <c r="H590" s="177"/>
      <c r="I590" s="176"/>
      <c r="J590" s="201"/>
      <c r="K590" s="195"/>
      <c r="L590" s="195"/>
      <c r="M590" s="177"/>
      <c r="N590" s="171"/>
    </row>
    <row r="591" spans="1:14" x14ac:dyDescent="0.2">
      <c r="A591" s="192"/>
      <c r="B591" s="193"/>
      <c r="C591" s="171"/>
      <c r="D591" s="171"/>
      <c r="E591" s="196"/>
      <c r="F591" s="177"/>
      <c r="G591" s="177"/>
      <c r="H591" s="177"/>
      <c r="I591" s="176"/>
      <c r="J591" s="201"/>
      <c r="K591" s="195"/>
      <c r="L591" s="195"/>
      <c r="M591" s="177"/>
      <c r="N591" s="171"/>
    </row>
    <row r="592" spans="1:14" x14ac:dyDescent="0.2">
      <c r="A592" s="192"/>
      <c r="B592" s="193"/>
      <c r="C592" s="171"/>
      <c r="D592" s="171"/>
      <c r="E592" s="196"/>
      <c r="F592" s="177"/>
      <c r="G592" s="177"/>
      <c r="H592" s="177"/>
      <c r="I592" s="176"/>
      <c r="J592" s="201"/>
      <c r="K592" s="195"/>
      <c r="L592" s="195"/>
      <c r="M592" s="177"/>
      <c r="N592" s="171"/>
    </row>
    <row r="593" spans="1:14" x14ac:dyDescent="0.2">
      <c r="A593" s="192"/>
      <c r="B593" s="193"/>
      <c r="C593" s="171"/>
      <c r="D593" s="171"/>
      <c r="E593" s="196"/>
      <c r="F593" s="177"/>
      <c r="G593" s="177"/>
      <c r="H593" s="177"/>
      <c r="I593" s="176"/>
      <c r="J593" s="201"/>
      <c r="K593" s="195"/>
      <c r="L593" s="195"/>
      <c r="M593" s="177"/>
      <c r="N593" s="171"/>
    </row>
    <row r="594" spans="1:14" x14ac:dyDescent="0.2">
      <c r="A594" s="192"/>
      <c r="B594" s="193"/>
      <c r="C594" s="171"/>
      <c r="D594" s="171"/>
      <c r="E594" s="196"/>
      <c r="F594" s="177"/>
      <c r="G594" s="177"/>
      <c r="H594" s="177"/>
      <c r="I594" s="176"/>
      <c r="J594" s="201"/>
      <c r="K594" s="195"/>
      <c r="L594" s="195"/>
      <c r="M594" s="177"/>
      <c r="N594" s="171"/>
    </row>
    <row r="595" spans="1:14" x14ac:dyDescent="0.2">
      <c r="A595" s="192"/>
      <c r="B595" s="193"/>
      <c r="C595" s="171"/>
      <c r="D595" s="171"/>
      <c r="E595" s="196"/>
      <c r="F595" s="177"/>
      <c r="G595" s="177"/>
      <c r="H595" s="177"/>
      <c r="I595" s="176"/>
      <c r="J595" s="201"/>
      <c r="K595" s="195"/>
      <c r="L595" s="195"/>
      <c r="M595" s="177"/>
      <c r="N595" s="171"/>
    </row>
    <row r="596" spans="1:14" x14ac:dyDescent="0.2">
      <c r="A596" s="192"/>
      <c r="B596" s="193"/>
      <c r="C596" s="171"/>
      <c r="D596" s="171"/>
      <c r="E596" s="196"/>
      <c r="F596" s="177"/>
      <c r="G596" s="177"/>
      <c r="H596" s="177"/>
      <c r="I596" s="176"/>
      <c r="J596" s="201"/>
      <c r="K596" s="195"/>
      <c r="L596" s="195"/>
      <c r="M596" s="177"/>
      <c r="N596" s="171"/>
    </row>
    <row r="597" spans="1:14" x14ac:dyDescent="0.2">
      <c r="A597" s="192"/>
      <c r="B597" s="193"/>
      <c r="C597" s="171"/>
      <c r="D597" s="171"/>
      <c r="E597" s="196"/>
      <c r="F597" s="177"/>
      <c r="G597" s="177"/>
      <c r="H597" s="177"/>
      <c r="I597" s="176"/>
      <c r="J597" s="201"/>
      <c r="K597" s="195"/>
      <c r="L597" s="195"/>
      <c r="M597" s="177"/>
      <c r="N597" s="171"/>
    </row>
    <row r="598" spans="1:14" x14ac:dyDescent="0.2">
      <c r="A598" s="192"/>
      <c r="B598" s="193"/>
      <c r="C598" s="171"/>
      <c r="D598" s="171"/>
      <c r="E598" s="196"/>
      <c r="F598" s="177"/>
      <c r="G598" s="177"/>
      <c r="H598" s="177"/>
      <c r="I598" s="176"/>
      <c r="J598" s="201"/>
      <c r="K598" s="195"/>
      <c r="L598" s="195"/>
      <c r="M598" s="177"/>
      <c r="N598" s="171"/>
    </row>
    <row r="599" spans="1:14" x14ac:dyDescent="0.2">
      <c r="A599" s="192"/>
      <c r="B599" s="193"/>
      <c r="C599" s="171"/>
      <c r="D599" s="171"/>
      <c r="E599" s="196"/>
      <c r="F599" s="177"/>
      <c r="G599" s="177"/>
      <c r="H599" s="177"/>
      <c r="I599" s="176"/>
      <c r="J599" s="201"/>
      <c r="K599" s="195"/>
      <c r="L599" s="195"/>
      <c r="M599" s="177"/>
      <c r="N599" s="171"/>
    </row>
    <row r="600" spans="1:14" x14ac:dyDescent="0.2">
      <c r="A600" s="192"/>
      <c r="B600" s="193"/>
      <c r="C600" s="171"/>
      <c r="D600" s="171"/>
      <c r="E600" s="196"/>
      <c r="F600" s="177"/>
      <c r="G600" s="177"/>
      <c r="H600" s="177"/>
      <c r="I600" s="176"/>
      <c r="J600" s="201"/>
      <c r="K600" s="195"/>
      <c r="L600" s="195"/>
      <c r="M600" s="177"/>
      <c r="N600" s="171"/>
    </row>
    <row r="601" spans="1:14" x14ac:dyDescent="0.2">
      <c r="A601" s="192"/>
      <c r="B601" s="193"/>
      <c r="C601" s="171"/>
      <c r="D601" s="171"/>
      <c r="E601" s="196"/>
      <c r="F601" s="177"/>
      <c r="G601" s="177"/>
      <c r="H601" s="177"/>
      <c r="I601" s="176"/>
      <c r="J601" s="201"/>
      <c r="K601" s="195"/>
      <c r="L601" s="195"/>
      <c r="M601" s="177"/>
      <c r="N601" s="171"/>
    </row>
    <row r="602" spans="1:14" x14ac:dyDescent="0.2">
      <c r="A602" s="192"/>
      <c r="B602" s="193"/>
      <c r="C602" s="171"/>
      <c r="D602" s="171"/>
      <c r="E602" s="196"/>
      <c r="F602" s="177"/>
      <c r="G602" s="177"/>
      <c r="H602" s="177"/>
      <c r="I602" s="176"/>
      <c r="J602" s="201"/>
      <c r="K602" s="195"/>
      <c r="L602" s="195"/>
      <c r="M602" s="177"/>
      <c r="N602" s="171"/>
    </row>
    <row r="603" spans="1:14" x14ac:dyDescent="0.2">
      <c r="A603" s="192"/>
      <c r="B603" s="193"/>
      <c r="C603" s="171"/>
      <c r="D603" s="171"/>
      <c r="E603" s="196"/>
      <c r="F603" s="177"/>
      <c r="G603" s="177"/>
      <c r="H603" s="177"/>
      <c r="I603" s="176"/>
      <c r="J603" s="201"/>
      <c r="K603" s="195"/>
      <c r="L603" s="195"/>
      <c r="M603" s="177"/>
      <c r="N603" s="171"/>
    </row>
    <row r="604" spans="1:14" x14ac:dyDescent="0.2">
      <c r="A604" s="192"/>
      <c r="B604" s="193"/>
      <c r="C604" s="171"/>
      <c r="D604" s="171"/>
      <c r="E604" s="196"/>
      <c r="F604" s="177"/>
      <c r="G604" s="177"/>
      <c r="H604" s="177"/>
      <c r="I604" s="176"/>
      <c r="J604" s="201"/>
      <c r="K604" s="195"/>
      <c r="L604" s="195"/>
      <c r="M604" s="177"/>
      <c r="N604" s="171"/>
    </row>
    <row r="605" spans="1:14" x14ac:dyDescent="0.2">
      <c r="A605" s="192"/>
      <c r="B605" s="193"/>
      <c r="C605" s="171"/>
      <c r="D605" s="171"/>
      <c r="E605" s="196"/>
      <c r="F605" s="177"/>
      <c r="G605" s="177"/>
      <c r="H605" s="177"/>
      <c r="I605" s="176"/>
      <c r="J605" s="201"/>
      <c r="K605" s="195"/>
      <c r="L605" s="195"/>
      <c r="M605" s="177"/>
      <c r="N605" s="171"/>
    </row>
    <row r="606" spans="1:14" x14ac:dyDescent="0.2">
      <c r="A606" s="192"/>
      <c r="B606" s="193"/>
      <c r="C606" s="171"/>
      <c r="D606" s="171"/>
      <c r="E606" s="196"/>
      <c r="F606" s="177"/>
      <c r="G606" s="177"/>
      <c r="H606" s="177"/>
      <c r="I606" s="176"/>
      <c r="J606" s="201"/>
      <c r="K606" s="195"/>
      <c r="L606" s="195"/>
      <c r="M606" s="177"/>
      <c r="N606" s="171"/>
    </row>
    <row r="607" spans="1:14" x14ac:dyDescent="0.2">
      <c r="A607" s="192"/>
      <c r="B607" s="193"/>
      <c r="C607" s="171"/>
      <c r="D607" s="171"/>
      <c r="E607" s="196"/>
      <c r="F607" s="177"/>
      <c r="G607" s="177"/>
      <c r="H607" s="177"/>
      <c r="I607" s="176"/>
      <c r="J607" s="201"/>
      <c r="K607" s="195"/>
      <c r="L607" s="195"/>
      <c r="M607" s="177"/>
      <c r="N607" s="171"/>
    </row>
    <row r="608" spans="1:14" x14ac:dyDescent="0.2">
      <c r="A608" s="192"/>
      <c r="B608" s="193"/>
      <c r="C608" s="171"/>
      <c r="D608" s="171"/>
      <c r="E608" s="196"/>
      <c r="F608" s="177"/>
      <c r="G608" s="177"/>
      <c r="H608" s="177"/>
      <c r="I608" s="176"/>
      <c r="J608" s="201"/>
      <c r="K608" s="195"/>
      <c r="L608" s="195"/>
      <c r="M608" s="177"/>
      <c r="N608" s="171"/>
    </row>
    <row r="609" spans="1:14" x14ac:dyDescent="0.2">
      <c r="A609" s="192"/>
      <c r="B609" s="193"/>
      <c r="C609" s="171"/>
      <c r="D609" s="171"/>
      <c r="E609" s="196"/>
      <c r="F609" s="177"/>
      <c r="G609" s="177"/>
      <c r="H609" s="177"/>
      <c r="I609" s="176"/>
      <c r="J609" s="201"/>
      <c r="K609" s="195"/>
      <c r="L609" s="195"/>
      <c r="M609" s="177"/>
      <c r="N609" s="171"/>
    </row>
    <row r="610" spans="1:14" x14ac:dyDescent="0.2">
      <c r="A610" s="192"/>
      <c r="B610" s="193"/>
      <c r="C610" s="171"/>
      <c r="D610" s="171"/>
      <c r="E610" s="196"/>
      <c r="F610" s="177"/>
      <c r="G610" s="177"/>
      <c r="H610" s="177"/>
      <c r="I610" s="176"/>
      <c r="J610" s="201"/>
      <c r="K610" s="195"/>
      <c r="L610" s="195"/>
      <c r="M610" s="177"/>
      <c r="N610" s="171"/>
    </row>
    <row r="611" spans="1:14" x14ac:dyDescent="0.2">
      <c r="A611" s="192"/>
      <c r="B611" s="193"/>
      <c r="C611" s="171"/>
      <c r="D611" s="171"/>
      <c r="E611" s="196"/>
      <c r="F611" s="177"/>
      <c r="G611" s="177"/>
      <c r="H611" s="177"/>
      <c r="I611" s="176"/>
      <c r="J611" s="201"/>
      <c r="K611" s="195"/>
      <c r="L611" s="195"/>
      <c r="M611" s="177"/>
      <c r="N611" s="171"/>
    </row>
    <row r="612" spans="1:14" x14ac:dyDescent="0.2">
      <c r="A612" s="192"/>
      <c r="B612" s="193"/>
      <c r="C612" s="171"/>
      <c r="D612" s="171"/>
      <c r="E612" s="196"/>
      <c r="F612" s="177"/>
      <c r="G612" s="177"/>
      <c r="H612" s="177"/>
      <c r="I612" s="176"/>
      <c r="J612" s="201"/>
      <c r="K612" s="195"/>
      <c r="L612" s="195"/>
      <c r="M612" s="177"/>
      <c r="N612" s="171"/>
    </row>
    <row r="613" spans="1:14" x14ac:dyDescent="0.2">
      <c r="A613" s="192"/>
      <c r="B613" s="193"/>
      <c r="C613" s="171"/>
      <c r="D613" s="171"/>
      <c r="E613" s="196"/>
      <c r="F613" s="177"/>
      <c r="G613" s="177"/>
      <c r="H613" s="177"/>
      <c r="I613" s="176"/>
      <c r="J613" s="201"/>
      <c r="K613" s="195"/>
      <c r="L613" s="195"/>
      <c r="M613" s="177"/>
      <c r="N613" s="171"/>
    </row>
    <row r="614" spans="1:14" x14ac:dyDescent="0.2">
      <c r="A614" s="192"/>
      <c r="B614" s="193"/>
      <c r="C614" s="171"/>
      <c r="D614" s="171"/>
      <c r="E614" s="196"/>
      <c r="F614" s="177"/>
      <c r="G614" s="177"/>
      <c r="H614" s="177"/>
      <c r="I614" s="176"/>
      <c r="J614" s="201"/>
      <c r="K614" s="195"/>
      <c r="L614" s="195"/>
      <c r="M614" s="177"/>
      <c r="N614" s="171"/>
    </row>
    <row r="615" spans="1:14" x14ac:dyDescent="0.2">
      <c r="A615" s="192"/>
      <c r="B615" s="193"/>
      <c r="C615" s="171"/>
      <c r="D615" s="171"/>
      <c r="E615" s="196"/>
      <c r="F615" s="177"/>
      <c r="G615" s="177"/>
      <c r="H615" s="177"/>
      <c r="I615" s="176"/>
      <c r="J615" s="201"/>
      <c r="K615" s="195"/>
      <c r="L615" s="195"/>
      <c r="M615" s="177"/>
      <c r="N615" s="171"/>
    </row>
    <row r="616" spans="1:14" x14ac:dyDescent="0.2">
      <c r="A616" s="192"/>
      <c r="B616" s="193"/>
      <c r="C616" s="171"/>
      <c r="D616" s="171"/>
      <c r="E616" s="196"/>
      <c r="F616" s="177"/>
      <c r="G616" s="177"/>
      <c r="H616" s="177"/>
      <c r="I616" s="176"/>
      <c r="J616" s="201"/>
      <c r="K616" s="195"/>
      <c r="L616" s="195"/>
      <c r="M616" s="177"/>
      <c r="N616" s="171"/>
    </row>
    <row r="617" spans="1:14" x14ac:dyDescent="0.2">
      <c r="A617" s="192"/>
      <c r="B617" s="193"/>
      <c r="C617" s="171"/>
      <c r="D617" s="171"/>
      <c r="E617" s="196"/>
      <c r="F617" s="177"/>
      <c r="G617" s="177"/>
      <c r="H617" s="177"/>
      <c r="I617" s="176"/>
      <c r="J617" s="201"/>
      <c r="K617" s="195"/>
      <c r="L617" s="195"/>
      <c r="M617" s="177"/>
      <c r="N617" s="171"/>
    </row>
    <row r="618" spans="1:14" x14ac:dyDescent="0.2">
      <c r="A618" s="192"/>
      <c r="B618" s="193"/>
      <c r="C618" s="171"/>
      <c r="D618" s="171"/>
      <c r="E618" s="196"/>
      <c r="F618" s="177"/>
      <c r="G618" s="177"/>
      <c r="H618" s="177"/>
      <c r="I618" s="176"/>
      <c r="J618" s="201"/>
      <c r="K618" s="195"/>
      <c r="L618" s="195"/>
      <c r="M618" s="177"/>
      <c r="N618" s="171"/>
    </row>
    <row r="619" spans="1:14" x14ac:dyDescent="0.2">
      <c r="A619" s="192"/>
      <c r="B619" s="193"/>
      <c r="C619" s="171"/>
      <c r="D619" s="171"/>
      <c r="E619" s="196"/>
      <c r="F619" s="177"/>
      <c r="G619" s="177"/>
      <c r="H619" s="177"/>
      <c r="I619" s="176"/>
      <c r="J619" s="201"/>
      <c r="K619" s="195"/>
      <c r="L619" s="195"/>
      <c r="M619" s="177"/>
      <c r="N619" s="171"/>
    </row>
    <row r="620" spans="1:14" x14ac:dyDescent="0.2">
      <c r="A620" s="192"/>
      <c r="B620" s="193"/>
      <c r="C620" s="171"/>
      <c r="D620" s="171"/>
      <c r="E620" s="196"/>
      <c r="F620" s="177"/>
      <c r="G620" s="177"/>
      <c r="H620" s="177"/>
      <c r="I620" s="176"/>
      <c r="J620" s="201"/>
      <c r="K620" s="195"/>
      <c r="L620" s="195"/>
      <c r="M620" s="177"/>
      <c r="N620" s="171"/>
    </row>
    <row r="621" spans="1:14" x14ac:dyDescent="0.2">
      <c r="A621" s="192"/>
      <c r="B621" s="193"/>
      <c r="C621" s="171"/>
      <c r="D621" s="171"/>
      <c r="E621" s="196"/>
      <c r="F621" s="177"/>
      <c r="G621" s="177"/>
      <c r="H621" s="177"/>
      <c r="I621" s="176"/>
      <c r="J621" s="201"/>
      <c r="K621" s="195"/>
      <c r="L621" s="195"/>
      <c r="M621" s="177"/>
      <c r="N621" s="171"/>
    </row>
    <row r="622" spans="1:14" x14ac:dyDescent="0.2">
      <c r="A622" s="192"/>
      <c r="B622" s="193"/>
      <c r="C622" s="171"/>
      <c r="D622" s="171"/>
      <c r="E622" s="196"/>
      <c r="F622" s="177"/>
      <c r="G622" s="177"/>
      <c r="H622" s="177"/>
      <c r="I622" s="176"/>
      <c r="J622" s="201"/>
      <c r="K622" s="195"/>
      <c r="L622" s="195"/>
      <c r="M622" s="177"/>
      <c r="N622" s="171"/>
    </row>
    <row r="623" spans="1:14" x14ac:dyDescent="0.2">
      <c r="A623" s="192"/>
      <c r="B623" s="193"/>
      <c r="C623" s="171"/>
      <c r="D623" s="171"/>
      <c r="E623" s="196"/>
      <c r="F623" s="177"/>
      <c r="G623" s="177"/>
      <c r="H623" s="177"/>
      <c r="I623" s="176"/>
      <c r="J623" s="201"/>
      <c r="K623" s="195"/>
      <c r="L623" s="195"/>
      <c r="M623" s="177"/>
      <c r="N623" s="171"/>
    </row>
    <row r="624" spans="1:14" x14ac:dyDescent="0.2">
      <c r="A624" s="192"/>
      <c r="B624" s="193"/>
      <c r="C624" s="171"/>
      <c r="D624" s="171"/>
      <c r="E624" s="196"/>
      <c r="F624" s="177"/>
      <c r="G624" s="177"/>
      <c r="H624" s="177"/>
      <c r="I624" s="176"/>
      <c r="J624" s="201"/>
      <c r="K624" s="195"/>
      <c r="L624" s="195"/>
      <c r="M624" s="177"/>
      <c r="N624" s="171"/>
    </row>
    <row r="625" spans="1:14" x14ac:dyDescent="0.2">
      <c r="A625" s="192"/>
      <c r="B625" s="193"/>
      <c r="C625" s="171"/>
      <c r="D625" s="171"/>
      <c r="E625" s="196"/>
      <c r="F625" s="177"/>
      <c r="G625" s="177"/>
      <c r="H625" s="177"/>
      <c r="I625" s="176"/>
      <c r="J625" s="201"/>
      <c r="K625" s="195"/>
      <c r="L625" s="195"/>
      <c r="M625" s="177"/>
      <c r="N625" s="171"/>
    </row>
    <row r="626" spans="1:14" x14ac:dyDescent="0.2">
      <c r="A626" s="192"/>
      <c r="B626" s="193"/>
      <c r="C626" s="171"/>
      <c r="D626" s="171"/>
      <c r="E626" s="196"/>
      <c r="F626" s="177"/>
      <c r="G626" s="177"/>
      <c r="H626" s="177"/>
      <c r="I626" s="176"/>
      <c r="J626" s="201"/>
      <c r="K626" s="195"/>
      <c r="L626" s="195"/>
      <c r="M626" s="177"/>
      <c r="N626" s="171"/>
    </row>
    <row r="627" spans="1:14" x14ac:dyDescent="0.2">
      <c r="A627" s="192"/>
      <c r="B627" s="193"/>
      <c r="C627" s="171"/>
      <c r="D627" s="171"/>
      <c r="E627" s="196"/>
      <c r="F627" s="177"/>
      <c r="G627" s="177"/>
      <c r="H627" s="177"/>
      <c r="I627" s="176"/>
      <c r="J627" s="201"/>
      <c r="K627" s="195"/>
      <c r="L627" s="195"/>
      <c r="M627" s="177"/>
      <c r="N627" s="171"/>
    </row>
    <row r="628" spans="1:14" x14ac:dyDescent="0.2">
      <c r="A628" s="192"/>
      <c r="B628" s="193"/>
      <c r="C628" s="171"/>
      <c r="D628" s="171"/>
      <c r="E628" s="196"/>
      <c r="F628" s="177"/>
      <c r="G628" s="177"/>
      <c r="H628" s="177"/>
      <c r="I628" s="176"/>
      <c r="J628" s="201"/>
      <c r="K628" s="195"/>
      <c r="L628" s="195"/>
      <c r="M628" s="177"/>
      <c r="N628" s="171"/>
    </row>
    <row r="629" spans="1:14" x14ac:dyDescent="0.2">
      <c r="A629" s="192"/>
      <c r="B629" s="193"/>
      <c r="C629" s="171"/>
      <c r="D629" s="171"/>
      <c r="E629" s="196"/>
      <c r="F629" s="177"/>
      <c r="G629" s="177"/>
      <c r="H629" s="177"/>
      <c r="I629" s="176"/>
      <c r="J629" s="201"/>
      <c r="K629" s="195"/>
      <c r="L629" s="195"/>
      <c r="M629" s="177"/>
      <c r="N629" s="171"/>
    </row>
    <row r="630" spans="1:14" x14ac:dyDescent="0.2">
      <c r="A630" s="192"/>
      <c r="B630" s="193"/>
      <c r="C630" s="171"/>
      <c r="D630" s="171"/>
      <c r="E630" s="196"/>
      <c r="F630" s="177"/>
      <c r="G630" s="177"/>
      <c r="H630" s="177"/>
      <c r="I630" s="176"/>
      <c r="J630" s="201"/>
      <c r="K630" s="195"/>
      <c r="L630" s="195"/>
      <c r="M630" s="177"/>
      <c r="N630" s="171"/>
    </row>
    <row r="631" spans="1:14" x14ac:dyDescent="0.2">
      <c r="A631" s="192"/>
      <c r="B631" s="193"/>
      <c r="C631" s="171"/>
      <c r="D631" s="171"/>
      <c r="E631" s="196"/>
      <c r="F631" s="177"/>
      <c r="G631" s="177"/>
      <c r="H631" s="177"/>
      <c r="I631" s="176"/>
      <c r="J631" s="201"/>
      <c r="K631" s="195"/>
      <c r="L631" s="195"/>
      <c r="M631" s="177"/>
      <c r="N631" s="171"/>
    </row>
    <row r="632" spans="1:14" x14ac:dyDescent="0.2">
      <c r="A632" s="192"/>
      <c r="B632" s="193"/>
      <c r="C632" s="171"/>
      <c r="D632" s="171"/>
      <c r="E632" s="196"/>
      <c r="F632" s="177"/>
      <c r="G632" s="177"/>
      <c r="H632" s="177"/>
      <c r="I632" s="176"/>
      <c r="J632" s="201"/>
      <c r="K632" s="195"/>
      <c r="L632" s="195"/>
      <c r="M632" s="177"/>
      <c r="N632" s="171"/>
    </row>
    <row r="633" spans="1:14" x14ac:dyDescent="0.2">
      <c r="A633" s="192"/>
      <c r="B633" s="193"/>
      <c r="C633" s="171"/>
      <c r="D633" s="171"/>
      <c r="E633" s="196"/>
      <c r="F633" s="177"/>
      <c r="G633" s="177"/>
      <c r="H633" s="177"/>
      <c r="I633" s="176"/>
      <c r="J633" s="201"/>
      <c r="K633" s="195"/>
      <c r="L633" s="195"/>
      <c r="M633" s="177"/>
      <c r="N633" s="171"/>
    </row>
    <row r="634" spans="1:14" x14ac:dyDescent="0.2">
      <c r="A634" s="192"/>
      <c r="B634" s="193"/>
      <c r="C634" s="171"/>
      <c r="D634" s="171"/>
      <c r="E634" s="196"/>
      <c r="F634" s="177"/>
      <c r="G634" s="177"/>
      <c r="H634" s="177"/>
      <c r="I634" s="176"/>
      <c r="J634" s="201"/>
      <c r="K634" s="195"/>
      <c r="L634" s="195"/>
      <c r="M634" s="177"/>
      <c r="N634" s="171"/>
    </row>
    <row r="635" spans="1:14" x14ac:dyDescent="0.2">
      <c r="A635" s="192"/>
      <c r="B635" s="193"/>
      <c r="C635" s="171"/>
      <c r="D635" s="171"/>
      <c r="E635" s="196"/>
      <c r="F635" s="177"/>
      <c r="G635" s="177"/>
      <c r="H635" s="177"/>
      <c r="I635" s="176"/>
      <c r="J635" s="201"/>
      <c r="K635" s="195"/>
      <c r="L635" s="195"/>
      <c r="M635" s="177"/>
      <c r="N635" s="171"/>
    </row>
    <row r="636" spans="1:14" x14ac:dyDescent="0.2">
      <c r="A636" s="192"/>
      <c r="B636" s="193"/>
      <c r="C636" s="171"/>
      <c r="D636" s="171"/>
      <c r="E636" s="196"/>
      <c r="F636" s="177"/>
      <c r="G636" s="177"/>
      <c r="H636" s="177"/>
      <c r="I636" s="176"/>
      <c r="J636" s="201"/>
      <c r="K636" s="195"/>
      <c r="L636" s="195"/>
      <c r="M636" s="177"/>
      <c r="N636" s="171"/>
    </row>
    <row r="637" spans="1:14" x14ac:dyDescent="0.2">
      <c r="A637" s="192"/>
      <c r="B637" s="193"/>
      <c r="C637" s="171"/>
      <c r="D637" s="171"/>
      <c r="E637" s="196"/>
      <c r="F637" s="177"/>
      <c r="G637" s="177"/>
      <c r="H637" s="177"/>
      <c r="I637" s="176"/>
      <c r="J637" s="201"/>
      <c r="K637" s="195"/>
      <c r="L637" s="195"/>
      <c r="M637" s="177"/>
      <c r="N637" s="171"/>
    </row>
    <row r="638" spans="1:14" x14ac:dyDescent="0.2">
      <c r="A638" s="192"/>
      <c r="B638" s="193"/>
      <c r="C638" s="171"/>
      <c r="D638" s="171"/>
      <c r="E638" s="196"/>
      <c r="F638" s="177"/>
      <c r="G638" s="177"/>
      <c r="H638" s="177"/>
      <c r="I638" s="176"/>
      <c r="J638" s="201"/>
      <c r="K638" s="195"/>
      <c r="L638" s="195"/>
      <c r="M638" s="177"/>
      <c r="N638" s="171"/>
    </row>
    <row r="639" spans="1:14" x14ac:dyDescent="0.2">
      <c r="A639" s="192"/>
      <c r="B639" s="193"/>
      <c r="C639" s="171"/>
      <c r="D639" s="171"/>
      <c r="E639" s="196"/>
      <c r="F639" s="177"/>
      <c r="G639" s="177"/>
      <c r="H639" s="177"/>
      <c r="I639" s="176"/>
      <c r="J639" s="201"/>
      <c r="K639" s="195"/>
      <c r="L639" s="195"/>
      <c r="M639" s="177"/>
      <c r="N639" s="171"/>
    </row>
    <row r="640" spans="1:14" x14ac:dyDescent="0.2">
      <c r="A640" s="192"/>
      <c r="B640" s="193"/>
      <c r="C640" s="171"/>
      <c r="D640" s="171"/>
      <c r="E640" s="196"/>
      <c r="F640" s="177"/>
      <c r="G640" s="177"/>
      <c r="H640" s="177"/>
      <c r="I640" s="176"/>
      <c r="J640" s="201"/>
      <c r="K640" s="195"/>
      <c r="L640" s="195"/>
      <c r="M640" s="177"/>
      <c r="N640" s="171"/>
    </row>
    <row r="641" spans="1:14" x14ac:dyDescent="0.2">
      <c r="A641" s="192"/>
      <c r="B641" s="193"/>
      <c r="C641" s="171"/>
      <c r="D641" s="171"/>
      <c r="E641" s="196"/>
      <c r="F641" s="177"/>
      <c r="G641" s="177"/>
      <c r="H641" s="177"/>
      <c r="I641" s="176"/>
      <c r="J641" s="201"/>
      <c r="K641" s="195"/>
      <c r="L641" s="195"/>
      <c r="M641" s="177"/>
      <c r="N641" s="171"/>
    </row>
    <row r="642" spans="1:14" x14ac:dyDescent="0.2">
      <c r="A642" s="192"/>
      <c r="B642" s="193"/>
      <c r="C642" s="171"/>
      <c r="D642" s="171"/>
      <c r="E642" s="196"/>
      <c r="F642" s="177"/>
      <c r="G642" s="177"/>
      <c r="H642" s="177"/>
      <c r="I642" s="176"/>
      <c r="J642" s="201"/>
      <c r="K642" s="195"/>
      <c r="L642" s="195"/>
      <c r="M642" s="177"/>
      <c r="N642" s="171"/>
    </row>
    <row r="643" spans="1:14" x14ac:dyDescent="0.2">
      <c r="A643" s="192"/>
      <c r="B643" s="193"/>
      <c r="C643" s="171"/>
      <c r="D643" s="171"/>
      <c r="E643" s="196"/>
      <c r="F643" s="177"/>
      <c r="G643" s="177"/>
      <c r="H643" s="177"/>
      <c r="I643" s="176"/>
      <c r="J643" s="201"/>
      <c r="K643" s="195"/>
      <c r="L643" s="195"/>
      <c r="M643" s="177"/>
      <c r="N643" s="171"/>
    </row>
    <row r="644" spans="1:14" x14ac:dyDescent="0.2">
      <c r="A644" s="192"/>
      <c r="B644" s="193"/>
      <c r="C644" s="171"/>
      <c r="D644" s="171"/>
      <c r="E644" s="196"/>
      <c r="F644" s="177"/>
      <c r="G644" s="177"/>
      <c r="H644" s="177"/>
      <c r="I644" s="176"/>
      <c r="J644" s="201"/>
      <c r="K644" s="195"/>
      <c r="L644" s="195"/>
      <c r="M644" s="177"/>
      <c r="N644" s="171"/>
    </row>
    <row r="645" spans="1:14" x14ac:dyDescent="0.2">
      <c r="A645" s="192"/>
      <c r="B645" s="193"/>
      <c r="C645" s="171"/>
      <c r="D645" s="171"/>
      <c r="E645" s="196"/>
      <c r="F645" s="177"/>
      <c r="G645" s="177"/>
      <c r="H645" s="177"/>
      <c r="I645" s="176"/>
      <c r="J645" s="201"/>
      <c r="K645" s="195"/>
      <c r="L645" s="195"/>
      <c r="M645" s="177"/>
      <c r="N645" s="171"/>
    </row>
    <row r="646" spans="1:14" x14ac:dyDescent="0.2">
      <c r="A646" s="192"/>
      <c r="B646" s="193"/>
      <c r="C646" s="171"/>
      <c r="D646" s="171"/>
      <c r="E646" s="196"/>
      <c r="F646" s="177"/>
      <c r="G646" s="177"/>
      <c r="H646" s="177"/>
      <c r="I646" s="176"/>
      <c r="J646" s="201"/>
      <c r="K646" s="195"/>
      <c r="L646" s="195"/>
      <c r="M646" s="177"/>
      <c r="N646" s="171"/>
    </row>
    <row r="647" spans="1:14" x14ac:dyDescent="0.2">
      <c r="A647" s="192"/>
      <c r="B647" s="193"/>
      <c r="C647" s="171"/>
      <c r="D647" s="171"/>
      <c r="E647" s="196"/>
      <c r="F647" s="177"/>
      <c r="G647" s="177"/>
      <c r="H647" s="177"/>
      <c r="I647" s="176"/>
      <c r="J647" s="201"/>
      <c r="K647" s="195"/>
      <c r="L647" s="195"/>
      <c r="M647" s="177"/>
      <c r="N647" s="171"/>
    </row>
    <row r="648" spans="1:14" x14ac:dyDescent="0.2">
      <c r="A648" s="192"/>
      <c r="B648" s="193"/>
      <c r="C648" s="171"/>
      <c r="D648" s="171"/>
      <c r="E648" s="196"/>
      <c r="F648" s="177"/>
      <c r="G648" s="177"/>
      <c r="H648" s="177"/>
      <c r="I648" s="176"/>
      <c r="J648" s="201"/>
      <c r="K648" s="195"/>
      <c r="L648" s="195"/>
      <c r="M648" s="177"/>
      <c r="N648" s="171"/>
    </row>
    <row r="649" spans="1:14" x14ac:dyDescent="0.2">
      <c r="A649" s="192"/>
      <c r="B649" s="193"/>
      <c r="C649" s="171"/>
      <c r="D649" s="171"/>
      <c r="E649" s="196"/>
      <c r="F649" s="177"/>
      <c r="G649" s="177"/>
      <c r="H649" s="177"/>
      <c r="I649" s="176"/>
      <c r="J649" s="201"/>
      <c r="K649" s="195"/>
      <c r="L649" s="195"/>
      <c r="M649" s="177"/>
      <c r="N649" s="171"/>
    </row>
    <row r="650" spans="1:14" x14ac:dyDescent="0.2">
      <c r="A650" s="192"/>
      <c r="B650" s="193"/>
      <c r="C650" s="171"/>
      <c r="D650" s="171"/>
      <c r="E650" s="196"/>
      <c r="F650" s="177"/>
      <c r="G650" s="177"/>
      <c r="H650" s="177"/>
      <c r="I650" s="176"/>
      <c r="J650" s="201"/>
      <c r="K650" s="195"/>
      <c r="L650" s="195"/>
      <c r="M650" s="177"/>
      <c r="N650" s="171"/>
    </row>
    <row r="651" spans="1:14" x14ac:dyDescent="0.2">
      <c r="A651" s="192"/>
      <c r="B651" s="193"/>
      <c r="C651" s="171"/>
      <c r="D651" s="171"/>
      <c r="E651" s="196"/>
      <c r="F651" s="177"/>
      <c r="G651" s="177"/>
      <c r="H651" s="177"/>
      <c r="I651" s="176"/>
      <c r="J651" s="201"/>
      <c r="K651" s="195"/>
      <c r="L651" s="195"/>
      <c r="M651" s="177"/>
      <c r="N651" s="171"/>
    </row>
    <row r="652" spans="1:14" x14ac:dyDescent="0.2">
      <c r="A652" s="192"/>
      <c r="B652" s="193"/>
      <c r="C652" s="171"/>
      <c r="D652" s="171"/>
      <c r="E652" s="196"/>
      <c r="F652" s="177"/>
      <c r="G652" s="177"/>
      <c r="H652" s="177"/>
      <c r="I652" s="176"/>
      <c r="J652" s="201"/>
      <c r="K652" s="195"/>
      <c r="L652" s="195"/>
      <c r="M652" s="177"/>
      <c r="N652" s="171"/>
    </row>
    <row r="653" spans="1:14" x14ac:dyDescent="0.2">
      <c r="A653" s="192"/>
      <c r="B653" s="193"/>
      <c r="C653" s="171"/>
      <c r="D653" s="171"/>
      <c r="E653" s="196"/>
      <c r="F653" s="177"/>
      <c r="G653" s="177"/>
      <c r="H653" s="177"/>
      <c r="I653" s="176"/>
      <c r="J653" s="201"/>
      <c r="K653" s="195"/>
      <c r="L653" s="195"/>
      <c r="M653" s="177"/>
      <c r="N653" s="171"/>
    </row>
    <row r="654" spans="1:14" x14ac:dyDescent="0.2">
      <c r="A654" s="192"/>
      <c r="B654" s="193"/>
      <c r="C654" s="171"/>
      <c r="D654" s="171"/>
      <c r="E654" s="196"/>
      <c r="F654" s="177"/>
      <c r="G654" s="177"/>
      <c r="H654" s="177"/>
      <c r="I654" s="176"/>
      <c r="J654" s="201"/>
      <c r="K654" s="195"/>
      <c r="L654" s="195"/>
      <c r="M654" s="177"/>
      <c r="N654" s="171"/>
    </row>
    <row r="655" spans="1:14" x14ac:dyDescent="0.2">
      <c r="A655" s="192"/>
      <c r="B655" s="193"/>
      <c r="C655" s="171"/>
      <c r="D655" s="171"/>
      <c r="E655" s="196"/>
      <c r="F655" s="177"/>
      <c r="G655" s="177"/>
      <c r="H655" s="177"/>
      <c r="I655" s="176"/>
      <c r="J655" s="201"/>
      <c r="K655" s="195"/>
      <c r="L655" s="195"/>
      <c r="M655" s="177"/>
      <c r="N655" s="171"/>
    </row>
    <row r="656" spans="1:14" x14ac:dyDescent="0.2">
      <c r="A656" s="192"/>
      <c r="B656" s="193"/>
      <c r="C656" s="171"/>
      <c r="D656" s="171"/>
      <c r="E656" s="196"/>
      <c r="F656" s="177"/>
      <c r="G656" s="177"/>
      <c r="H656" s="177"/>
      <c r="I656" s="176"/>
      <c r="J656" s="201"/>
      <c r="K656" s="195"/>
      <c r="L656" s="195"/>
      <c r="M656" s="177"/>
      <c r="N656" s="171"/>
    </row>
    <row r="657" spans="1:14" x14ac:dyDescent="0.2">
      <c r="A657" s="192"/>
      <c r="B657" s="193"/>
      <c r="C657" s="171"/>
      <c r="D657" s="171"/>
      <c r="E657" s="196"/>
      <c r="F657" s="177"/>
      <c r="G657" s="177"/>
      <c r="H657" s="177"/>
      <c r="I657" s="176"/>
      <c r="J657" s="201"/>
      <c r="K657" s="195"/>
      <c r="L657" s="195"/>
      <c r="M657" s="177"/>
      <c r="N657" s="171"/>
    </row>
    <row r="658" spans="1:14" x14ac:dyDescent="0.2">
      <c r="A658" s="192"/>
      <c r="B658" s="193"/>
      <c r="C658" s="171"/>
      <c r="D658" s="171"/>
      <c r="E658" s="196"/>
      <c r="F658" s="177"/>
      <c r="G658" s="177"/>
      <c r="H658" s="177"/>
      <c r="I658" s="176"/>
      <c r="J658" s="201"/>
      <c r="K658" s="195"/>
      <c r="L658" s="195"/>
      <c r="M658" s="177"/>
      <c r="N658" s="171"/>
    </row>
    <row r="659" spans="1:14" x14ac:dyDescent="0.2">
      <c r="A659" s="192"/>
      <c r="B659" s="193"/>
      <c r="C659" s="171"/>
      <c r="D659" s="171"/>
      <c r="E659" s="196"/>
      <c r="F659" s="177"/>
      <c r="G659" s="177"/>
      <c r="H659" s="177"/>
      <c r="I659" s="176"/>
      <c r="J659" s="201"/>
      <c r="K659" s="195"/>
      <c r="L659" s="195"/>
      <c r="M659" s="177"/>
      <c r="N659" s="171"/>
    </row>
    <row r="660" spans="1:14" x14ac:dyDescent="0.2">
      <c r="A660" s="192"/>
      <c r="B660" s="193"/>
      <c r="C660" s="171"/>
      <c r="D660" s="171"/>
      <c r="E660" s="196"/>
      <c r="F660" s="177"/>
      <c r="G660" s="177"/>
      <c r="H660" s="177"/>
      <c r="I660" s="176"/>
      <c r="J660" s="201"/>
      <c r="K660" s="195"/>
      <c r="L660" s="195"/>
      <c r="M660" s="177"/>
      <c r="N660" s="171"/>
    </row>
    <row r="661" spans="1:14" x14ac:dyDescent="0.2">
      <c r="A661" s="192"/>
      <c r="B661" s="193"/>
      <c r="C661" s="171"/>
      <c r="D661" s="171"/>
      <c r="E661" s="196"/>
      <c r="F661" s="177"/>
      <c r="G661" s="177"/>
      <c r="H661" s="177"/>
      <c r="I661" s="176"/>
      <c r="J661" s="201"/>
      <c r="K661" s="195"/>
      <c r="L661" s="195"/>
      <c r="M661" s="177"/>
      <c r="N661" s="171"/>
    </row>
    <row r="662" spans="1:14" x14ac:dyDescent="0.2">
      <c r="A662" s="192"/>
      <c r="B662" s="193"/>
      <c r="C662" s="171"/>
      <c r="D662" s="171"/>
      <c r="E662" s="196"/>
      <c r="F662" s="177"/>
      <c r="G662" s="177"/>
      <c r="H662" s="177"/>
      <c r="I662" s="176"/>
      <c r="J662" s="201"/>
      <c r="K662" s="195"/>
      <c r="L662" s="195"/>
      <c r="M662" s="177"/>
      <c r="N662" s="171"/>
    </row>
    <row r="663" spans="1:14" x14ac:dyDescent="0.2">
      <c r="A663" s="192"/>
      <c r="B663" s="193"/>
      <c r="C663" s="171"/>
      <c r="D663" s="171"/>
      <c r="E663" s="196"/>
      <c r="F663" s="177"/>
      <c r="G663" s="177"/>
      <c r="H663" s="177"/>
      <c r="I663" s="176"/>
      <c r="J663" s="201"/>
      <c r="K663" s="195"/>
      <c r="L663" s="195"/>
      <c r="M663" s="177"/>
      <c r="N663" s="171"/>
    </row>
    <row r="664" spans="1:14" x14ac:dyDescent="0.2">
      <c r="A664" s="192"/>
      <c r="B664" s="193"/>
      <c r="C664" s="171"/>
      <c r="D664" s="171"/>
      <c r="E664" s="196"/>
      <c r="F664" s="177"/>
      <c r="G664" s="177"/>
      <c r="H664" s="177"/>
      <c r="I664" s="176"/>
      <c r="J664" s="201"/>
      <c r="K664" s="195"/>
      <c r="L664" s="195"/>
      <c r="M664" s="177"/>
      <c r="N664" s="171"/>
    </row>
    <row r="665" spans="1:14" x14ac:dyDescent="0.2">
      <c r="A665" s="192"/>
      <c r="B665" s="193"/>
      <c r="C665" s="171"/>
      <c r="D665" s="171"/>
      <c r="E665" s="196"/>
      <c r="F665" s="177"/>
      <c r="G665" s="177"/>
      <c r="H665" s="177"/>
      <c r="I665" s="176"/>
      <c r="J665" s="201"/>
      <c r="K665" s="195"/>
      <c r="L665" s="195"/>
      <c r="M665" s="177"/>
      <c r="N665" s="171"/>
    </row>
    <row r="666" spans="1:14" x14ac:dyDescent="0.2">
      <c r="A666" s="192"/>
      <c r="B666" s="193"/>
      <c r="C666" s="171"/>
      <c r="D666" s="171"/>
      <c r="E666" s="196"/>
      <c r="F666" s="177"/>
      <c r="G666" s="177"/>
      <c r="H666" s="177"/>
      <c r="I666" s="176"/>
      <c r="J666" s="201"/>
      <c r="K666" s="195"/>
      <c r="L666" s="195"/>
      <c r="M666" s="177"/>
      <c r="N666" s="171"/>
    </row>
    <row r="667" spans="1:14" x14ac:dyDescent="0.2">
      <c r="A667" s="192"/>
      <c r="B667" s="193"/>
      <c r="C667" s="171"/>
      <c r="D667" s="171"/>
      <c r="E667" s="196"/>
      <c r="F667" s="177"/>
      <c r="G667" s="177"/>
      <c r="H667" s="177"/>
      <c r="I667" s="176"/>
      <c r="J667" s="201"/>
      <c r="K667" s="195"/>
      <c r="L667" s="195"/>
      <c r="M667" s="177"/>
      <c r="N667" s="171"/>
    </row>
    <row r="668" spans="1:14" x14ac:dyDescent="0.2">
      <c r="A668" s="192"/>
      <c r="B668" s="193"/>
      <c r="C668" s="171"/>
      <c r="D668" s="171"/>
      <c r="E668" s="196"/>
      <c r="F668" s="177"/>
      <c r="G668" s="177"/>
      <c r="H668" s="177"/>
      <c r="I668" s="176"/>
      <c r="J668" s="201"/>
      <c r="K668" s="195"/>
      <c r="L668" s="195"/>
      <c r="M668" s="177"/>
      <c r="N668" s="171"/>
    </row>
    <row r="669" spans="1:14" x14ac:dyDescent="0.2">
      <c r="A669" s="192"/>
      <c r="B669" s="193"/>
      <c r="C669" s="171"/>
      <c r="D669" s="171"/>
      <c r="E669" s="196"/>
      <c r="F669" s="177"/>
      <c r="G669" s="177"/>
      <c r="H669" s="177"/>
      <c r="I669" s="176"/>
      <c r="J669" s="201"/>
      <c r="K669" s="195"/>
      <c r="L669" s="195"/>
      <c r="M669" s="177"/>
      <c r="N669" s="171"/>
    </row>
    <row r="670" spans="1:14" x14ac:dyDescent="0.2">
      <c r="A670" s="192"/>
      <c r="B670" s="193"/>
      <c r="C670" s="171"/>
      <c r="D670" s="171"/>
      <c r="E670" s="196"/>
      <c r="F670" s="177"/>
      <c r="G670" s="177"/>
      <c r="H670" s="177"/>
      <c r="I670" s="176"/>
      <c r="J670" s="201"/>
      <c r="K670" s="195"/>
      <c r="L670" s="195"/>
      <c r="M670" s="177"/>
      <c r="N670" s="171"/>
    </row>
    <row r="671" spans="1:14" x14ac:dyDescent="0.2">
      <c r="A671" s="192"/>
      <c r="B671" s="193"/>
      <c r="C671" s="171"/>
      <c r="D671" s="171"/>
      <c r="E671" s="196"/>
      <c r="F671" s="177"/>
      <c r="G671" s="177"/>
      <c r="H671" s="177"/>
      <c r="I671" s="176"/>
      <c r="J671" s="201"/>
      <c r="K671" s="195"/>
      <c r="L671" s="195"/>
      <c r="M671" s="177"/>
      <c r="N671" s="171"/>
    </row>
    <row r="672" spans="1:14" x14ac:dyDescent="0.2">
      <c r="A672" s="192"/>
      <c r="B672" s="193"/>
      <c r="C672" s="171"/>
      <c r="D672" s="171"/>
      <c r="E672" s="196"/>
      <c r="F672" s="177"/>
      <c r="G672" s="177"/>
      <c r="H672" s="177"/>
      <c r="I672" s="176"/>
      <c r="J672" s="201"/>
      <c r="K672" s="195"/>
      <c r="L672" s="195"/>
      <c r="M672" s="177"/>
      <c r="N672" s="171"/>
    </row>
    <row r="673" spans="1:14" x14ac:dyDescent="0.2">
      <c r="A673" s="192"/>
      <c r="B673" s="193"/>
      <c r="C673" s="171"/>
      <c r="D673" s="171"/>
      <c r="E673" s="196"/>
      <c r="F673" s="177"/>
      <c r="G673" s="177"/>
      <c r="H673" s="177"/>
      <c r="I673" s="176"/>
      <c r="J673" s="201"/>
      <c r="K673" s="195"/>
      <c r="L673" s="195"/>
      <c r="M673" s="177"/>
      <c r="N673" s="171"/>
    </row>
    <row r="674" spans="1:14" x14ac:dyDescent="0.2">
      <c r="A674" s="192"/>
      <c r="B674" s="193"/>
      <c r="C674" s="171"/>
      <c r="D674" s="171"/>
      <c r="E674" s="196"/>
      <c r="F674" s="177"/>
      <c r="G674" s="177"/>
      <c r="H674" s="177"/>
      <c r="I674" s="176"/>
      <c r="J674" s="201"/>
      <c r="K674" s="195"/>
      <c r="L674" s="195"/>
      <c r="M674" s="177"/>
      <c r="N674" s="171"/>
    </row>
    <row r="675" spans="1:14" x14ac:dyDescent="0.2">
      <c r="A675" s="192"/>
      <c r="B675" s="193"/>
      <c r="C675" s="171"/>
      <c r="D675" s="171"/>
      <c r="E675" s="196"/>
      <c r="F675" s="177"/>
      <c r="G675" s="177"/>
      <c r="H675" s="177"/>
      <c r="I675" s="176"/>
      <c r="J675" s="201"/>
      <c r="K675" s="195"/>
      <c r="L675" s="195"/>
      <c r="M675" s="177"/>
      <c r="N675" s="171"/>
    </row>
    <row r="676" spans="1:14" x14ac:dyDescent="0.2">
      <c r="A676" s="192"/>
      <c r="B676" s="193"/>
      <c r="C676" s="171"/>
      <c r="D676" s="171"/>
      <c r="E676" s="196"/>
      <c r="F676" s="177"/>
      <c r="G676" s="177"/>
      <c r="H676" s="177"/>
      <c r="I676" s="176"/>
      <c r="J676" s="201"/>
      <c r="K676" s="195"/>
      <c r="L676" s="195"/>
      <c r="M676" s="177"/>
      <c r="N676" s="171"/>
    </row>
    <row r="677" spans="1:14" x14ac:dyDescent="0.2">
      <c r="A677" s="192"/>
      <c r="B677" s="193"/>
      <c r="C677" s="171"/>
      <c r="D677" s="171"/>
      <c r="E677" s="196"/>
      <c r="F677" s="177"/>
      <c r="G677" s="177"/>
      <c r="H677" s="177"/>
      <c r="I677" s="176"/>
      <c r="J677" s="201"/>
      <c r="K677" s="195"/>
      <c r="L677" s="195"/>
      <c r="M677" s="177"/>
      <c r="N677" s="171"/>
    </row>
    <row r="678" spans="1:14" x14ac:dyDescent="0.2">
      <c r="A678" s="192"/>
      <c r="B678" s="193"/>
      <c r="C678" s="171"/>
      <c r="D678" s="171"/>
      <c r="E678" s="196"/>
      <c r="F678" s="177"/>
      <c r="G678" s="177"/>
      <c r="H678" s="177"/>
      <c r="I678" s="176"/>
      <c r="J678" s="201"/>
      <c r="K678" s="195"/>
      <c r="L678" s="195"/>
      <c r="M678" s="177"/>
      <c r="N678" s="171"/>
    </row>
    <row r="679" spans="1:14" x14ac:dyDescent="0.2">
      <c r="A679" s="192"/>
      <c r="B679" s="193"/>
      <c r="C679" s="171"/>
      <c r="D679" s="171"/>
      <c r="E679" s="196"/>
      <c r="F679" s="177"/>
      <c r="G679" s="177"/>
      <c r="H679" s="177"/>
      <c r="I679" s="176"/>
      <c r="J679" s="201"/>
      <c r="K679" s="195"/>
      <c r="L679" s="195"/>
      <c r="M679" s="177"/>
      <c r="N679" s="171"/>
    </row>
    <row r="680" spans="1:14" x14ac:dyDescent="0.2">
      <c r="A680" s="192"/>
      <c r="B680" s="193"/>
      <c r="C680" s="171"/>
      <c r="D680" s="171"/>
      <c r="E680" s="196"/>
      <c r="F680" s="177"/>
      <c r="G680" s="177"/>
      <c r="H680" s="177"/>
      <c r="I680" s="176"/>
      <c r="J680" s="201"/>
      <c r="K680" s="195"/>
      <c r="L680" s="195"/>
      <c r="M680" s="177"/>
      <c r="N680" s="171"/>
    </row>
    <row r="681" spans="1:14" x14ac:dyDescent="0.2">
      <c r="A681" s="192"/>
      <c r="B681" s="193"/>
      <c r="C681" s="171"/>
      <c r="D681" s="171"/>
      <c r="E681" s="196"/>
      <c r="F681" s="177"/>
      <c r="G681" s="177"/>
      <c r="H681" s="177"/>
      <c r="I681" s="176"/>
      <c r="J681" s="201"/>
      <c r="K681" s="195"/>
      <c r="L681" s="195"/>
      <c r="M681" s="177"/>
      <c r="N681" s="171"/>
    </row>
    <row r="682" spans="1:14" x14ac:dyDescent="0.2">
      <c r="A682" s="192"/>
      <c r="B682" s="193"/>
      <c r="C682" s="171"/>
      <c r="D682" s="171"/>
      <c r="E682" s="196"/>
      <c r="F682" s="177"/>
      <c r="G682" s="177"/>
      <c r="H682" s="177"/>
      <c r="I682" s="176"/>
      <c r="J682" s="201"/>
      <c r="K682" s="195"/>
      <c r="L682" s="195"/>
      <c r="M682" s="177"/>
      <c r="N682" s="171"/>
    </row>
    <row r="683" spans="1:14" x14ac:dyDescent="0.2">
      <c r="A683" s="192"/>
      <c r="B683" s="193"/>
      <c r="C683" s="171"/>
      <c r="D683" s="171"/>
      <c r="E683" s="196"/>
      <c r="F683" s="177"/>
      <c r="G683" s="177"/>
      <c r="H683" s="177"/>
      <c r="I683" s="176"/>
      <c r="J683" s="201"/>
      <c r="K683" s="195"/>
      <c r="L683" s="195"/>
      <c r="M683" s="177"/>
      <c r="N683" s="171"/>
    </row>
    <row r="684" spans="1:14" x14ac:dyDescent="0.2">
      <c r="A684" s="192"/>
      <c r="B684" s="193"/>
      <c r="C684" s="171"/>
      <c r="D684" s="171"/>
      <c r="E684" s="196"/>
      <c r="F684" s="177"/>
      <c r="G684" s="177"/>
      <c r="H684" s="177"/>
      <c r="I684" s="176"/>
      <c r="J684" s="201"/>
      <c r="K684" s="195"/>
      <c r="L684" s="195"/>
      <c r="M684" s="177"/>
      <c r="N684" s="171"/>
    </row>
    <row r="685" spans="1:14" x14ac:dyDescent="0.2">
      <c r="A685" s="192"/>
      <c r="B685" s="193"/>
      <c r="C685" s="171"/>
      <c r="D685" s="171"/>
      <c r="E685" s="196"/>
      <c r="F685" s="177"/>
      <c r="G685" s="177"/>
      <c r="H685" s="177"/>
      <c r="I685" s="176"/>
      <c r="J685" s="201"/>
      <c r="K685" s="195"/>
      <c r="L685" s="195"/>
      <c r="M685" s="177"/>
      <c r="N685" s="171"/>
    </row>
    <row r="686" spans="1:14" x14ac:dyDescent="0.2">
      <c r="A686" s="192"/>
      <c r="B686" s="193"/>
      <c r="C686" s="171"/>
      <c r="D686" s="171"/>
      <c r="E686" s="196"/>
      <c r="F686" s="177"/>
      <c r="G686" s="177"/>
      <c r="H686" s="177"/>
      <c r="I686" s="176"/>
      <c r="J686" s="201"/>
      <c r="K686" s="195"/>
      <c r="L686" s="195"/>
      <c r="M686" s="177"/>
      <c r="N686" s="171"/>
    </row>
    <row r="687" spans="1:14" x14ac:dyDescent="0.2">
      <c r="A687" s="192"/>
      <c r="B687" s="193"/>
      <c r="C687" s="171"/>
      <c r="D687" s="171"/>
      <c r="E687" s="196"/>
      <c r="F687" s="177"/>
      <c r="G687" s="177"/>
      <c r="H687" s="177"/>
      <c r="I687" s="176"/>
      <c r="J687" s="201"/>
      <c r="K687" s="195"/>
      <c r="L687" s="195"/>
      <c r="M687" s="177"/>
      <c r="N687" s="171"/>
    </row>
    <row r="688" spans="1:14" x14ac:dyDescent="0.2">
      <c r="A688" s="192"/>
      <c r="B688" s="193"/>
      <c r="C688" s="171"/>
      <c r="D688" s="171"/>
      <c r="E688" s="196"/>
      <c r="F688" s="177"/>
      <c r="G688" s="177"/>
      <c r="H688" s="177"/>
      <c r="I688" s="176"/>
      <c r="J688" s="201"/>
      <c r="K688" s="195"/>
      <c r="L688" s="195"/>
      <c r="M688" s="177"/>
      <c r="N688" s="171"/>
    </row>
    <row r="689" spans="1:14" x14ac:dyDescent="0.2">
      <c r="A689" s="192"/>
      <c r="B689" s="193"/>
      <c r="C689" s="171"/>
      <c r="D689" s="171"/>
      <c r="E689" s="196"/>
      <c r="F689" s="177"/>
      <c r="G689" s="177"/>
      <c r="H689" s="177"/>
      <c r="I689" s="176"/>
      <c r="J689" s="201"/>
      <c r="K689" s="195"/>
      <c r="L689" s="195"/>
      <c r="M689" s="177"/>
      <c r="N689" s="171"/>
    </row>
    <row r="690" spans="1:14" x14ac:dyDescent="0.2">
      <c r="A690" s="192"/>
      <c r="B690" s="193"/>
      <c r="C690" s="171"/>
      <c r="D690" s="171"/>
      <c r="E690" s="196"/>
      <c r="F690" s="177"/>
      <c r="G690" s="177"/>
      <c r="H690" s="177"/>
      <c r="I690" s="176"/>
      <c r="J690" s="201"/>
      <c r="K690" s="195"/>
      <c r="L690" s="195"/>
      <c r="M690" s="177"/>
      <c r="N690" s="171"/>
    </row>
    <row r="691" spans="1:14" x14ac:dyDescent="0.2">
      <c r="A691" s="192"/>
      <c r="B691" s="193"/>
      <c r="C691" s="171"/>
      <c r="D691" s="171"/>
      <c r="E691" s="196"/>
      <c r="F691" s="177"/>
      <c r="G691" s="177"/>
      <c r="H691" s="177"/>
      <c r="I691" s="176"/>
      <c r="J691" s="201"/>
      <c r="K691" s="195"/>
      <c r="L691" s="195"/>
      <c r="M691" s="177"/>
      <c r="N691" s="171"/>
    </row>
    <row r="692" spans="1:14" x14ac:dyDescent="0.2">
      <c r="A692" s="192"/>
      <c r="B692" s="193"/>
      <c r="C692" s="171"/>
      <c r="D692" s="171"/>
      <c r="E692" s="196"/>
      <c r="F692" s="177"/>
      <c r="G692" s="177"/>
      <c r="H692" s="177"/>
      <c r="I692" s="176"/>
      <c r="J692" s="201"/>
      <c r="K692" s="195"/>
      <c r="L692" s="195"/>
      <c r="M692" s="177"/>
      <c r="N692" s="171"/>
    </row>
    <row r="693" spans="1:14" x14ac:dyDescent="0.2">
      <c r="A693" s="192"/>
      <c r="B693" s="193"/>
      <c r="C693" s="171"/>
      <c r="D693" s="171"/>
      <c r="E693" s="196"/>
      <c r="F693" s="177"/>
      <c r="G693" s="177"/>
      <c r="H693" s="177"/>
      <c r="I693" s="176"/>
      <c r="J693" s="201"/>
      <c r="K693" s="195"/>
      <c r="L693" s="195"/>
      <c r="M693" s="177"/>
      <c r="N693" s="171"/>
    </row>
    <row r="694" spans="1:14" x14ac:dyDescent="0.2">
      <c r="A694" s="192"/>
      <c r="B694" s="193"/>
      <c r="C694" s="171"/>
      <c r="D694" s="171"/>
      <c r="E694" s="196"/>
      <c r="F694" s="177"/>
      <c r="G694" s="177"/>
      <c r="H694" s="177"/>
      <c r="I694" s="176"/>
      <c r="J694" s="201"/>
      <c r="K694" s="195"/>
      <c r="L694" s="195"/>
      <c r="M694" s="177"/>
      <c r="N694" s="171"/>
    </row>
    <row r="695" spans="1:14" x14ac:dyDescent="0.2">
      <c r="A695" s="192"/>
      <c r="B695" s="193"/>
      <c r="C695" s="171"/>
      <c r="D695" s="171"/>
      <c r="E695" s="196"/>
      <c r="F695" s="177"/>
      <c r="G695" s="177"/>
      <c r="H695" s="177"/>
      <c r="I695" s="176"/>
      <c r="J695" s="201"/>
      <c r="K695" s="195"/>
      <c r="L695" s="195"/>
      <c r="M695" s="177"/>
      <c r="N695" s="171"/>
    </row>
    <row r="696" spans="1:14" x14ac:dyDescent="0.2">
      <c r="A696" s="192"/>
      <c r="B696" s="193"/>
      <c r="C696" s="171"/>
      <c r="D696" s="171"/>
      <c r="E696" s="196"/>
      <c r="F696" s="177"/>
      <c r="G696" s="177"/>
      <c r="H696" s="177"/>
      <c r="I696" s="176"/>
      <c r="J696" s="201"/>
      <c r="K696" s="195"/>
      <c r="L696" s="195"/>
      <c r="M696" s="177"/>
      <c r="N696" s="171"/>
    </row>
    <row r="697" spans="1:14" x14ac:dyDescent="0.2">
      <c r="A697" s="192"/>
      <c r="B697" s="193"/>
      <c r="C697" s="171"/>
      <c r="D697" s="171"/>
      <c r="E697" s="196"/>
      <c r="F697" s="177"/>
      <c r="G697" s="177"/>
      <c r="H697" s="177"/>
      <c r="I697" s="176"/>
      <c r="J697" s="201"/>
      <c r="K697" s="195"/>
      <c r="L697" s="195"/>
      <c r="M697" s="177"/>
      <c r="N697" s="171"/>
    </row>
    <row r="698" spans="1:14" x14ac:dyDescent="0.2">
      <c r="A698" s="192"/>
      <c r="B698" s="193"/>
      <c r="C698" s="171"/>
      <c r="D698" s="171"/>
      <c r="E698" s="196"/>
      <c r="F698" s="177"/>
      <c r="G698" s="177"/>
      <c r="H698" s="177"/>
      <c r="I698" s="176"/>
      <c r="J698" s="201"/>
      <c r="K698" s="195"/>
      <c r="L698" s="195"/>
      <c r="M698" s="177"/>
      <c r="N698" s="171"/>
    </row>
    <row r="699" spans="1:14" x14ac:dyDescent="0.2">
      <c r="A699" s="192"/>
      <c r="B699" s="193"/>
      <c r="C699" s="171"/>
      <c r="D699" s="171"/>
      <c r="E699" s="196"/>
      <c r="F699" s="177"/>
      <c r="G699" s="177"/>
      <c r="H699" s="177"/>
      <c r="I699" s="176"/>
      <c r="J699" s="201"/>
      <c r="K699" s="195"/>
      <c r="L699" s="195"/>
      <c r="M699" s="177"/>
      <c r="N699" s="171"/>
    </row>
    <row r="700" spans="1:14" x14ac:dyDescent="0.2">
      <c r="A700" s="192"/>
      <c r="B700" s="193"/>
      <c r="C700" s="171"/>
      <c r="D700" s="171"/>
      <c r="E700" s="196"/>
      <c r="F700" s="177"/>
      <c r="G700" s="177"/>
      <c r="H700" s="177"/>
      <c r="I700" s="176"/>
      <c r="J700" s="201"/>
      <c r="K700" s="195"/>
      <c r="L700" s="195"/>
      <c r="M700" s="177"/>
      <c r="N700" s="171"/>
    </row>
    <row r="701" spans="1:14" x14ac:dyDescent="0.2">
      <c r="A701" s="192"/>
      <c r="B701" s="193"/>
      <c r="C701" s="171"/>
      <c r="D701" s="171"/>
      <c r="E701" s="196"/>
      <c r="F701" s="177"/>
      <c r="G701" s="177"/>
      <c r="H701" s="177"/>
      <c r="I701" s="176"/>
      <c r="J701" s="201"/>
      <c r="K701" s="195"/>
      <c r="L701" s="195"/>
      <c r="M701" s="177"/>
      <c r="N701" s="171"/>
    </row>
    <row r="702" spans="1:14" x14ac:dyDescent="0.2">
      <c r="A702" s="192"/>
      <c r="B702" s="193"/>
      <c r="C702" s="171"/>
      <c r="D702" s="171"/>
      <c r="E702" s="196"/>
      <c r="F702" s="177"/>
      <c r="G702" s="177"/>
      <c r="H702" s="177"/>
      <c r="I702" s="176"/>
      <c r="J702" s="201"/>
      <c r="K702" s="195"/>
      <c r="L702" s="195"/>
      <c r="M702" s="177"/>
      <c r="N702" s="171"/>
    </row>
    <row r="703" spans="1:14" x14ac:dyDescent="0.2">
      <c r="A703" s="192"/>
      <c r="B703" s="193"/>
      <c r="C703" s="171"/>
      <c r="D703" s="171"/>
      <c r="E703" s="196"/>
      <c r="F703" s="177"/>
      <c r="G703" s="177"/>
      <c r="H703" s="177"/>
      <c r="I703" s="176"/>
      <c r="J703" s="201"/>
      <c r="K703" s="195"/>
      <c r="L703" s="195"/>
      <c r="M703" s="177"/>
      <c r="N703" s="171"/>
    </row>
    <row r="704" spans="1:14" x14ac:dyDescent="0.2">
      <c r="A704" s="192"/>
      <c r="B704" s="193"/>
      <c r="C704" s="171"/>
      <c r="D704" s="171"/>
      <c r="E704" s="196"/>
      <c r="F704" s="177"/>
      <c r="G704" s="177"/>
      <c r="H704" s="177"/>
      <c r="I704" s="176"/>
      <c r="J704" s="201"/>
      <c r="K704" s="195"/>
      <c r="L704" s="195"/>
      <c r="M704" s="177"/>
      <c r="N704" s="171"/>
    </row>
    <row r="705" spans="1:14" x14ac:dyDescent="0.2">
      <c r="A705" s="192"/>
      <c r="B705" s="193"/>
      <c r="C705" s="171"/>
      <c r="D705" s="171"/>
      <c r="E705" s="196"/>
      <c r="F705" s="177"/>
      <c r="G705" s="177"/>
      <c r="H705" s="177"/>
      <c r="I705" s="176"/>
      <c r="J705" s="201"/>
      <c r="K705" s="195"/>
      <c r="L705" s="195"/>
      <c r="M705" s="177"/>
      <c r="N705" s="171"/>
    </row>
    <row r="706" spans="1:14" x14ac:dyDescent="0.2">
      <c r="A706" s="192"/>
      <c r="B706" s="193"/>
      <c r="C706" s="171"/>
      <c r="D706" s="171"/>
      <c r="E706" s="196"/>
      <c r="F706" s="177"/>
      <c r="G706" s="177"/>
      <c r="H706" s="177"/>
      <c r="I706" s="176"/>
      <c r="J706" s="201"/>
      <c r="K706" s="195"/>
      <c r="L706" s="195"/>
      <c r="M706" s="177"/>
      <c r="N706" s="171"/>
    </row>
    <row r="707" spans="1:14" x14ac:dyDescent="0.2">
      <c r="A707" s="192"/>
      <c r="B707" s="193"/>
      <c r="C707" s="171"/>
      <c r="D707" s="171"/>
      <c r="E707" s="196"/>
      <c r="F707" s="177"/>
      <c r="G707" s="177"/>
      <c r="H707" s="177"/>
      <c r="I707" s="176"/>
      <c r="J707" s="201"/>
      <c r="K707" s="195"/>
      <c r="L707" s="195"/>
      <c r="M707" s="177"/>
      <c r="N707" s="171"/>
    </row>
    <row r="708" spans="1:14" x14ac:dyDescent="0.2">
      <c r="A708" s="192"/>
      <c r="B708" s="193"/>
      <c r="C708" s="171"/>
      <c r="D708" s="171"/>
      <c r="E708" s="196"/>
      <c r="F708" s="177"/>
      <c r="G708" s="177"/>
      <c r="H708" s="177"/>
      <c r="I708" s="176"/>
      <c r="J708" s="201"/>
      <c r="K708" s="195"/>
      <c r="L708" s="195"/>
      <c r="M708" s="177"/>
      <c r="N708" s="171"/>
    </row>
    <row r="709" spans="1:14" x14ac:dyDescent="0.2">
      <c r="A709" s="192"/>
      <c r="B709" s="193"/>
      <c r="C709" s="171"/>
      <c r="D709" s="171"/>
      <c r="E709" s="196"/>
      <c r="F709" s="177"/>
      <c r="G709" s="177"/>
      <c r="H709" s="177"/>
      <c r="I709" s="176"/>
      <c r="J709" s="201"/>
      <c r="K709" s="195"/>
      <c r="L709" s="195"/>
      <c r="M709" s="177"/>
      <c r="N709" s="171"/>
    </row>
    <row r="710" spans="1:14" x14ac:dyDescent="0.2">
      <c r="A710" s="192"/>
      <c r="B710" s="193"/>
      <c r="C710" s="171"/>
      <c r="D710" s="171"/>
      <c r="E710" s="196"/>
      <c r="F710" s="177"/>
      <c r="G710" s="177"/>
      <c r="H710" s="177"/>
      <c r="I710" s="176"/>
      <c r="J710" s="201"/>
      <c r="K710" s="195"/>
      <c r="L710" s="195"/>
      <c r="M710" s="177"/>
      <c r="N710" s="171"/>
    </row>
    <row r="711" spans="1:14" x14ac:dyDescent="0.2">
      <c r="A711" s="192"/>
      <c r="B711" s="193"/>
      <c r="C711" s="171"/>
      <c r="D711" s="171"/>
      <c r="E711" s="196"/>
      <c r="F711" s="177"/>
      <c r="G711" s="177"/>
      <c r="H711" s="177"/>
      <c r="I711" s="176"/>
      <c r="J711" s="201"/>
      <c r="K711" s="195"/>
      <c r="L711" s="195"/>
      <c r="M711" s="177"/>
      <c r="N711" s="171"/>
    </row>
    <row r="712" spans="1:14" x14ac:dyDescent="0.2">
      <c r="A712" s="192"/>
      <c r="B712" s="193"/>
      <c r="C712" s="171"/>
      <c r="D712" s="171"/>
      <c r="E712" s="196"/>
      <c r="F712" s="177"/>
      <c r="G712" s="177"/>
      <c r="H712" s="177"/>
      <c r="I712" s="176"/>
      <c r="J712" s="201"/>
      <c r="K712" s="195"/>
      <c r="L712" s="195"/>
      <c r="M712" s="177"/>
      <c r="N712" s="171"/>
    </row>
    <row r="713" spans="1:14" x14ac:dyDescent="0.2">
      <c r="A713" s="192"/>
      <c r="B713" s="193"/>
      <c r="C713" s="171"/>
      <c r="D713" s="171"/>
      <c r="E713" s="196"/>
      <c r="F713" s="177"/>
      <c r="G713" s="177"/>
      <c r="H713" s="177"/>
      <c r="I713" s="176"/>
      <c r="J713" s="201"/>
      <c r="K713" s="195"/>
      <c r="L713" s="195"/>
      <c r="M713" s="177"/>
      <c r="N713" s="171"/>
    </row>
    <row r="714" spans="1:14" x14ac:dyDescent="0.2">
      <c r="A714" s="192"/>
      <c r="B714" s="193"/>
      <c r="C714" s="171"/>
      <c r="D714" s="171"/>
      <c r="E714" s="196"/>
      <c r="F714" s="177"/>
      <c r="G714" s="177"/>
      <c r="H714" s="177"/>
      <c r="I714" s="176"/>
      <c r="J714" s="201"/>
      <c r="K714" s="195"/>
      <c r="L714" s="195"/>
      <c r="M714" s="177"/>
      <c r="N714" s="171"/>
    </row>
    <row r="715" spans="1:14" x14ac:dyDescent="0.2">
      <c r="A715" s="192"/>
      <c r="B715" s="193"/>
      <c r="C715" s="171"/>
      <c r="D715" s="171"/>
      <c r="E715" s="196"/>
      <c r="F715" s="177"/>
      <c r="G715" s="177"/>
      <c r="H715" s="177"/>
      <c r="I715" s="176"/>
      <c r="J715" s="201"/>
      <c r="K715" s="195"/>
      <c r="L715" s="195"/>
      <c r="M715" s="177"/>
      <c r="N715" s="171"/>
    </row>
    <row r="716" spans="1:14" x14ac:dyDescent="0.2">
      <c r="A716" s="192"/>
      <c r="B716" s="193"/>
      <c r="C716" s="171"/>
      <c r="D716" s="171"/>
      <c r="E716" s="196"/>
      <c r="F716" s="177"/>
      <c r="G716" s="177"/>
      <c r="H716" s="177"/>
      <c r="I716" s="176"/>
      <c r="J716" s="201"/>
      <c r="K716" s="195"/>
      <c r="L716" s="195"/>
      <c r="M716" s="177"/>
      <c r="N716" s="171"/>
    </row>
    <row r="717" spans="1:14" x14ac:dyDescent="0.2">
      <c r="A717" s="192"/>
      <c r="B717" s="193"/>
      <c r="C717" s="171"/>
      <c r="D717" s="171"/>
      <c r="E717" s="196"/>
      <c r="F717" s="177"/>
      <c r="G717" s="177"/>
      <c r="H717" s="177"/>
      <c r="I717" s="176"/>
      <c r="J717" s="201"/>
      <c r="K717" s="195"/>
      <c r="L717" s="195"/>
      <c r="M717" s="177"/>
      <c r="N717" s="171"/>
    </row>
    <row r="718" spans="1:14" x14ac:dyDescent="0.2">
      <c r="A718" s="192"/>
      <c r="B718" s="193"/>
      <c r="C718" s="171"/>
      <c r="D718" s="171"/>
      <c r="E718" s="196"/>
      <c r="F718" s="177"/>
      <c r="G718" s="177"/>
      <c r="H718" s="177"/>
      <c r="I718" s="176"/>
      <c r="J718" s="201"/>
      <c r="K718" s="195"/>
      <c r="L718" s="195"/>
      <c r="M718" s="177"/>
      <c r="N718" s="171"/>
    </row>
    <row r="719" spans="1:14" x14ac:dyDescent="0.2">
      <c r="A719" s="192"/>
      <c r="B719" s="193"/>
      <c r="C719" s="171"/>
      <c r="D719" s="171"/>
      <c r="E719" s="196"/>
      <c r="F719" s="177"/>
      <c r="G719" s="177"/>
      <c r="H719" s="177"/>
      <c r="I719" s="176"/>
      <c r="J719" s="201"/>
      <c r="K719" s="195"/>
      <c r="L719" s="195"/>
      <c r="M719" s="177"/>
      <c r="N719" s="171"/>
    </row>
    <row r="720" spans="1:14" x14ac:dyDescent="0.2">
      <c r="A720" s="192"/>
      <c r="B720" s="193"/>
      <c r="C720" s="171"/>
      <c r="D720" s="171"/>
      <c r="E720" s="196"/>
      <c r="F720" s="177"/>
      <c r="G720" s="177"/>
      <c r="H720" s="177"/>
      <c r="I720" s="176"/>
      <c r="J720" s="201"/>
      <c r="K720" s="195"/>
      <c r="L720" s="195"/>
      <c r="M720" s="177"/>
      <c r="N720" s="171"/>
    </row>
    <row r="721" spans="1:14" x14ac:dyDescent="0.2">
      <c r="A721" s="192"/>
      <c r="B721" s="193"/>
      <c r="C721" s="171"/>
      <c r="D721" s="171"/>
      <c r="E721" s="196"/>
      <c r="F721" s="177"/>
      <c r="G721" s="177"/>
      <c r="H721" s="177"/>
      <c r="I721" s="176"/>
      <c r="J721" s="201"/>
      <c r="K721" s="195"/>
      <c r="L721" s="195"/>
      <c r="M721" s="177"/>
      <c r="N721" s="171"/>
    </row>
    <row r="722" spans="1:14" x14ac:dyDescent="0.2">
      <c r="A722" s="192"/>
      <c r="B722" s="193"/>
      <c r="C722" s="171"/>
      <c r="D722" s="171"/>
      <c r="E722" s="196"/>
      <c r="F722" s="177"/>
      <c r="G722" s="177"/>
      <c r="H722" s="177"/>
      <c r="I722" s="176"/>
      <c r="J722" s="201"/>
      <c r="K722" s="195"/>
      <c r="L722" s="195"/>
      <c r="M722" s="177"/>
      <c r="N722" s="171"/>
    </row>
    <row r="723" spans="1:14" x14ac:dyDescent="0.2">
      <c r="A723" s="192"/>
      <c r="B723" s="193"/>
      <c r="C723" s="171"/>
      <c r="D723" s="171"/>
      <c r="E723" s="196"/>
      <c r="F723" s="177"/>
      <c r="G723" s="177"/>
      <c r="H723" s="177"/>
      <c r="I723" s="176"/>
      <c r="J723" s="201"/>
      <c r="K723" s="195"/>
      <c r="L723" s="195"/>
      <c r="M723" s="177"/>
      <c r="N723" s="171"/>
    </row>
    <row r="724" spans="1:14" x14ac:dyDescent="0.2">
      <c r="A724" s="192"/>
      <c r="B724" s="193"/>
      <c r="C724" s="171"/>
      <c r="D724" s="171"/>
      <c r="E724" s="196"/>
      <c r="F724" s="177"/>
      <c r="G724" s="177"/>
      <c r="H724" s="177"/>
      <c r="I724" s="176"/>
      <c r="J724" s="201"/>
      <c r="K724" s="195"/>
      <c r="L724" s="195"/>
      <c r="M724" s="177"/>
      <c r="N724" s="171"/>
    </row>
    <row r="725" spans="1:14" x14ac:dyDescent="0.2">
      <c r="A725" s="192"/>
      <c r="B725" s="193"/>
      <c r="C725" s="171"/>
      <c r="D725" s="171"/>
      <c r="E725" s="196"/>
      <c r="F725" s="177"/>
      <c r="G725" s="177"/>
      <c r="H725" s="177"/>
      <c r="I725" s="176"/>
      <c r="J725" s="201"/>
      <c r="K725" s="195"/>
      <c r="L725" s="195"/>
      <c r="M725" s="177"/>
      <c r="N725" s="171"/>
    </row>
    <row r="726" spans="1:14" x14ac:dyDescent="0.2">
      <c r="A726" s="192"/>
      <c r="B726" s="193"/>
      <c r="C726" s="171"/>
      <c r="D726" s="171"/>
      <c r="E726" s="196"/>
      <c r="F726" s="177"/>
      <c r="G726" s="177"/>
      <c r="H726" s="177"/>
      <c r="I726" s="176"/>
      <c r="J726" s="201"/>
      <c r="K726" s="195"/>
      <c r="L726" s="195"/>
      <c r="M726" s="177"/>
      <c r="N726" s="171"/>
    </row>
    <row r="727" spans="1:14" x14ac:dyDescent="0.2">
      <c r="A727" s="192"/>
      <c r="B727" s="193"/>
      <c r="C727" s="171"/>
      <c r="D727" s="171"/>
      <c r="E727" s="196"/>
      <c r="F727" s="177"/>
      <c r="G727" s="177"/>
      <c r="H727" s="177"/>
      <c r="I727" s="176"/>
      <c r="J727" s="201"/>
      <c r="K727" s="195"/>
      <c r="L727" s="195"/>
      <c r="M727" s="177"/>
      <c r="N727" s="171"/>
    </row>
    <row r="728" spans="1:14" x14ac:dyDescent="0.2">
      <c r="A728" s="192"/>
      <c r="B728" s="193"/>
      <c r="C728" s="171"/>
      <c r="D728" s="171"/>
      <c r="E728" s="196"/>
      <c r="F728" s="177"/>
      <c r="G728" s="177"/>
      <c r="H728" s="177"/>
      <c r="I728" s="176"/>
      <c r="J728" s="201"/>
      <c r="K728" s="195"/>
      <c r="L728" s="195"/>
      <c r="M728" s="177"/>
      <c r="N728" s="171"/>
    </row>
    <row r="729" spans="1:14" x14ac:dyDescent="0.2">
      <c r="A729" s="192"/>
      <c r="B729" s="193"/>
      <c r="C729" s="171"/>
      <c r="D729" s="171"/>
      <c r="E729" s="196"/>
      <c r="F729" s="177"/>
      <c r="G729" s="177"/>
      <c r="H729" s="177"/>
      <c r="I729" s="176"/>
      <c r="J729" s="201"/>
      <c r="K729" s="195"/>
      <c r="L729" s="195"/>
      <c r="M729" s="177"/>
      <c r="N729" s="171"/>
    </row>
    <row r="730" spans="1:14" x14ac:dyDescent="0.2">
      <c r="A730" s="192"/>
      <c r="B730" s="193"/>
      <c r="C730" s="171"/>
      <c r="D730" s="171"/>
      <c r="E730" s="196"/>
      <c r="F730" s="177"/>
      <c r="G730" s="177"/>
      <c r="H730" s="177"/>
      <c r="I730" s="176"/>
      <c r="J730" s="201"/>
      <c r="K730" s="195"/>
      <c r="L730" s="195"/>
      <c r="M730" s="177"/>
      <c r="N730" s="171"/>
    </row>
    <row r="731" spans="1:14" x14ac:dyDescent="0.2">
      <c r="A731" s="192"/>
      <c r="B731" s="193"/>
      <c r="C731" s="171"/>
      <c r="D731" s="171"/>
      <c r="E731" s="196"/>
      <c r="F731" s="177"/>
      <c r="G731" s="177"/>
      <c r="H731" s="177"/>
      <c r="I731" s="176"/>
      <c r="J731" s="201"/>
      <c r="K731" s="195"/>
      <c r="L731" s="195"/>
      <c r="M731" s="177"/>
      <c r="N731" s="171"/>
    </row>
    <row r="732" spans="1:14" x14ac:dyDescent="0.2">
      <c r="A732" s="192"/>
      <c r="B732" s="193"/>
      <c r="C732" s="171"/>
      <c r="D732" s="171"/>
      <c r="E732" s="196"/>
      <c r="F732" s="177"/>
      <c r="G732" s="177"/>
      <c r="H732" s="177"/>
      <c r="I732" s="176"/>
      <c r="J732" s="201"/>
      <c r="K732" s="195"/>
      <c r="L732" s="195"/>
      <c r="M732" s="177"/>
      <c r="N732" s="171"/>
    </row>
    <row r="733" spans="1:14" x14ac:dyDescent="0.2">
      <c r="A733" s="192"/>
      <c r="B733" s="193"/>
      <c r="C733" s="171"/>
      <c r="D733" s="171"/>
      <c r="E733" s="196"/>
      <c r="F733" s="177"/>
      <c r="G733" s="177"/>
      <c r="H733" s="177"/>
      <c r="I733" s="176"/>
      <c r="J733" s="201"/>
      <c r="K733" s="195"/>
      <c r="L733" s="195"/>
      <c r="M733" s="177"/>
      <c r="N733" s="171"/>
    </row>
    <row r="734" spans="1:14" x14ac:dyDescent="0.2">
      <c r="A734" s="192"/>
      <c r="B734" s="193"/>
      <c r="C734" s="171"/>
      <c r="D734" s="171"/>
      <c r="E734" s="196"/>
      <c r="F734" s="177"/>
      <c r="G734" s="177"/>
      <c r="H734" s="177"/>
      <c r="I734" s="176"/>
      <c r="J734" s="201"/>
      <c r="K734" s="195"/>
      <c r="L734" s="195"/>
      <c r="M734" s="177"/>
      <c r="N734" s="171"/>
    </row>
    <row r="735" spans="1:14" x14ac:dyDescent="0.2">
      <c r="A735" s="192"/>
      <c r="B735" s="193"/>
      <c r="C735" s="171"/>
      <c r="D735" s="171"/>
      <c r="E735" s="196"/>
      <c r="F735" s="177"/>
      <c r="G735" s="177"/>
      <c r="H735" s="177"/>
      <c r="I735" s="176"/>
      <c r="J735" s="201"/>
      <c r="K735" s="195"/>
      <c r="L735" s="195"/>
      <c r="M735" s="177"/>
      <c r="N735" s="171"/>
    </row>
    <row r="736" spans="1:14" x14ac:dyDescent="0.2">
      <c r="A736" s="192"/>
      <c r="B736" s="193"/>
      <c r="C736" s="171"/>
      <c r="D736" s="171"/>
      <c r="E736" s="196"/>
      <c r="F736" s="177"/>
      <c r="G736" s="177"/>
      <c r="H736" s="177"/>
      <c r="I736" s="176"/>
      <c r="J736" s="201"/>
      <c r="K736" s="195"/>
      <c r="L736" s="195"/>
      <c r="M736" s="177"/>
      <c r="N736" s="171"/>
    </row>
    <row r="737" spans="1:14" x14ac:dyDescent="0.2">
      <c r="A737" s="192"/>
      <c r="B737" s="193"/>
      <c r="C737" s="171"/>
      <c r="D737" s="171"/>
      <c r="E737" s="196"/>
      <c r="F737" s="177"/>
      <c r="G737" s="177"/>
      <c r="H737" s="177"/>
      <c r="I737" s="176"/>
      <c r="J737" s="201"/>
      <c r="K737" s="195"/>
      <c r="L737" s="195"/>
      <c r="M737" s="177"/>
      <c r="N737" s="171"/>
    </row>
    <row r="738" spans="1:14" x14ac:dyDescent="0.2">
      <c r="A738" s="192"/>
      <c r="B738" s="193"/>
      <c r="C738" s="171"/>
      <c r="D738" s="171"/>
      <c r="E738" s="196"/>
      <c r="F738" s="177"/>
      <c r="G738" s="177"/>
      <c r="H738" s="177"/>
      <c r="I738" s="176"/>
      <c r="J738" s="201"/>
      <c r="K738" s="195"/>
      <c r="L738" s="195"/>
      <c r="M738" s="177"/>
      <c r="N738" s="171"/>
    </row>
    <row r="739" spans="1:14" x14ac:dyDescent="0.2">
      <c r="A739" s="192"/>
      <c r="B739" s="193"/>
      <c r="C739" s="171"/>
      <c r="D739" s="171"/>
      <c r="E739" s="196"/>
      <c r="F739" s="177"/>
      <c r="G739" s="177"/>
      <c r="H739" s="177"/>
      <c r="I739" s="176"/>
      <c r="J739" s="201"/>
      <c r="K739" s="195"/>
      <c r="L739" s="195"/>
      <c r="M739" s="177"/>
      <c r="N739" s="171"/>
    </row>
    <row r="740" spans="1:14" x14ac:dyDescent="0.2">
      <c r="A740" s="192"/>
      <c r="B740" s="193"/>
      <c r="C740" s="171"/>
      <c r="D740" s="171"/>
      <c r="E740" s="196"/>
      <c r="F740" s="177"/>
      <c r="G740" s="177"/>
      <c r="H740" s="177"/>
      <c r="I740" s="176"/>
      <c r="J740" s="201"/>
      <c r="K740" s="195"/>
      <c r="L740" s="195"/>
      <c r="M740" s="177"/>
      <c r="N740" s="171"/>
    </row>
    <row r="741" spans="1:14" x14ac:dyDescent="0.2">
      <c r="A741" s="192"/>
      <c r="B741" s="193"/>
      <c r="C741" s="171"/>
      <c r="D741" s="171"/>
      <c r="E741" s="196"/>
      <c r="F741" s="177"/>
      <c r="G741" s="177"/>
      <c r="H741" s="177"/>
      <c r="I741" s="176"/>
      <c r="J741" s="201"/>
      <c r="K741" s="195"/>
      <c r="L741" s="195"/>
      <c r="M741" s="177"/>
      <c r="N741" s="171"/>
    </row>
    <row r="742" spans="1:14" x14ac:dyDescent="0.2">
      <c r="A742" s="192"/>
      <c r="B742" s="193"/>
      <c r="C742" s="171"/>
      <c r="D742" s="171"/>
      <c r="E742" s="196"/>
      <c r="F742" s="177"/>
      <c r="G742" s="177"/>
      <c r="H742" s="177"/>
      <c r="I742" s="176"/>
      <c r="J742" s="201"/>
      <c r="K742" s="195"/>
      <c r="L742" s="195"/>
      <c r="M742" s="177"/>
      <c r="N742" s="171"/>
    </row>
    <row r="743" spans="1:14" x14ac:dyDescent="0.2">
      <c r="A743" s="192"/>
      <c r="B743" s="193"/>
      <c r="C743" s="171"/>
      <c r="D743" s="171"/>
      <c r="E743" s="196"/>
      <c r="F743" s="177"/>
      <c r="G743" s="177"/>
      <c r="H743" s="177"/>
      <c r="I743" s="176"/>
      <c r="J743" s="201"/>
      <c r="K743" s="195"/>
      <c r="L743" s="195"/>
      <c r="M743" s="177"/>
      <c r="N743" s="171"/>
    </row>
    <row r="744" spans="1:14" x14ac:dyDescent="0.2">
      <c r="A744" s="192"/>
      <c r="B744" s="193"/>
      <c r="C744" s="171"/>
      <c r="D744" s="171"/>
      <c r="E744" s="196"/>
      <c r="F744" s="177"/>
      <c r="G744" s="177"/>
      <c r="H744" s="177"/>
      <c r="I744" s="176"/>
      <c r="J744" s="201"/>
      <c r="K744" s="195"/>
      <c r="L744" s="195"/>
      <c r="M744" s="177"/>
      <c r="N744" s="171"/>
    </row>
    <row r="745" spans="1:14" x14ac:dyDescent="0.2">
      <c r="A745" s="192"/>
      <c r="B745" s="193"/>
      <c r="C745" s="171"/>
      <c r="D745" s="171"/>
      <c r="E745" s="196"/>
      <c r="F745" s="177"/>
      <c r="G745" s="177"/>
      <c r="H745" s="177"/>
      <c r="I745" s="176"/>
      <c r="J745" s="201"/>
      <c r="K745" s="195"/>
      <c r="L745" s="195"/>
      <c r="M745" s="177"/>
      <c r="N745" s="171"/>
    </row>
    <row r="746" spans="1:14" x14ac:dyDescent="0.2">
      <c r="A746" s="192"/>
      <c r="B746" s="193"/>
      <c r="C746" s="171"/>
      <c r="D746" s="171"/>
      <c r="E746" s="196"/>
      <c r="F746" s="177"/>
      <c r="G746" s="177"/>
      <c r="H746" s="177"/>
      <c r="I746" s="176"/>
      <c r="J746" s="201"/>
      <c r="K746" s="195"/>
      <c r="L746" s="195"/>
      <c r="M746" s="177"/>
      <c r="N746" s="171"/>
    </row>
    <row r="747" spans="1:14" x14ac:dyDescent="0.2">
      <c r="A747" s="192"/>
      <c r="B747" s="193"/>
      <c r="C747" s="171"/>
      <c r="D747" s="171"/>
      <c r="E747" s="196"/>
      <c r="F747" s="177"/>
      <c r="G747" s="177"/>
      <c r="H747" s="177"/>
      <c r="I747" s="176"/>
      <c r="J747" s="201"/>
      <c r="K747" s="195"/>
      <c r="L747" s="195"/>
      <c r="M747" s="177"/>
      <c r="N747" s="171"/>
    </row>
    <row r="748" spans="1:14" x14ac:dyDescent="0.2">
      <c r="A748" s="192"/>
      <c r="B748" s="193"/>
      <c r="C748" s="171"/>
      <c r="D748" s="171"/>
      <c r="E748" s="196"/>
      <c r="F748" s="177"/>
      <c r="G748" s="177"/>
      <c r="H748" s="177"/>
      <c r="I748" s="176"/>
      <c r="J748" s="201"/>
      <c r="K748" s="195"/>
      <c r="L748" s="195"/>
      <c r="M748" s="177"/>
      <c r="N748" s="171"/>
    </row>
    <row r="749" spans="1:14" x14ac:dyDescent="0.2">
      <c r="A749" s="192"/>
      <c r="B749" s="193"/>
      <c r="C749" s="171"/>
      <c r="D749" s="171"/>
      <c r="E749" s="196"/>
      <c r="F749" s="177"/>
      <c r="G749" s="177"/>
      <c r="H749" s="177"/>
      <c r="I749" s="176"/>
      <c r="J749" s="201"/>
      <c r="K749" s="195"/>
      <c r="L749" s="195"/>
      <c r="M749" s="177"/>
      <c r="N749" s="171"/>
    </row>
    <row r="750" spans="1:14" x14ac:dyDescent="0.2">
      <c r="A750" s="192"/>
      <c r="B750" s="193"/>
      <c r="C750" s="171"/>
      <c r="D750" s="171"/>
      <c r="E750" s="196"/>
      <c r="F750" s="177"/>
      <c r="G750" s="177"/>
      <c r="H750" s="177"/>
      <c r="I750" s="176"/>
      <c r="J750" s="201"/>
      <c r="K750" s="195"/>
      <c r="L750" s="195"/>
      <c r="M750" s="177"/>
      <c r="N750" s="171"/>
    </row>
    <row r="751" spans="1:14" x14ac:dyDescent="0.2">
      <c r="A751" s="192"/>
      <c r="B751" s="193"/>
      <c r="C751" s="171"/>
      <c r="D751" s="171"/>
      <c r="E751" s="196"/>
      <c r="F751" s="177"/>
      <c r="G751" s="177"/>
      <c r="H751" s="177"/>
      <c r="I751" s="176"/>
      <c r="J751" s="201"/>
      <c r="K751" s="195"/>
      <c r="L751" s="195"/>
      <c r="M751" s="177"/>
      <c r="N751" s="171"/>
    </row>
    <row r="752" spans="1:14" x14ac:dyDescent="0.2">
      <c r="A752" s="192"/>
      <c r="B752" s="193"/>
      <c r="C752" s="171"/>
      <c r="D752" s="171"/>
      <c r="E752" s="196"/>
      <c r="F752" s="177"/>
      <c r="G752" s="177"/>
      <c r="H752" s="177"/>
      <c r="I752" s="176"/>
      <c r="J752" s="201"/>
      <c r="K752" s="195"/>
      <c r="L752" s="195"/>
      <c r="M752" s="177"/>
      <c r="N752" s="171"/>
    </row>
    <row r="753" spans="1:14" x14ac:dyDescent="0.2">
      <c r="A753" s="192"/>
      <c r="B753" s="193"/>
      <c r="C753" s="171"/>
      <c r="D753" s="171"/>
      <c r="E753" s="196"/>
      <c r="F753" s="177"/>
      <c r="G753" s="177"/>
      <c r="H753" s="177"/>
      <c r="I753" s="176"/>
      <c r="J753" s="201"/>
      <c r="K753" s="195"/>
      <c r="L753" s="195"/>
      <c r="M753" s="177"/>
      <c r="N753" s="171"/>
    </row>
    <row r="754" spans="1:14" x14ac:dyDescent="0.2">
      <c r="A754" s="192"/>
      <c r="B754" s="193"/>
      <c r="C754" s="171"/>
      <c r="D754" s="171"/>
      <c r="E754" s="196"/>
      <c r="F754" s="177"/>
      <c r="G754" s="177"/>
      <c r="H754" s="177"/>
      <c r="I754" s="176"/>
      <c r="J754" s="201"/>
      <c r="K754" s="195"/>
      <c r="L754" s="195"/>
      <c r="M754" s="177"/>
      <c r="N754" s="171"/>
    </row>
    <row r="755" spans="1:14" x14ac:dyDescent="0.2">
      <c r="A755" s="192"/>
      <c r="B755" s="193"/>
      <c r="C755" s="171"/>
      <c r="D755" s="171"/>
      <c r="E755" s="196"/>
      <c r="F755" s="177"/>
      <c r="G755" s="177"/>
      <c r="H755" s="177"/>
      <c r="I755" s="176"/>
      <c r="J755" s="201"/>
      <c r="K755" s="195"/>
      <c r="L755" s="195"/>
      <c r="M755" s="177"/>
      <c r="N755" s="171"/>
    </row>
    <row r="756" spans="1:14" x14ac:dyDescent="0.2">
      <c r="A756" s="192"/>
      <c r="B756" s="193"/>
      <c r="C756" s="171"/>
      <c r="D756" s="171"/>
      <c r="E756" s="196"/>
      <c r="F756" s="177"/>
      <c r="G756" s="177"/>
      <c r="H756" s="177"/>
      <c r="I756" s="176"/>
      <c r="J756" s="201"/>
      <c r="K756" s="195"/>
      <c r="L756" s="195"/>
      <c r="M756" s="177"/>
      <c r="N756" s="171"/>
    </row>
    <row r="757" spans="1:14" x14ac:dyDescent="0.2">
      <c r="A757" s="192"/>
      <c r="B757" s="193"/>
      <c r="C757" s="171"/>
      <c r="D757" s="171"/>
      <c r="E757" s="196"/>
      <c r="F757" s="177"/>
      <c r="G757" s="177"/>
      <c r="H757" s="177"/>
      <c r="I757" s="176"/>
      <c r="J757" s="201"/>
      <c r="K757" s="195"/>
      <c r="L757" s="195"/>
      <c r="M757" s="177"/>
      <c r="N757" s="171"/>
    </row>
    <row r="758" spans="1:14" x14ac:dyDescent="0.2">
      <c r="A758" s="192"/>
      <c r="B758" s="193"/>
      <c r="C758" s="171"/>
      <c r="D758" s="171"/>
      <c r="E758" s="196"/>
      <c r="F758" s="177"/>
      <c r="G758" s="177"/>
      <c r="H758" s="177"/>
      <c r="I758" s="176"/>
      <c r="J758" s="201"/>
      <c r="K758" s="195"/>
      <c r="L758" s="195"/>
      <c r="M758" s="177"/>
      <c r="N758" s="171"/>
    </row>
    <row r="759" spans="1:14" x14ac:dyDescent="0.2">
      <c r="A759" s="192"/>
      <c r="B759" s="193"/>
      <c r="C759" s="171"/>
      <c r="D759" s="171"/>
      <c r="E759" s="196"/>
      <c r="F759" s="177"/>
      <c r="G759" s="177"/>
      <c r="H759" s="177"/>
      <c r="I759" s="176"/>
      <c r="J759" s="201"/>
      <c r="K759" s="195"/>
      <c r="L759" s="195"/>
      <c r="M759" s="177"/>
      <c r="N759" s="171"/>
    </row>
    <row r="760" spans="1:14" x14ac:dyDescent="0.2">
      <c r="A760" s="192"/>
      <c r="B760" s="193"/>
      <c r="C760" s="171"/>
      <c r="D760" s="171"/>
      <c r="E760" s="196"/>
      <c r="F760" s="177"/>
      <c r="G760" s="177"/>
      <c r="H760" s="177"/>
      <c r="I760" s="176"/>
      <c r="J760" s="201"/>
      <c r="K760" s="195"/>
      <c r="L760" s="195"/>
      <c r="M760" s="177"/>
      <c r="N760" s="171"/>
    </row>
    <row r="761" spans="1:14" x14ac:dyDescent="0.2">
      <c r="A761" s="192"/>
      <c r="B761" s="193"/>
      <c r="C761" s="171"/>
      <c r="D761" s="171"/>
      <c r="E761" s="196"/>
      <c r="F761" s="177"/>
      <c r="G761" s="177"/>
      <c r="H761" s="177"/>
      <c r="I761" s="176"/>
      <c r="J761" s="201"/>
      <c r="K761" s="195"/>
      <c r="L761" s="195"/>
      <c r="M761" s="177"/>
      <c r="N761" s="171"/>
    </row>
    <row r="762" spans="1:14" x14ac:dyDescent="0.2">
      <c r="A762" s="192"/>
      <c r="B762" s="193"/>
      <c r="C762" s="171"/>
      <c r="D762" s="171"/>
      <c r="E762" s="196"/>
      <c r="F762" s="177"/>
      <c r="G762" s="177"/>
      <c r="H762" s="177"/>
      <c r="I762" s="176"/>
      <c r="J762" s="201"/>
      <c r="K762" s="195"/>
      <c r="L762" s="195"/>
      <c r="M762" s="177"/>
      <c r="N762" s="171"/>
    </row>
    <row r="763" spans="1:14" x14ac:dyDescent="0.2">
      <c r="A763" s="192"/>
      <c r="B763" s="193"/>
      <c r="C763" s="171"/>
      <c r="D763" s="171"/>
      <c r="E763" s="196"/>
      <c r="F763" s="177"/>
      <c r="G763" s="177"/>
      <c r="H763" s="177"/>
      <c r="I763" s="176"/>
      <c r="J763" s="201"/>
      <c r="K763" s="195"/>
      <c r="L763" s="195"/>
      <c r="M763" s="177"/>
      <c r="N763" s="171"/>
    </row>
    <row r="764" spans="1:14" x14ac:dyDescent="0.2">
      <c r="A764" s="192"/>
      <c r="B764" s="193"/>
      <c r="C764" s="171"/>
      <c r="D764" s="171"/>
      <c r="E764" s="196"/>
      <c r="F764" s="177"/>
      <c r="G764" s="177"/>
      <c r="H764" s="177"/>
      <c r="I764" s="176"/>
      <c r="J764" s="201"/>
      <c r="K764" s="195"/>
      <c r="L764" s="195"/>
      <c r="M764" s="177"/>
      <c r="N764" s="171"/>
    </row>
    <row r="765" spans="1:14" x14ac:dyDescent="0.2">
      <c r="A765" s="192"/>
      <c r="B765" s="193"/>
      <c r="C765" s="171"/>
      <c r="D765" s="171"/>
      <c r="E765" s="196"/>
      <c r="F765" s="177"/>
      <c r="G765" s="177"/>
      <c r="H765" s="177"/>
      <c r="I765" s="176"/>
      <c r="J765" s="201"/>
      <c r="K765" s="195"/>
      <c r="L765" s="195"/>
      <c r="M765" s="177"/>
      <c r="N765" s="171"/>
    </row>
    <row r="766" spans="1:14" x14ac:dyDescent="0.2">
      <c r="A766" s="192"/>
      <c r="B766" s="193"/>
      <c r="C766" s="171"/>
      <c r="D766" s="171"/>
      <c r="E766" s="196"/>
      <c r="F766" s="177"/>
      <c r="G766" s="177"/>
      <c r="H766" s="177"/>
      <c r="I766" s="176"/>
      <c r="J766" s="201"/>
      <c r="K766" s="195"/>
      <c r="L766" s="195"/>
      <c r="M766" s="177"/>
      <c r="N766" s="171"/>
    </row>
    <row r="767" spans="1:14" x14ac:dyDescent="0.2">
      <c r="A767" s="192"/>
      <c r="B767" s="193"/>
      <c r="C767" s="171"/>
      <c r="D767" s="171"/>
      <c r="E767" s="196"/>
      <c r="F767" s="177"/>
      <c r="G767" s="177"/>
      <c r="H767" s="177"/>
      <c r="I767" s="176"/>
      <c r="J767" s="201"/>
      <c r="K767" s="195"/>
      <c r="L767" s="195"/>
      <c r="M767" s="177"/>
      <c r="N767" s="171"/>
    </row>
    <row r="768" spans="1:14" x14ac:dyDescent="0.2">
      <c r="A768" s="192"/>
      <c r="B768" s="193"/>
      <c r="C768" s="171"/>
      <c r="D768" s="171"/>
      <c r="E768" s="196"/>
      <c r="F768" s="177"/>
      <c r="G768" s="177"/>
      <c r="H768" s="177"/>
      <c r="I768" s="176"/>
      <c r="J768" s="201"/>
      <c r="K768" s="195"/>
      <c r="L768" s="195"/>
      <c r="M768" s="177"/>
      <c r="N768" s="171"/>
    </row>
    <row r="769" spans="1:14" x14ac:dyDescent="0.2">
      <c r="A769" s="192"/>
      <c r="B769" s="193"/>
      <c r="C769" s="171"/>
      <c r="D769" s="171"/>
      <c r="E769" s="196"/>
      <c r="F769" s="177"/>
      <c r="G769" s="177"/>
      <c r="H769" s="177"/>
      <c r="I769" s="176"/>
      <c r="J769" s="201"/>
      <c r="K769" s="195"/>
      <c r="L769" s="195"/>
      <c r="M769" s="177"/>
      <c r="N769" s="171"/>
    </row>
    <row r="770" spans="1:14" x14ac:dyDescent="0.2">
      <c r="A770" s="192"/>
      <c r="B770" s="193"/>
      <c r="C770" s="171"/>
      <c r="D770" s="171"/>
      <c r="E770" s="196"/>
      <c r="F770" s="177"/>
      <c r="G770" s="177"/>
      <c r="H770" s="177"/>
      <c r="I770" s="176"/>
      <c r="J770" s="201"/>
      <c r="K770" s="195"/>
      <c r="L770" s="195"/>
      <c r="M770" s="177"/>
      <c r="N770" s="171"/>
    </row>
    <row r="771" spans="1:14" x14ac:dyDescent="0.2">
      <c r="A771" s="192"/>
      <c r="B771" s="193"/>
      <c r="C771" s="171"/>
      <c r="D771" s="171"/>
      <c r="E771" s="196"/>
      <c r="F771" s="177"/>
      <c r="G771" s="177"/>
      <c r="H771" s="177"/>
      <c r="I771" s="176"/>
      <c r="J771" s="201"/>
      <c r="K771" s="195"/>
      <c r="L771" s="195"/>
      <c r="M771" s="177"/>
      <c r="N771" s="171"/>
    </row>
    <row r="772" spans="1:14" x14ac:dyDescent="0.2">
      <c r="A772" s="192"/>
      <c r="B772" s="193"/>
      <c r="C772" s="171"/>
      <c r="D772" s="171"/>
      <c r="E772" s="196"/>
      <c r="F772" s="177"/>
      <c r="G772" s="177"/>
      <c r="H772" s="177"/>
      <c r="I772" s="176"/>
      <c r="J772" s="201"/>
      <c r="K772" s="195"/>
      <c r="L772" s="195"/>
      <c r="M772" s="177"/>
      <c r="N772" s="171"/>
    </row>
    <row r="773" spans="1:14" x14ac:dyDescent="0.2">
      <c r="A773" s="192"/>
      <c r="B773" s="193"/>
      <c r="C773" s="171"/>
      <c r="D773" s="171"/>
      <c r="E773" s="196"/>
      <c r="F773" s="177"/>
      <c r="G773" s="177"/>
      <c r="H773" s="177"/>
      <c r="I773" s="176"/>
      <c r="J773" s="201"/>
      <c r="K773" s="195"/>
      <c r="L773" s="195"/>
      <c r="M773" s="177"/>
      <c r="N773" s="171"/>
    </row>
    <row r="774" spans="1:14" x14ac:dyDescent="0.2">
      <c r="A774" s="192"/>
      <c r="B774" s="193"/>
      <c r="C774" s="171"/>
      <c r="D774" s="171"/>
      <c r="E774" s="196"/>
      <c r="F774" s="177"/>
      <c r="G774" s="177"/>
      <c r="H774" s="177"/>
      <c r="I774" s="176"/>
      <c r="J774" s="201"/>
      <c r="K774" s="195"/>
      <c r="L774" s="195"/>
      <c r="M774" s="177"/>
      <c r="N774" s="171"/>
    </row>
    <row r="775" spans="1:14" x14ac:dyDescent="0.2">
      <c r="A775" s="192"/>
      <c r="B775" s="193"/>
      <c r="C775" s="171"/>
      <c r="D775" s="171"/>
      <c r="E775" s="196"/>
      <c r="F775" s="177"/>
      <c r="G775" s="177"/>
      <c r="H775" s="177"/>
      <c r="I775" s="176"/>
      <c r="J775" s="201"/>
      <c r="K775" s="195"/>
      <c r="L775" s="195"/>
      <c r="M775" s="177"/>
      <c r="N775" s="171"/>
    </row>
    <row r="776" spans="1:14" x14ac:dyDescent="0.2">
      <c r="A776" s="192"/>
      <c r="B776" s="193"/>
      <c r="C776" s="171"/>
      <c r="D776" s="171"/>
      <c r="E776" s="196"/>
      <c r="F776" s="177"/>
      <c r="G776" s="177"/>
      <c r="H776" s="177"/>
      <c r="I776" s="176"/>
      <c r="J776" s="201"/>
      <c r="K776" s="195"/>
      <c r="L776" s="195"/>
      <c r="M776" s="177"/>
      <c r="N776" s="171"/>
    </row>
    <row r="777" spans="1:14" x14ac:dyDescent="0.2">
      <c r="A777" s="192"/>
      <c r="B777" s="193"/>
      <c r="C777" s="171"/>
      <c r="D777" s="171"/>
      <c r="E777" s="196"/>
      <c r="F777" s="177"/>
      <c r="G777" s="177"/>
      <c r="H777" s="177"/>
      <c r="I777" s="176"/>
      <c r="J777" s="201"/>
      <c r="K777" s="195"/>
      <c r="L777" s="195"/>
      <c r="M777" s="177"/>
      <c r="N777" s="171"/>
    </row>
    <row r="778" spans="1:14" x14ac:dyDescent="0.2">
      <c r="A778" s="192"/>
      <c r="B778" s="193"/>
      <c r="C778" s="171"/>
      <c r="D778" s="171"/>
      <c r="E778" s="196"/>
      <c r="F778" s="177"/>
      <c r="G778" s="177"/>
      <c r="H778" s="177"/>
      <c r="I778" s="176"/>
      <c r="J778" s="201"/>
      <c r="K778" s="195"/>
      <c r="L778" s="195"/>
      <c r="M778" s="177"/>
      <c r="N778" s="171"/>
    </row>
    <row r="779" spans="1:14" x14ac:dyDescent="0.2">
      <c r="A779" s="192"/>
      <c r="B779" s="193"/>
      <c r="C779" s="171"/>
      <c r="D779" s="171"/>
      <c r="E779" s="196"/>
      <c r="F779" s="177"/>
      <c r="G779" s="177"/>
      <c r="H779" s="177"/>
      <c r="I779" s="176"/>
      <c r="J779" s="201"/>
      <c r="K779" s="195"/>
      <c r="L779" s="195"/>
      <c r="M779" s="177"/>
      <c r="N779" s="171"/>
    </row>
    <row r="780" spans="1:14" x14ac:dyDescent="0.2">
      <c r="A780" s="192"/>
      <c r="B780" s="193"/>
      <c r="C780" s="171"/>
      <c r="D780" s="171"/>
      <c r="E780" s="196"/>
      <c r="F780" s="177"/>
      <c r="G780" s="177"/>
      <c r="H780" s="177"/>
      <c r="I780" s="176"/>
      <c r="J780" s="201"/>
      <c r="K780" s="195"/>
      <c r="L780" s="195"/>
      <c r="M780" s="177"/>
      <c r="N780" s="171"/>
    </row>
    <row r="781" spans="1:14" x14ac:dyDescent="0.2">
      <c r="A781" s="192"/>
      <c r="B781" s="193"/>
      <c r="C781" s="171"/>
      <c r="D781" s="171"/>
      <c r="E781" s="196"/>
      <c r="F781" s="177"/>
      <c r="G781" s="177"/>
      <c r="H781" s="177"/>
      <c r="I781" s="176"/>
      <c r="J781" s="201"/>
      <c r="K781" s="195"/>
      <c r="L781" s="195"/>
      <c r="M781" s="177"/>
      <c r="N781" s="171"/>
    </row>
    <row r="782" spans="1:14" x14ac:dyDescent="0.2">
      <c r="A782" s="192"/>
      <c r="B782" s="193"/>
      <c r="C782" s="171"/>
      <c r="D782" s="171"/>
      <c r="E782" s="196"/>
      <c r="F782" s="177"/>
      <c r="G782" s="177"/>
      <c r="H782" s="177"/>
      <c r="I782" s="176"/>
      <c r="J782" s="201"/>
      <c r="K782" s="195"/>
      <c r="L782" s="195"/>
      <c r="M782" s="177"/>
      <c r="N782" s="171"/>
    </row>
    <row r="783" spans="1:14" x14ac:dyDescent="0.2">
      <c r="A783" s="192"/>
      <c r="B783" s="193"/>
      <c r="C783" s="171"/>
      <c r="D783" s="171"/>
      <c r="E783" s="196"/>
      <c r="F783" s="177"/>
      <c r="G783" s="177"/>
      <c r="H783" s="177"/>
      <c r="I783" s="176"/>
      <c r="J783" s="201"/>
      <c r="K783" s="195"/>
      <c r="L783" s="195"/>
      <c r="M783" s="177"/>
      <c r="N783" s="171"/>
    </row>
    <row r="784" spans="1:14" x14ac:dyDescent="0.2">
      <c r="A784" s="192"/>
      <c r="B784" s="193"/>
      <c r="C784" s="171"/>
      <c r="D784" s="171"/>
      <c r="E784" s="196"/>
      <c r="F784" s="177"/>
      <c r="G784" s="177"/>
      <c r="H784" s="177"/>
      <c r="I784" s="176"/>
      <c r="J784" s="201"/>
      <c r="K784" s="195"/>
      <c r="L784" s="195"/>
      <c r="M784" s="177"/>
      <c r="N784" s="171"/>
    </row>
    <row r="785" spans="1:14" x14ac:dyDescent="0.2">
      <c r="A785" s="192"/>
      <c r="B785" s="193"/>
      <c r="C785" s="171"/>
      <c r="D785" s="171"/>
      <c r="E785" s="196"/>
      <c r="F785" s="177"/>
      <c r="G785" s="177"/>
      <c r="H785" s="177"/>
      <c r="I785" s="176"/>
      <c r="J785" s="201"/>
      <c r="K785" s="195"/>
      <c r="L785" s="195"/>
      <c r="M785" s="177"/>
      <c r="N785" s="171"/>
    </row>
    <row r="786" spans="1:14" x14ac:dyDescent="0.2">
      <c r="A786" s="192"/>
      <c r="B786" s="193"/>
      <c r="C786" s="171"/>
      <c r="D786" s="171"/>
      <c r="E786" s="196"/>
      <c r="F786" s="177"/>
      <c r="G786" s="177"/>
      <c r="H786" s="177"/>
      <c r="I786" s="176"/>
      <c r="J786" s="201"/>
      <c r="K786" s="195"/>
      <c r="L786" s="195"/>
      <c r="M786" s="177"/>
      <c r="N786" s="171"/>
    </row>
    <row r="787" spans="1:14" x14ac:dyDescent="0.2">
      <c r="A787" s="192"/>
      <c r="B787" s="193"/>
      <c r="C787" s="171"/>
      <c r="D787" s="171"/>
      <c r="E787" s="196"/>
      <c r="F787" s="177"/>
      <c r="G787" s="177"/>
      <c r="H787" s="177"/>
      <c r="I787" s="176"/>
      <c r="J787" s="201"/>
      <c r="K787" s="195"/>
      <c r="L787" s="195"/>
      <c r="M787" s="177"/>
      <c r="N787" s="171"/>
    </row>
    <row r="788" spans="1:14" x14ac:dyDescent="0.2">
      <c r="A788" s="192"/>
      <c r="B788" s="193"/>
      <c r="C788" s="171"/>
      <c r="D788" s="171"/>
      <c r="E788" s="196"/>
      <c r="F788" s="177"/>
      <c r="G788" s="177"/>
      <c r="H788" s="177"/>
      <c r="I788" s="176"/>
      <c r="J788" s="201"/>
      <c r="K788" s="195"/>
      <c r="L788" s="195"/>
      <c r="M788" s="177"/>
      <c r="N788" s="171"/>
    </row>
    <row r="789" spans="1:14" x14ac:dyDescent="0.2">
      <c r="A789" s="192"/>
      <c r="B789" s="193"/>
      <c r="C789" s="171"/>
      <c r="D789" s="171"/>
      <c r="E789" s="196"/>
      <c r="F789" s="177"/>
      <c r="G789" s="177"/>
      <c r="H789" s="177"/>
      <c r="I789" s="176"/>
      <c r="J789" s="201"/>
      <c r="K789" s="195"/>
      <c r="L789" s="195"/>
      <c r="M789" s="177"/>
      <c r="N789" s="171"/>
    </row>
    <row r="790" spans="1:14" x14ac:dyDescent="0.2">
      <c r="A790" s="192"/>
      <c r="B790" s="193"/>
      <c r="C790" s="171"/>
      <c r="D790" s="171"/>
      <c r="E790" s="196"/>
      <c r="F790" s="177"/>
      <c r="G790" s="177"/>
      <c r="H790" s="177"/>
      <c r="I790" s="176"/>
      <c r="J790" s="201"/>
      <c r="K790" s="195"/>
      <c r="L790" s="195"/>
      <c r="M790" s="177"/>
      <c r="N790" s="171"/>
    </row>
    <row r="791" spans="1:14" x14ac:dyDescent="0.2">
      <c r="A791" s="192"/>
      <c r="B791" s="193"/>
      <c r="C791" s="171"/>
      <c r="D791" s="171"/>
      <c r="E791" s="196"/>
      <c r="F791" s="177"/>
      <c r="G791" s="177"/>
      <c r="H791" s="177"/>
      <c r="I791" s="176"/>
      <c r="J791" s="201"/>
      <c r="K791" s="195"/>
      <c r="L791" s="195"/>
      <c r="M791" s="177"/>
      <c r="N791" s="171"/>
    </row>
    <row r="792" spans="1:14" x14ac:dyDescent="0.2">
      <c r="A792" s="192"/>
      <c r="B792" s="193"/>
      <c r="C792" s="171"/>
      <c r="D792" s="171"/>
      <c r="E792" s="196"/>
      <c r="F792" s="177"/>
      <c r="G792" s="177"/>
      <c r="H792" s="177"/>
      <c r="I792" s="176"/>
      <c r="J792" s="201"/>
      <c r="K792" s="195"/>
      <c r="L792" s="195"/>
      <c r="M792" s="177"/>
      <c r="N792" s="171"/>
    </row>
    <row r="793" spans="1:14" x14ac:dyDescent="0.2">
      <c r="A793" s="192"/>
      <c r="B793" s="193"/>
      <c r="C793" s="171"/>
      <c r="D793" s="171"/>
      <c r="E793" s="196"/>
      <c r="F793" s="177"/>
      <c r="G793" s="177"/>
      <c r="H793" s="177"/>
      <c r="I793" s="176"/>
      <c r="J793" s="201"/>
      <c r="K793" s="195"/>
      <c r="L793" s="195"/>
      <c r="M793" s="177"/>
      <c r="N793" s="171"/>
    </row>
    <row r="794" spans="1:14" x14ac:dyDescent="0.2">
      <c r="A794" s="192"/>
      <c r="B794" s="193"/>
      <c r="C794" s="171"/>
      <c r="D794" s="171"/>
      <c r="E794" s="196"/>
      <c r="F794" s="177"/>
      <c r="G794" s="177"/>
      <c r="H794" s="177"/>
      <c r="I794" s="176"/>
      <c r="J794" s="201"/>
      <c r="K794" s="195"/>
      <c r="L794" s="195"/>
      <c r="M794" s="177"/>
      <c r="N794" s="171"/>
    </row>
    <row r="795" spans="1:14" x14ac:dyDescent="0.2">
      <c r="A795" s="192"/>
      <c r="B795" s="193"/>
      <c r="C795" s="171"/>
      <c r="D795" s="171"/>
      <c r="E795" s="196"/>
      <c r="F795" s="177"/>
      <c r="G795" s="177"/>
      <c r="H795" s="177"/>
      <c r="I795" s="176"/>
      <c r="J795" s="201"/>
      <c r="K795" s="195"/>
      <c r="L795" s="195"/>
      <c r="M795" s="177"/>
      <c r="N795" s="171"/>
    </row>
    <row r="796" spans="1:14" x14ac:dyDescent="0.2">
      <c r="A796" s="192"/>
      <c r="B796" s="193"/>
      <c r="C796" s="171"/>
      <c r="D796" s="171"/>
      <c r="E796" s="196"/>
      <c r="F796" s="177"/>
      <c r="G796" s="177"/>
      <c r="H796" s="177"/>
      <c r="I796" s="176"/>
      <c r="J796" s="201"/>
      <c r="K796" s="195"/>
      <c r="L796" s="195"/>
      <c r="M796" s="177"/>
      <c r="N796" s="171"/>
    </row>
    <row r="797" spans="1:14" x14ac:dyDescent="0.2">
      <c r="A797" s="192"/>
      <c r="B797" s="193"/>
      <c r="C797" s="171"/>
      <c r="D797" s="171"/>
      <c r="E797" s="196"/>
      <c r="F797" s="177"/>
      <c r="G797" s="177"/>
      <c r="H797" s="177"/>
      <c r="I797" s="176"/>
      <c r="J797" s="201"/>
      <c r="K797" s="195"/>
      <c r="L797" s="195"/>
      <c r="M797" s="177"/>
      <c r="N797" s="171"/>
    </row>
    <row r="798" spans="1:14" x14ac:dyDescent="0.2">
      <c r="A798" s="192"/>
      <c r="B798" s="193"/>
      <c r="C798" s="171"/>
      <c r="D798" s="171"/>
      <c r="E798" s="196"/>
      <c r="F798" s="177"/>
      <c r="G798" s="177"/>
      <c r="H798" s="177"/>
      <c r="I798" s="176"/>
      <c r="J798" s="201"/>
      <c r="K798" s="195"/>
      <c r="L798" s="195"/>
      <c r="M798" s="177"/>
      <c r="N798" s="171"/>
    </row>
    <row r="799" spans="1:14" x14ac:dyDescent="0.2">
      <c r="A799" s="192"/>
      <c r="B799" s="193"/>
      <c r="C799" s="171"/>
      <c r="D799" s="171"/>
      <c r="E799" s="196"/>
      <c r="F799" s="177"/>
      <c r="G799" s="177"/>
      <c r="H799" s="177"/>
      <c r="I799" s="176"/>
      <c r="J799" s="201"/>
      <c r="K799" s="195"/>
      <c r="L799" s="195"/>
      <c r="M799" s="177"/>
      <c r="N799" s="171"/>
    </row>
    <row r="800" spans="1:14" x14ac:dyDescent="0.2">
      <c r="A800" s="192"/>
      <c r="B800" s="193"/>
      <c r="C800" s="171"/>
      <c r="D800" s="171"/>
      <c r="E800" s="196"/>
      <c r="F800" s="177"/>
      <c r="G800" s="177"/>
      <c r="H800" s="177"/>
      <c r="I800" s="176"/>
      <c r="J800" s="201"/>
      <c r="K800" s="195"/>
      <c r="L800" s="195"/>
      <c r="M800" s="177"/>
      <c r="N800" s="171"/>
    </row>
    <row r="801" spans="1:14" x14ac:dyDescent="0.2">
      <c r="A801" s="192"/>
      <c r="B801" s="193"/>
      <c r="C801" s="171"/>
      <c r="D801" s="171"/>
      <c r="E801" s="196"/>
      <c r="F801" s="177"/>
      <c r="G801" s="177"/>
      <c r="H801" s="177"/>
      <c r="I801" s="176"/>
      <c r="J801" s="201"/>
      <c r="K801" s="195"/>
      <c r="L801" s="195"/>
      <c r="M801" s="177"/>
      <c r="N801" s="171"/>
    </row>
    <row r="802" spans="1:14" x14ac:dyDescent="0.2">
      <c r="A802" s="192"/>
      <c r="B802" s="193"/>
      <c r="C802" s="171"/>
      <c r="D802" s="171"/>
      <c r="E802" s="196"/>
      <c r="F802" s="177"/>
      <c r="G802" s="177"/>
      <c r="H802" s="177"/>
      <c r="I802" s="176"/>
      <c r="J802" s="201"/>
      <c r="K802" s="195"/>
      <c r="L802" s="195"/>
      <c r="M802" s="177"/>
      <c r="N802" s="171"/>
    </row>
    <row r="803" spans="1:14" x14ac:dyDescent="0.2">
      <c r="A803" s="192"/>
      <c r="B803" s="193"/>
      <c r="C803" s="171"/>
      <c r="D803" s="171"/>
      <c r="E803" s="196"/>
      <c r="F803" s="177"/>
      <c r="G803" s="177"/>
      <c r="H803" s="177"/>
      <c r="I803" s="176"/>
      <c r="J803" s="201"/>
      <c r="K803" s="195"/>
      <c r="L803" s="195"/>
      <c r="M803" s="177"/>
      <c r="N803" s="171"/>
    </row>
    <row r="804" spans="1:14" x14ac:dyDescent="0.2">
      <c r="A804" s="192"/>
      <c r="B804" s="193"/>
      <c r="C804" s="171"/>
      <c r="D804" s="171"/>
      <c r="E804" s="196"/>
      <c r="F804" s="177"/>
      <c r="G804" s="177"/>
      <c r="H804" s="177"/>
      <c r="I804" s="176"/>
      <c r="J804" s="201"/>
      <c r="K804" s="195"/>
      <c r="L804" s="195"/>
      <c r="M804" s="177"/>
      <c r="N804" s="171"/>
    </row>
    <row r="805" spans="1:14" x14ac:dyDescent="0.2">
      <c r="A805" s="192"/>
      <c r="B805" s="193"/>
      <c r="C805" s="171"/>
      <c r="D805" s="171"/>
      <c r="E805" s="196"/>
      <c r="F805" s="177"/>
      <c r="G805" s="177"/>
      <c r="H805" s="177"/>
      <c r="I805" s="176"/>
      <c r="J805" s="201"/>
      <c r="K805" s="195"/>
      <c r="L805" s="195"/>
      <c r="M805" s="177"/>
      <c r="N805" s="171"/>
    </row>
    <row r="806" spans="1:14" x14ac:dyDescent="0.2">
      <c r="A806" s="192"/>
      <c r="B806" s="193"/>
      <c r="C806" s="171"/>
      <c r="D806" s="171"/>
      <c r="E806" s="196"/>
      <c r="F806" s="177"/>
      <c r="G806" s="177"/>
      <c r="H806" s="177"/>
      <c r="I806" s="176"/>
      <c r="J806" s="201"/>
      <c r="K806" s="195"/>
      <c r="L806" s="195"/>
      <c r="M806" s="177"/>
      <c r="N806" s="171"/>
    </row>
    <row r="807" spans="1:14" x14ac:dyDescent="0.2">
      <c r="A807" s="192"/>
      <c r="B807" s="193"/>
      <c r="C807" s="171"/>
      <c r="D807" s="171"/>
      <c r="E807" s="196"/>
      <c r="F807" s="177"/>
      <c r="G807" s="177"/>
      <c r="H807" s="177"/>
      <c r="I807" s="176"/>
      <c r="J807" s="201"/>
      <c r="K807" s="195"/>
      <c r="L807" s="195"/>
      <c r="M807" s="177"/>
      <c r="N807" s="171"/>
    </row>
    <row r="808" spans="1:14" x14ac:dyDescent="0.2">
      <c r="A808" s="192"/>
      <c r="B808" s="193"/>
      <c r="C808" s="171"/>
      <c r="D808" s="171"/>
      <c r="E808" s="196"/>
      <c r="F808" s="177"/>
      <c r="G808" s="177"/>
      <c r="H808" s="177"/>
      <c r="I808" s="176"/>
      <c r="J808" s="201"/>
      <c r="K808" s="195"/>
      <c r="L808" s="195"/>
      <c r="M808" s="177"/>
      <c r="N808" s="171"/>
    </row>
    <row r="809" spans="1:14" x14ac:dyDescent="0.2">
      <c r="A809" s="192"/>
      <c r="B809" s="193"/>
      <c r="C809" s="171"/>
      <c r="D809" s="171"/>
      <c r="E809" s="196"/>
      <c r="F809" s="177"/>
      <c r="G809" s="177"/>
      <c r="H809" s="177"/>
      <c r="I809" s="176"/>
      <c r="J809" s="201"/>
      <c r="K809" s="195"/>
      <c r="L809" s="195"/>
      <c r="M809" s="177"/>
      <c r="N809" s="171"/>
    </row>
    <row r="810" spans="1:14" x14ac:dyDescent="0.2">
      <c r="A810" s="192"/>
      <c r="B810" s="193"/>
      <c r="C810" s="171"/>
      <c r="D810" s="171"/>
      <c r="E810" s="196"/>
      <c r="F810" s="177"/>
      <c r="G810" s="177"/>
      <c r="H810" s="177"/>
      <c r="I810" s="176"/>
      <c r="J810" s="201"/>
      <c r="K810" s="195"/>
      <c r="L810" s="195"/>
      <c r="M810" s="177"/>
      <c r="N810" s="171"/>
    </row>
    <row r="811" spans="1:14" x14ac:dyDescent="0.2">
      <c r="A811" s="192"/>
      <c r="B811" s="193"/>
      <c r="C811" s="171"/>
      <c r="D811" s="171"/>
      <c r="E811" s="196"/>
      <c r="F811" s="177"/>
      <c r="G811" s="177"/>
      <c r="H811" s="177"/>
      <c r="I811" s="176"/>
      <c r="J811" s="201"/>
      <c r="K811" s="195"/>
      <c r="L811" s="195"/>
      <c r="M811" s="177"/>
      <c r="N811" s="171"/>
    </row>
    <row r="812" spans="1:14" x14ac:dyDescent="0.2">
      <c r="A812" s="192"/>
      <c r="B812" s="193"/>
      <c r="C812" s="171"/>
      <c r="D812" s="171"/>
      <c r="E812" s="196"/>
      <c r="F812" s="177"/>
      <c r="G812" s="177"/>
      <c r="H812" s="177"/>
      <c r="I812" s="176"/>
      <c r="J812" s="201"/>
      <c r="K812" s="195"/>
      <c r="L812" s="195"/>
      <c r="M812" s="177"/>
      <c r="N812" s="171"/>
    </row>
    <row r="813" spans="1:14" x14ac:dyDescent="0.2">
      <c r="A813" s="192"/>
      <c r="B813" s="193"/>
      <c r="C813" s="171"/>
      <c r="D813" s="171"/>
      <c r="E813" s="196"/>
      <c r="F813" s="177"/>
      <c r="G813" s="177"/>
      <c r="H813" s="177"/>
      <c r="I813" s="176"/>
      <c r="J813" s="201"/>
      <c r="K813" s="195"/>
      <c r="L813" s="195"/>
      <c r="M813" s="177"/>
      <c r="N813" s="171"/>
    </row>
    <row r="814" spans="1:14" x14ac:dyDescent="0.2">
      <c r="A814" s="192"/>
      <c r="B814" s="193"/>
      <c r="C814" s="171"/>
      <c r="D814" s="171"/>
      <c r="E814" s="196"/>
      <c r="F814" s="177"/>
      <c r="G814" s="177"/>
      <c r="H814" s="177"/>
      <c r="I814" s="176"/>
      <c r="J814" s="201"/>
      <c r="K814" s="195"/>
      <c r="L814" s="195"/>
      <c r="M814" s="177"/>
      <c r="N814" s="171"/>
    </row>
    <row r="815" spans="1:14" x14ac:dyDescent="0.2">
      <c r="A815" s="192"/>
      <c r="B815" s="193"/>
      <c r="C815" s="171"/>
      <c r="D815" s="171"/>
      <c r="E815" s="196"/>
      <c r="F815" s="177"/>
      <c r="G815" s="177"/>
      <c r="H815" s="177"/>
      <c r="I815" s="176"/>
      <c r="J815" s="201"/>
      <c r="K815" s="195"/>
      <c r="L815" s="195"/>
      <c r="M815" s="177"/>
      <c r="N815" s="171"/>
    </row>
    <row r="816" spans="1:14" x14ac:dyDescent="0.2">
      <c r="A816" s="192"/>
      <c r="B816" s="193"/>
      <c r="C816" s="171"/>
      <c r="D816" s="171"/>
      <c r="E816" s="196"/>
      <c r="F816" s="177"/>
      <c r="G816" s="177"/>
      <c r="H816" s="177"/>
      <c r="I816" s="176"/>
      <c r="J816" s="201"/>
      <c r="K816" s="195"/>
      <c r="L816" s="195"/>
      <c r="M816" s="177"/>
      <c r="N816" s="171"/>
    </row>
    <row r="817" spans="1:14" x14ac:dyDescent="0.2">
      <c r="A817" s="192"/>
      <c r="B817" s="193"/>
      <c r="C817" s="171"/>
      <c r="D817" s="171"/>
      <c r="E817" s="196"/>
      <c r="F817" s="177"/>
      <c r="G817" s="177"/>
      <c r="H817" s="177"/>
      <c r="I817" s="176"/>
      <c r="J817" s="201"/>
      <c r="K817" s="195"/>
      <c r="L817" s="195"/>
      <c r="M817" s="177"/>
      <c r="N817" s="171"/>
    </row>
    <row r="818" spans="1:14" x14ac:dyDescent="0.2">
      <c r="A818" s="192"/>
      <c r="B818" s="193"/>
      <c r="C818" s="171"/>
      <c r="D818" s="171"/>
      <c r="E818" s="196"/>
      <c r="F818" s="177"/>
      <c r="G818" s="177"/>
      <c r="H818" s="177"/>
      <c r="I818" s="176"/>
      <c r="J818" s="201"/>
      <c r="K818" s="195"/>
      <c r="L818" s="195"/>
      <c r="M818" s="177"/>
      <c r="N818" s="171"/>
    </row>
    <row r="819" spans="1:14" x14ac:dyDescent="0.2">
      <c r="A819" s="192"/>
      <c r="B819" s="193"/>
      <c r="C819" s="171"/>
      <c r="D819" s="171"/>
      <c r="E819" s="196"/>
      <c r="F819" s="177"/>
      <c r="G819" s="177"/>
      <c r="H819" s="177"/>
      <c r="I819" s="176"/>
      <c r="J819" s="201"/>
      <c r="K819" s="195"/>
      <c r="L819" s="195"/>
      <c r="M819" s="177"/>
      <c r="N819" s="171"/>
    </row>
    <row r="820" spans="1:14" x14ac:dyDescent="0.2">
      <c r="A820" s="192"/>
      <c r="B820" s="193"/>
      <c r="C820" s="171"/>
      <c r="D820" s="171"/>
      <c r="E820" s="196"/>
      <c r="F820" s="177"/>
      <c r="G820" s="177"/>
      <c r="H820" s="177"/>
      <c r="I820" s="176"/>
      <c r="J820" s="201"/>
      <c r="K820" s="195"/>
      <c r="L820" s="195"/>
      <c r="M820" s="177"/>
      <c r="N820" s="171"/>
    </row>
    <row r="821" spans="1:14" x14ac:dyDescent="0.2">
      <c r="A821" s="192"/>
      <c r="B821" s="193"/>
      <c r="C821" s="171"/>
      <c r="D821" s="171"/>
      <c r="E821" s="196"/>
      <c r="F821" s="177"/>
      <c r="G821" s="177"/>
      <c r="H821" s="177"/>
      <c r="I821" s="176"/>
      <c r="J821" s="201"/>
      <c r="K821" s="195"/>
      <c r="L821" s="195"/>
      <c r="M821" s="177"/>
      <c r="N821" s="171"/>
    </row>
    <row r="822" spans="1:14" x14ac:dyDescent="0.2">
      <c r="A822" s="192"/>
      <c r="B822" s="193"/>
      <c r="C822" s="171"/>
      <c r="D822" s="171"/>
      <c r="E822" s="196"/>
      <c r="F822" s="177"/>
      <c r="G822" s="177"/>
      <c r="H822" s="177"/>
      <c r="I822" s="176"/>
      <c r="J822" s="201"/>
      <c r="K822" s="195"/>
      <c r="L822" s="195"/>
      <c r="M822" s="177"/>
      <c r="N822" s="171"/>
    </row>
    <row r="823" spans="1:14" x14ac:dyDescent="0.2">
      <c r="A823" s="192"/>
      <c r="B823" s="193"/>
      <c r="C823" s="171"/>
      <c r="D823" s="171"/>
      <c r="E823" s="196"/>
      <c r="F823" s="177"/>
      <c r="G823" s="177"/>
      <c r="H823" s="177"/>
      <c r="I823" s="176"/>
      <c r="J823" s="201"/>
      <c r="K823" s="195"/>
      <c r="L823" s="195"/>
      <c r="M823" s="177"/>
      <c r="N823" s="171"/>
    </row>
    <row r="824" spans="1:14" x14ac:dyDescent="0.2">
      <c r="A824" s="192"/>
      <c r="B824" s="193"/>
      <c r="C824" s="171"/>
      <c r="D824" s="171"/>
      <c r="E824" s="196"/>
      <c r="F824" s="177"/>
      <c r="G824" s="177"/>
      <c r="H824" s="177"/>
      <c r="I824" s="176"/>
      <c r="J824" s="201"/>
      <c r="K824" s="195"/>
      <c r="L824" s="195"/>
      <c r="M824" s="177"/>
      <c r="N824" s="171"/>
    </row>
    <row r="825" spans="1:14" x14ac:dyDescent="0.2">
      <c r="A825" s="192"/>
      <c r="B825" s="193"/>
      <c r="C825" s="171"/>
      <c r="D825" s="171"/>
      <c r="E825" s="196"/>
      <c r="F825" s="177"/>
      <c r="G825" s="177"/>
      <c r="H825" s="177"/>
      <c r="I825" s="176"/>
      <c r="J825" s="201"/>
      <c r="K825" s="195"/>
      <c r="L825" s="195"/>
      <c r="M825" s="177"/>
      <c r="N825" s="171"/>
    </row>
    <row r="826" spans="1:14" x14ac:dyDescent="0.2">
      <c r="A826" s="192"/>
      <c r="B826" s="193"/>
      <c r="C826" s="171"/>
      <c r="D826" s="171"/>
      <c r="E826" s="196"/>
      <c r="F826" s="177"/>
      <c r="G826" s="177"/>
      <c r="H826" s="177"/>
      <c r="I826" s="176"/>
      <c r="J826" s="201"/>
      <c r="K826" s="195"/>
      <c r="L826" s="195"/>
      <c r="M826" s="177"/>
      <c r="N826" s="171"/>
    </row>
    <row r="827" spans="1:14" x14ac:dyDescent="0.2">
      <c r="A827" s="192"/>
      <c r="B827" s="193"/>
      <c r="C827" s="171"/>
      <c r="D827" s="171"/>
      <c r="E827" s="196"/>
      <c r="F827" s="177"/>
      <c r="G827" s="177"/>
      <c r="H827" s="177"/>
      <c r="I827" s="176"/>
      <c r="J827" s="201"/>
      <c r="K827" s="195"/>
      <c r="L827" s="195"/>
      <c r="M827" s="177"/>
      <c r="N827" s="171"/>
    </row>
    <row r="828" spans="1:14" x14ac:dyDescent="0.2">
      <c r="A828" s="192"/>
      <c r="B828" s="193"/>
      <c r="C828" s="171"/>
      <c r="D828" s="171"/>
      <c r="E828" s="196"/>
      <c r="F828" s="177"/>
      <c r="G828" s="177"/>
      <c r="H828" s="177"/>
      <c r="I828" s="176"/>
      <c r="J828" s="201"/>
      <c r="K828" s="195"/>
      <c r="L828" s="195"/>
      <c r="M828" s="177"/>
      <c r="N828" s="171"/>
    </row>
    <row r="829" spans="1:14" x14ac:dyDescent="0.2">
      <c r="A829" s="192"/>
      <c r="B829" s="193"/>
      <c r="C829" s="171"/>
      <c r="D829" s="171"/>
      <c r="E829" s="196"/>
      <c r="F829" s="177"/>
      <c r="G829" s="177"/>
      <c r="H829" s="177"/>
      <c r="I829" s="176"/>
      <c r="J829" s="201"/>
      <c r="K829" s="195"/>
      <c r="L829" s="195"/>
      <c r="M829" s="177"/>
      <c r="N829" s="171"/>
    </row>
    <row r="830" spans="1:14" x14ac:dyDescent="0.2">
      <c r="A830" s="192"/>
      <c r="B830" s="193"/>
      <c r="C830" s="171"/>
      <c r="D830" s="171"/>
      <c r="E830" s="196"/>
      <c r="F830" s="177"/>
      <c r="G830" s="177"/>
      <c r="H830" s="177"/>
      <c r="I830" s="176"/>
      <c r="J830" s="201"/>
      <c r="K830" s="195"/>
      <c r="L830" s="195"/>
      <c r="M830" s="177"/>
      <c r="N830" s="171"/>
    </row>
    <row r="831" spans="1:14" x14ac:dyDescent="0.2">
      <c r="A831" s="192"/>
      <c r="B831" s="193"/>
      <c r="C831" s="171"/>
      <c r="D831" s="171"/>
      <c r="E831" s="196"/>
      <c r="F831" s="177"/>
      <c r="G831" s="177"/>
      <c r="H831" s="177"/>
      <c r="I831" s="176"/>
      <c r="J831" s="201"/>
      <c r="K831" s="195"/>
      <c r="L831" s="195"/>
      <c r="M831" s="177"/>
      <c r="N831" s="171"/>
    </row>
    <row r="832" spans="1:14" x14ac:dyDescent="0.2">
      <c r="A832" s="192"/>
      <c r="B832" s="193"/>
      <c r="C832" s="171"/>
      <c r="D832" s="171"/>
      <c r="E832" s="196"/>
      <c r="F832" s="177"/>
      <c r="G832" s="177"/>
      <c r="H832" s="177"/>
      <c r="I832" s="176"/>
      <c r="J832" s="201"/>
      <c r="K832" s="195"/>
      <c r="L832" s="195"/>
      <c r="M832" s="177"/>
      <c r="N832" s="171"/>
    </row>
    <row r="833" spans="1:14" x14ac:dyDescent="0.2">
      <c r="A833" s="192"/>
      <c r="B833" s="193"/>
      <c r="C833" s="171"/>
      <c r="D833" s="171"/>
      <c r="E833" s="196"/>
      <c r="F833" s="177"/>
      <c r="G833" s="177"/>
      <c r="H833" s="177"/>
      <c r="I833" s="176"/>
      <c r="J833" s="201"/>
      <c r="K833" s="195"/>
      <c r="L833" s="195"/>
      <c r="M833" s="177"/>
      <c r="N833" s="171"/>
    </row>
    <row r="834" spans="1:14" x14ac:dyDescent="0.2">
      <c r="A834" s="192"/>
      <c r="B834" s="193"/>
      <c r="C834" s="171"/>
      <c r="D834" s="171"/>
      <c r="E834" s="196"/>
      <c r="F834" s="177"/>
      <c r="G834" s="177"/>
      <c r="H834" s="177"/>
      <c r="I834" s="176"/>
      <c r="J834" s="201"/>
      <c r="K834" s="195"/>
      <c r="L834" s="195"/>
      <c r="M834" s="177"/>
      <c r="N834" s="171"/>
    </row>
    <row r="835" spans="1:14" x14ac:dyDescent="0.2">
      <c r="A835" s="192"/>
      <c r="B835" s="193"/>
      <c r="C835" s="171"/>
      <c r="D835" s="171"/>
      <c r="E835" s="196"/>
      <c r="F835" s="177"/>
      <c r="G835" s="177"/>
      <c r="H835" s="177"/>
      <c r="I835" s="176"/>
      <c r="J835" s="201"/>
      <c r="K835" s="195"/>
      <c r="L835" s="195"/>
      <c r="M835" s="177"/>
      <c r="N835" s="171"/>
    </row>
    <row r="836" spans="1:14" x14ac:dyDescent="0.2">
      <c r="A836" s="192"/>
      <c r="B836" s="193"/>
      <c r="C836" s="171"/>
      <c r="D836" s="171"/>
      <c r="E836" s="196"/>
      <c r="F836" s="177"/>
      <c r="G836" s="177"/>
      <c r="H836" s="177"/>
      <c r="I836" s="176"/>
      <c r="J836" s="201"/>
      <c r="K836" s="195"/>
      <c r="L836" s="195"/>
      <c r="M836" s="177"/>
      <c r="N836" s="171"/>
    </row>
    <row r="837" spans="1:14" x14ac:dyDescent="0.2">
      <c r="A837" s="192"/>
      <c r="B837" s="193"/>
      <c r="C837" s="171"/>
      <c r="D837" s="171"/>
      <c r="E837" s="196"/>
      <c r="F837" s="177"/>
      <c r="G837" s="177"/>
      <c r="H837" s="177"/>
      <c r="I837" s="176"/>
      <c r="J837" s="201"/>
      <c r="K837" s="195"/>
      <c r="L837" s="195"/>
      <c r="M837" s="177"/>
      <c r="N837" s="171"/>
    </row>
    <row r="838" spans="1:14" x14ac:dyDescent="0.2">
      <c r="A838" s="192"/>
      <c r="B838" s="193"/>
      <c r="C838" s="171"/>
      <c r="D838" s="171"/>
      <c r="E838" s="196"/>
      <c r="F838" s="177"/>
      <c r="G838" s="177"/>
      <c r="H838" s="177"/>
      <c r="I838" s="176"/>
      <c r="J838" s="201"/>
      <c r="K838" s="195"/>
      <c r="L838" s="195"/>
      <c r="M838" s="177"/>
      <c r="N838" s="171"/>
    </row>
    <row r="839" spans="1:14" x14ac:dyDescent="0.2">
      <c r="A839" s="192"/>
      <c r="B839" s="193"/>
      <c r="C839" s="171"/>
      <c r="D839" s="171"/>
      <c r="E839" s="196"/>
      <c r="F839" s="177"/>
      <c r="G839" s="177"/>
      <c r="H839" s="177"/>
      <c r="I839" s="176"/>
      <c r="J839" s="201"/>
      <c r="K839" s="195"/>
      <c r="L839" s="195"/>
      <c r="M839" s="177"/>
      <c r="N839" s="171"/>
    </row>
    <row r="840" spans="1:14" x14ac:dyDescent="0.2">
      <c r="A840" s="192"/>
      <c r="B840" s="193"/>
      <c r="C840" s="171"/>
      <c r="D840" s="171"/>
      <c r="E840" s="196"/>
      <c r="F840" s="177"/>
      <c r="G840" s="177"/>
      <c r="H840" s="177"/>
      <c r="I840" s="176"/>
      <c r="J840" s="201"/>
      <c r="K840" s="195"/>
      <c r="L840" s="195"/>
      <c r="M840" s="177"/>
      <c r="N840" s="171"/>
    </row>
    <row r="841" spans="1:14" x14ac:dyDescent="0.2">
      <c r="A841" s="192"/>
      <c r="B841" s="193"/>
      <c r="C841" s="171"/>
      <c r="D841" s="171"/>
      <c r="E841" s="196"/>
      <c r="F841" s="177"/>
      <c r="G841" s="177"/>
      <c r="H841" s="177"/>
      <c r="I841" s="176"/>
      <c r="J841" s="201"/>
      <c r="K841" s="195"/>
      <c r="L841" s="195"/>
      <c r="M841" s="177"/>
      <c r="N841" s="171"/>
    </row>
    <row r="842" spans="1:14" x14ac:dyDescent="0.2">
      <c r="A842" s="192"/>
      <c r="B842" s="193"/>
      <c r="C842" s="171"/>
      <c r="D842" s="171"/>
      <c r="E842" s="196"/>
      <c r="F842" s="177"/>
      <c r="G842" s="177"/>
      <c r="H842" s="177"/>
      <c r="I842" s="176"/>
      <c r="J842" s="201"/>
      <c r="K842" s="195"/>
      <c r="L842" s="195"/>
      <c r="M842" s="177"/>
      <c r="N842" s="171"/>
    </row>
    <row r="843" spans="1:14" x14ac:dyDescent="0.2">
      <c r="A843" s="192"/>
      <c r="B843" s="193"/>
      <c r="C843" s="171"/>
      <c r="D843" s="171"/>
      <c r="E843" s="196"/>
      <c r="F843" s="177"/>
      <c r="G843" s="177"/>
      <c r="H843" s="177"/>
      <c r="I843" s="176"/>
      <c r="J843" s="201"/>
      <c r="K843" s="195"/>
      <c r="L843" s="195"/>
      <c r="M843" s="177"/>
      <c r="N843" s="171"/>
    </row>
    <row r="844" spans="1:14" x14ac:dyDescent="0.2">
      <c r="A844" s="192"/>
      <c r="B844" s="193"/>
      <c r="C844" s="171"/>
      <c r="D844" s="171"/>
      <c r="E844" s="196"/>
      <c r="F844" s="177"/>
      <c r="G844" s="177"/>
      <c r="H844" s="177"/>
      <c r="I844" s="176"/>
      <c r="J844" s="201"/>
      <c r="K844" s="195"/>
      <c r="L844" s="195"/>
      <c r="M844" s="177"/>
      <c r="N844" s="171"/>
    </row>
    <row r="845" spans="1:14" x14ac:dyDescent="0.2">
      <c r="A845" s="192"/>
      <c r="B845" s="193"/>
      <c r="C845" s="171"/>
      <c r="D845" s="171"/>
      <c r="E845" s="196"/>
      <c r="F845" s="177"/>
      <c r="G845" s="177"/>
      <c r="H845" s="177"/>
      <c r="I845" s="176"/>
      <c r="J845" s="201"/>
      <c r="K845" s="195"/>
      <c r="L845" s="195"/>
      <c r="M845" s="177"/>
      <c r="N845" s="171"/>
    </row>
    <row r="846" spans="1:14" x14ac:dyDescent="0.2">
      <c r="A846" s="192"/>
      <c r="B846" s="193"/>
      <c r="C846" s="171"/>
      <c r="D846" s="171"/>
      <c r="E846" s="196"/>
      <c r="F846" s="177"/>
      <c r="G846" s="177"/>
      <c r="H846" s="177"/>
      <c r="I846" s="176"/>
      <c r="J846" s="201"/>
      <c r="K846" s="195"/>
      <c r="L846" s="195"/>
      <c r="M846" s="177"/>
      <c r="N846" s="171"/>
    </row>
    <row r="847" spans="1:14" x14ac:dyDescent="0.2">
      <c r="A847" s="192"/>
      <c r="B847" s="193"/>
      <c r="C847" s="171"/>
      <c r="D847" s="171"/>
      <c r="E847" s="196"/>
      <c r="F847" s="177"/>
      <c r="G847" s="177"/>
      <c r="H847" s="177"/>
      <c r="I847" s="176"/>
      <c r="J847" s="201"/>
      <c r="K847" s="195"/>
      <c r="L847" s="195"/>
      <c r="M847" s="177"/>
      <c r="N847" s="171"/>
    </row>
    <row r="848" spans="1:14" x14ac:dyDescent="0.2">
      <c r="A848" s="192"/>
      <c r="B848" s="193"/>
      <c r="C848" s="171"/>
      <c r="D848" s="171"/>
      <c r="E848" s="196"/>
      <c r="F848" s="177"/>
      <c r="G848" s="177"/>
      <c r="H848" s="177"/>
      <c r="I848" s="176"/>
      <c r="J848" s="201"/>
      <c r="K848" s="195"/>
      <c r="L848" s="195"/>
      <c r="M848" s="177"/>
      <c r="N848" s="171"/>
    </row>
    <row r="849" spans="1:14" x14ac:dyDescent="0.2">
      <c r="A849" s="192"/>
      <c r="B849" s="193"/>
      <c r="C849" s="171"/>
      <c r="D849" s="171"/>
      <c r="E849" s="196"/>
      <c r="F849" s="177"/>
      <c r="G849" s="177"/>
      <c r="H849" s="177"/>
      <c r="I849" s="176"/>
      <c r="J849" s="201"/>
      <c r="K849" s="195"/>
      <c r="L849" s="195"/>
      <c r="M849" s="177"/>
      <c r="N849" s="171"/>
    </row>
    <row r="850" spans="1:14" x14ac:dyDescent="0.2">
      <c r="A850" s="192"/>
      <c r="B850" s="193"/>
      <c r="C850" s="171"/>
      <c r="D850" s="171"/>
      <c r="E850" s="196"/>
      <c r="F850" s="177"/>
      <c r="G850" s="177"/>
      <c r="H850" s="177"/>
      <c r="I850" s="176"/>
      <c r="J850" s="201"/>
      <c r="K850" s="195"/>
      <c r="L850" s="195"/>
      <c r="M850" s="177"/>
      <c r="N850" s="171"/>
    </row>
    <row r="851" spans="1:14" x14ac:dyDescent="0.2">
      <c r="A851" s="192"/>
      <c r="B851" s="193"/>
      <c r="C851" s="171"/>
      <c r="D851" s="171"/>
      <c r="E851" s="196"/>
      <c r="F851" s="177"/>
      <c r="G851" s="177"/>
      <c r="H851" s="177"/>
      <c r="I851" s="176"/>
      <c r="J851" s="201"/>
      <c r="K851" s="195"/>
      <c r="L851" s="195"/>
      <c r="M851" s="177"/>
      <c r="N851" s="171"/>
    </row>
    <row r="852" spans="1:14" x14ac:dyDescent="0.2">
      <c r="A852" s="192"/>
      <c r="B852" s="193"/>
      <c r="C852" s="171"/>
      <c r="D852" s="171"/>
      <c r="E852" s="196"/>
      <c r="F852" s="177"/>
      <c r="G852" s="177"/>
      <c r="H852" s="177"/>
      <c r="I852" s="176"/>
      <c r="J852" s="201"/>
      <c r="K852" s="195"/>
      <c r="L852" s="195"/>
      <c r="M852" s="177"/>
      <c r="N852" s="171"/>
    </row>
    <row r="853" spans="1:14" x14ac:dyDescent="0.2">
      <c r="A853" s="192"/>
      <c r="B853" s="193"/>
      <c r="C853" s="171"/>
      <c r="D853" s="171"/>
      <c r="E853" s="196"/>
      <c r="F853" s="177"/>
      <c r="G853" s="177"/>
      <c r="H853" s="177"/>
      <c r="I853" s="176"/>
      <c r="J853" s="201"/>
      <c r="K853" s="195"/>
      <c r="L853" s="195"/>
      <c r="M853" s="177"/>
      <c r="N853" s="171"/>
    </row>
    <row r="854" spans="1:14" x14ac:dyDescent="0.2">
      <c r="A854" s="192"/>
      <c r="B854" s="193"/>
      <c r="C854" s="171"/>
      <c r="D854" s="171"/>
      <c r="E854" s="196"/>
      <c r="F854" s="177"/>
      <c r="G854" s="177"/>
      <c r="H854" s="177"/>
      <c r="I854" s="176"/>
      <c r="J854" s="201"/>
      <c r="K854" s="195"/>
      <c r="L854" s="195"/>
      <c r="M854" s="177"/>
      <c r="N854" s="171"/>
    </row>
    <row r="855" spans="1:14" x14ac:dyDescent="0.2">
      <c r="A855" s="192"/>
      <c r="B855" s="193"/>
      <c r="C855" s="171"/>
      <c r="D855" s="171"/>
      <c r="E855" s="196"/>
      <c r="F855" s="177"/>
      <c r="G855" s="177"/>
      <c r="H855" s="177"/>
      <c r="I855" s="176"/>
      <c r="J855" s="201"/>
      <c r="K855" s="195"/>
      <c r="L855" s="195"/>
      <c r="M855" s="177"/>
      <c r="N855" s="171"/>
    </row>
    <row r="856" spans="1:14" x14ac:dyDescent="0.2">
      <c r="A856" s="192"/>
      <c r="B856" s="193"/>
      <c r="C856" s="171"/>
      <c r="D856" s="171"/>
      <c r="E856" s="196"/>
      <c r="F856" s="177"/>
      <c r="G856" s="177"/>
      <c r="H856" s="177"/>
      <c r="I856" s="176"/>
      <c r="J856" s="201"/>
      <c r="K856" s="195"/>
      <c r="L856" s="195"/>
      <c r="M856" s="177"/>
      <c r="N856" s="171"/>
    </row>
    <row r="857" spans="1:14" x14ac:dyDescent="0.2">
      <c r="A857" s="192"/>
      <c r="B857" s="193"/>
      <c r="C857" s="171"/>
      <c r="D857" s="171"/>
      <c r="E857" s="196"/>
      <c r="F857" s="177"/>
      <c r="G857" s="177"/>
      <c r="H857" s="177"/>
      <c r="I857" s="176"/>
      <c r="J857" s="201"/>
      <c r="K857" s="195"/>
      <c r="L857" s="195"/>
      <c r="M857" s="177"/>
      <c r="N857" s="171"/>
    </row>
    <row r="858" spans="1:14" x14ac:dyDescent="0.2">
      <c r="A858" s="192"/>
      <c r="B858" s="193"/>
      <c r="C858" s="171"/>
      <c r="D858" s="171"/>
      <c r="E858" s="196"/>
      <c r="F858" s="177"/>
      <c r="G858" s="177"/>
      <c r="H858" s="177"/>
      <c r="I858" s="176"/>
      <c r="J858" s="201"/>
      <c r="K858" s="195"/>
      <c r="L858" s="195"/>
      <c r="M858" s="177"/>
      <c r="N858" s="171"/>
    </row>
    <row r="859" spans="1:14" x14ac:dyDescent="0.2">
      <c r="A859" s="192"/>
      <c r="B859" s="193"/>
      <c r="C859" s="171"/>
      <c r="D859" s="171"/>
      <c r="E859" s="196"/>
      <c r="F859" s="177"/>
      <c r="G859" s="177"/>
      <c r="H859" s="177"/>
      <c r="I859" s="176"/>
      <c r="J859" s="201"/>
      <c r="K859" s="195"/>
      <c r="L859" s="195"/>
      <c r="M859" s="177"/>
      <c r="N859" s="171"/>
    </row>
    <row r="860" spans="1:14" x14ac:dyDescent="0.2">
      <c r="A860" s="192"/>
      <c r="B860" s="193"/>
      <c r="C860" s="171"/>
      <c r="D860" s="171"/>
      <c r="E860" s="196"/>
      <c r="F860" s="177"/>
      <c r="G860" s="177"/>
      <c r="H860" s="177"/>
      <c r="I860" s="176"/>
      <c r="J860" s="201"/>
      <c r="K860" s="195"/>
      <c r="L860" s="195"/>
      <c r="M860" s="177"/>
      <c r="N860" s="171"/>
    </row>
    <row r="861" spans="1:14" x14ac:dyDescent="0.2">
      <c r="A861" s="192"/>
      <c r="B861" s="193"/>
      <c r="C861" s="171"/>
      <c r="D861" s="171"/>
      <c r="E861" s="196"/>
      <c r="F861" s="177"/>
      <c r="G861" s="177"/>
      <c r="H861" s="177"/>
      <c r="I861" s="176"/>
      <c r="J861" s="201"/>
      <c r="K861" s="195"/>
      <c r="L861" s="195"/>
      <c r="M861" s="177"/>
      <c r="N861" s="171"/>
    </row>
    <row r="862" spans="1:14" x14ac:dyDescent="0.2">
      <c r="A862" s="192"/>
      <c r="B862" s="193"/>
      <c r="C862" s="171"/>
      <c r="D862" s="171"/>
      <c r="E862" s="196"/>
      <c r="F862" s="177"/>
      <c r="G862" s="177"/>
      <c r="H862" s="177"/>
      <c r="I862" s="176"/>
      <c r="J862" s="201"/>
      <c r="K862" s="195"/>
      <c r="L862" s="195"/>
      <c r="M862" s="177"/>
      <c r="N862" s="171"/>
    </row>
    <row r="863" spans="1:14" x14ac:dyDescent="0.2">
      <c r="A863" s="192"/>
      <c r="B863" s="193"/>
      <c r="C863" s="171"/>
      <c r="D863" s="171"/>
      <c r="E863" s="196"/>
      <c r="F863" s="177"/>
      <c r="G863" s="177"/>
      <c r="H863" s="177"/>
      <c r="I863" s="176"/>
      <c r="J863" s="201"/>
      <c r="K863" s="195"/>
      <c r="L863" s="195"/>
      <c r="M863" s="177"/>
      <c r="N863" s="171"/>
    </row>
    <row r="864" spans="1:14" x14ac:dyDescent="0.2">
      <c r="A864" s="192"/>
      <c r="B864" s="193"/>
      <c r="C864" s="171"/>
      <c r="D864" s="171"/>
      <c r="E864" s="196"/>
      <c r="F864" s="177"/>
      <c r="G864" s="177"/>
      <c r="H864" s="177"/>
      <c r="I864" s="176"/>
      <c r="J864" s="201"/>
      <c r="K864" s="195"/>
      <c r="L864" s="195"/>
      <c r="M864" s="177"/>
      <c r="N864" s="171"/>
    </row>
    <row r="865" spans="1:14" x14ac:dyDescent="0.2">
      <c r="A865" s="192"/>
      <c r="B865" s="193"/>
      <c r="C865" s="171"/>
      <c r="D865" s="171"/>
      <c r="E865" s="196"/>
      <c r="F865" s="177"/>
      <c r="G865" s="177"/>
      <c r="H865" s="177"/>
      <c r="I865" s="176"/>
      <c r="J865" s="201"/>
      <c r="K865" s="195"/>
      <c r="L865" s="195"/>
      <c r="M865" s="177"/>
      <c r="N865" s="171"/>
    </row>
    <row r="866" spans="1:14" x14ac:dyDescent="0.2">
      <c r="A866" s="192"/>
      <c r="B866" s="193"/>
      <c r="C866" s="171"/>
      <c r="D866" s="171"/>
      <c r="E866" s="196"/>
      <c r="F866" s="177"/>
      <c r="G866" s="177"/>
      <c r="H866" s="177"/>
      <c r="I866" s="176"/>
      <c r="J866" s="201"/>
      <c r="K866" s="195"/>
      <c r="L866" s="195"/>
      <c r="M866" s="177"/>
      <c r="N866" s="171"/>
    </row>
    <row r="867" spans="1:14" x14ac:dyDescent="0.2">
      <c r="A867" s="192"/>
      <c r="B867" s="193"/>
      <c r="C867" s="171"/>
      <c r="D867" s="171"/>
      <c r="E867" s="196"/>
      <c r="F867" s="177"/>
      <c r="G867" s="177"/>
      <c r="H867" s="177"/>
      <c r="I867" s="176"/>
      <c r="J867" s="201"/>
      <c r="K867" s="195"/>
      <c r="L867" s="195"/>
      <c r="M867" s="177"/>
      <c r="N867" s="171"/>
    </row>
    <row r="868" spans="1:14" x14ac:dyDescent="0.2">
      <c r="A868" s="192"/>
      <c r="B868" s="193"/>
      <c r="C868" s="171"/>
      <c r="D868" s="171"/>
      <c r="E868" s="196"/>
      <c r="F868" s="177"/>
      <c r="G868" s="177"/>
      <c r="H868" s="177"/>
      <c r="I868" s="176"/>
      <c r="J868" s="201"/>
      <c r="K868" s="195"/>
      <c r="L868" s="195"/>
      <c r="M868" s="177"/>
      <c r="N868" s="171"/>
    </row>
    <row r="869" spans="1:14" x14ac:dyDescent="0.2">
      <c r="A869" s="192"/>
      <c r="B869" s="193"/>
      <c r="C869" s="171"/>
      <c r="D869" s="171"/>
      <c r="E869" s="196"/>
      <c r="F869" s="177"/>
      <c r="G869" s="177"/>
      <c r="H869" s="177"/>
      <c r="I869" s="176"/>
      <c r="J869" s="201"/>
      <c r="K869" s="195"/>
      <c r="L869" s="195"/>
      <c r="M869" s="177"/>
      <c r="N869" s="171"/>
    </row>
    <row r="870" spans="1:14" x14ac:dyDescent="0.2">
      <c r="A870" s="192"/>
      <c r="B870" s="193"/>
      <c r="C870" s="171"/>
      <c r="D870" s="171"/>
      <c r="E870" s="196"/>
      <c r="F870" s="177"/>
      <c r="G870" s="177"/>
      <c r="H870" s="177"/>
      <c r="I870" s="176"/>
      <c r="J870" s="201"/>
      <c r="K870" s="195"/>
      <c r="L870" s="195"/>
      <c r="M870" s="177"/>
      <c r="N870" s="171"/>
    </row>
    <row r="871" spans="1:14" x14ac:dyDescent="0.2">
      <c r="A871" s="192"/>
      <c r="B871" s="193"/>
      <c r="C871" s="171"/>
      <c r="D871" s="171"/>
      <c r="E871" s="196"/>
      <c r="F871" s="177"/>
      <c r="G871" s="177"/>
      <c r="H871" s="177"/>
      <c r="I871" s="176"/>
      <c r="J871" s="201"/>
      <c r="K871" s="195"/>
      <c r="L871" s="195"/>
      <c r="M871" s="177"/>
      <c r="N871" s="171"/>
    </row>
    <row r="872" spans="1:14" x14ac:dyDescent="0.2">
      <c r="A872" s="192"/>
      <c r="B872" s="193"/>
      <c r="C872" s="171"/>
      <c r="D872" s="171"/>
      <c r="E872" s="196"/>
      <c r="F872" s="177"/>
      <c r="G872" s="177"/>
      <c r="H872" s="177"/>
      <c r="I872" s="176"/>
      <c r="J872" s="201"/>
      <c r="K872" s="195"/>
      <c r="L872" s="195"/>
      <c r="M872" s="177"/>
      <c r="N872" s="171"/>
    </row>
    <row r="873" spans="1:14" x14ac:dyDescent="0.2">
      <c r="A873" s="192"/>
      <c r="B873" s="193"/>
      <c r="C873" s="171"/>
      <c r="D873" s="171"/>
      <c r="E873" s="196"/>
      <c r="F873" s="177"/>
      <c r="G873" s="177"/>
      <c r="H873" s="177"/>
      <c r="I873" s="176"/>
      <c r="J873" s="201"/>
      <c r="K873" s="195"/>
      <c r="L873" s="195"/>
      <c r="M873" s="177"/>
      <c r="N873" s="171"/>
    </row>
    <row r="874" spans="1:14" x14ac:dyDescent="0.2">
      <c r="A874" s="192"/>
      <c r="B874" s="193"/>
      <c r="C874" s="171"/>
      <c r="D874" s="171"/>
      <c r="E874" s="196"/>
      <c r="F874" s="177"/>
      <c r="G874" s="177"/>
      <c r="H874" s="177"/>
      <c r="I874" s="176"/>
      <c r="J874" s="201"/>
      <c r="K874" s="195"/>
      <c r="L874" s="195"/>
      <c r="M874" s="177"/>
      <c r="N874" s="171"/>
    </row>
    <row r="875" spans="1:14" x14ac:dyDescent="0.2">
      <c r="A875" s="192"/>
      <c r="B875" s="193"/>
      <c r="C875" s="171"/>
      <c r="D875" s="171"/>
      <c r="E875" s="196"/>
      <c r="F875" s="177"/>
      <c r="G875" s="177"/>
      <c r="H875" s="177"/>
      <c r="I875" s="176"/>
      <c r="J875" s="201"/>
      <c r="K875" s="195"/>
      <c r="L875" s="195"/>
      <c r="M875" s="177"/>
      <c r="N875" s="171"/>
    </row>
    <row r="876" spans="1:14" x14ac:dyDescent="0.2">
      <c r="A876" s="192"/>
      <c r="B876" s="193"/>
      <c r="C876" s="171"/>
      <c r="D876" s="171"/>
      <c r="E876" s="196"/>
      <c r="F876" s="177"/>
      <c r="G876" s="177"/>
      <c r="H876" s="177"/>
      <c r="I876" s="176"/>
      <c r="J876" s="201"/>
      <c r="K876" s="195"/>
      <c r="L876" s="195"/>
      <c r="M876" s="177"/>
      <c r="N876" s="171"/>
    </row>
    <row r="877" spans="1:14" x14ac:dyDescent="0.2">
      <c r="A877" s="192"/>
      <c r="B877" s="193"/>
      <c r="C877" s="171"/>
      <c r="D877" s="171"/>
      <c r="E877" s="196"/>
      <c r="F877" s="177"/>
      <c r="G877" s="177"/>
      <c r="H877" s="177"/>
      <c r="I877" s="176"/>
      <c r="J877" s="201"/>
      <c r="K877" s="195"/>
      <c r="L877" s="195"/>
      <c r="M877" s="177"/>
      <c r="N877" s="171"/>
    </row>
    <row r="878" spans="1:14" x14ac:dyDescent="0.2">
      <c r="A878" s="192"/>
      <c r="B878" s="193"/>
      <c r="C878" s="171"/>
      <c r="D878" s="171"/>
      <c r="E878" s="196"/>
      <c r="F878" s="177"/>
      <c r="G878" s="177"/>
      <c r="H878" s="177"/>
      <c r="I878" s="176"/>
      <c r="J878" s="201"/>
      <c r="K878" s="195"/>
      <c r="L878" s="195"/>
      <c r="M878" s="177"/>
      <c r="N878" s="171"/>
    </row>
    <row r="879" spans="1:14" x14ac:dyDescent="0.2">
      <c r="A879" s="192"/>
      <c r="B879" s="193"/>
      <c r="C879" s="171"/>
      <c r="D879" s="171"/>
      <c r="E879" s="196"/>
      <c r="F879" s="177"/>
      <c r="G879" s="177"/>
      <c r="H879" s="177"/>
      <c r="I879" s="176"/>
      <c r="J879" s="201"/>
      <c r="K879" s="195"/>
      <c r="L879" s="195"/>
      <c r="M879" s="177"/>
      <c r="N879" s="171"/>
    </row>
    <row r="880" spans="1:14" x14ac:dyDescent="0.2">
      <c r="A880" s="192"/>
      <c r="B880" s="193"/>
      <c r="C880" s="171"/>
      <c r="D880" s="171"/>
      <c r="E880" s="196"/>
      <c r="F880" s="177"/>
      <c r="G880" s="177"/>
      <c r="H880" s="177"/>
      <c r="I880" s="176"/>
      <c r="J880" s="201"/>
      <c r="K880" s="195"/>
      <c r="L880" s="195"/>
      <c r="M880" s="177"/>
      <c r="N880" s="171"/>
    </row>
    <row r="881" spans="1:14" x14ac:dyDescent="0.2">
      <c r="A881" s="192"/>
      <c r="B881" s="193"/>
      <c r="C881" s="171"/>
      <c r="D881" s="171"/>
      <c r="E881" s="196"/>
      <c r="F881" s="177"/>
      <c r="G881" s="177"/>
      <c r="H881" s="177"/>
      <c r="I881" s="176"/>
      <c r="J881" s="201"/>
      <c r="K881" s="195"/>
      <c r="L881" s="195"/>
      <c r="M881" s="177"/>
      <c r="N881" s="171"/>
    </row>
    <row r="882" spans="1:14" x14ac:dyDescent="0.2">
      <c r="A882" s="192"/>
      <c r="B882" s="193"/>
      <c r="C882" s="171"/>
      <c r="D882" s="171"/>
      <c r="E882" s="196"/>
      <c r="F882" s="177"/>
      <c r="G882" s="177"/>
      <c r="H882" s="177"/>
      <c r="I882" s="176"/>
      <c r="J882" s="201"/>
      <c r="K882" s="195"/>
      <c r="L882" s="195"/>
      <c r="M882" s="177"/>
      <c r="N882" s="171"/>
    </row>
    <row r="883" spans="1:14" x14ac:dyDescent="0.2">
      <c r="A883" s="192"/>
      <c r="B883" s="193"/>
      <c r="C883" s="171"/>
      <c r="D883" s="171"/>
      <c r="E883" s="196"/>
      <c r="F883" s="177"/>
      <c r="G883" s="177"/>
      <c r="H883" s="177"/>
      <c r="I883" s="176"/>
      <c r="J883" s="201"/>
      <c r="K883" s="195"/>
      <c r="L883" s="195"/>
      <c r="M883" s="177"/>
      <c r="N883" s="171"/>
    </row>
    <row r="884" spans="1:14" x14ac:dyDescent="0.2">
      <c r="A884" s="192"/>
      <c r="B884" s="193"/>
      <c r="C884" s="171"/>
      <c r="D884" s="171"/>
      <c r="E884" s="196"/>
      <c r="F884" s="177"/>
      <c r="G884" s="177"/>
      <c r="H884" s="177"/>
      <c r="I884" s="176"/>
      <c r="J884" s="201"/>
      <c r="K884" s="195"/>
      <c r="L884" s="195"/>
      <c r="M884" s="177"/>
      <c r="N884" s="171"/>
    </row>
    <row r="885" spans="1:14" x14ac:dyDescent="0.2">
      <c r="A885" s="192"/>
      <c r="B885" s="193"/>
      <c r="C885" s="171"/>
      <c r="D885" s="171"/>
      <c r="E885" s="196"/>
      <c r="F885" s="177"/>
      <c r="G885" s="177"/>
      <c r="H885" s="177"/>
      <c r="I885" s="176"/>
      <c r="J885" s="201"/>
      <c r="K885" s="195"/>
      <c r="L885" s="195"/>
      <c r="M885" s="177"/>
      <c r="N885" s="171"/>
    </row>
    <row r="886" spans="1:14" x14ac:dyDescent="0.2">
      <c r="A886" s="192"/>
      <c r="B886" s="193"/>
      <c r="C886" s="171"/>
      <c r="D886" s="171"/>
      <c r="E886" s="196"/>
      <c r="F886" s="177"/>
      <c r="G886" s="177"/>
      <c r="H886" s="177"/>
      <c r="I886" s="176"/>
      <c r="J886" s="201"/>
      <c r="K886" s="195"/>
      <c r="L886" s="195"/>
      <c r="M886" s="177"/>
      <c r="N886" s="171"/>
    </row>
    <row r="887" spans="1:14" x14ac:dyDescent="0.2">
      <c r="A887" s="192"/>
      <c r="B887" s="193"/>
      <c r="C887" s="171"/>
      <c r="D887" s="171"/>
      <c r="E887" s="196"/>
      <c r="F887" s="177"/>
      <c r="G887" s="177"/>
      <c r="H887" s="177"/>
      <c r="I887" s="176"/>
      <c r="J887" s="201"/>
      <c r="K887" s="195"/>
      <c r="L887" s="195"/>
      <c r="M887" s="177"/>
      <c r="N887" s="171"/>
    </row>
    <row r="888" spans="1:14" x14ac:dyDescent="0.2">
      <c r="A888" s="192"/>
      <c r="B888" s="193"/>
      <c r="C888" s="171"/>
      <c r="D888" s="171"/>
      <c r="E888" s="196"/>
      <c r="F888" s="177"/>
      <c r="G888" s="177"/>
      <c r="H888" s="177"/>
      <c r="I888" s="176"/>
      <c r="J888" s="201"/>
      <c r="K888" s="195"/>
      <c r="L888" s="195"/>
      <c r="M888" s="177"/>
      <c r="N888" s="171"/>
    </row>
    <row r="889" spans="1:14" x14ac:dyDescent="0.2">
      <c r="A889" s="192"/>
      <c r="B889" s="193"/>
      <c r="C889" s="171"/>
      <c r="D889" s="171"/>
      <c r="E889" s="196"/>
      <c r="F889" s="177"/>
      <c r="G889" s="177"/>
      <c r="H889" s="177"/>
      <c r="I889" s="176"/>
      <c r="J889" s="201"/>
      <c r="K889" s="195"/>
      <c r="L889" s="195"/>
      <c r="M889" s="177"/>
      <c r="N889" s="171"/>
    </row>
    <row r="890" spans="1:14" x14ac:dyDescent="0.2">
      <c r="A890" s="192"/>
      <c r="B890" s="193"/>
      <c r="C890" s="171"/>
      <c r="D890" s="171"/>
      <c r="E890" s="196"/>
      <c r="F890" s="177"/>
      <c r="G890" s="177"/>
      <c r="H890" s="177"/>
      <c r="I890" s="176"/>
      <c r="J890" s="201"/>
      <c r="K890" s="195"/>
      <c r="L890" s="195"/>
      <c r="M890" s="177"/>
      <c r="N890" s="171"/>
    </row>
    <row r="891" spans="1:14" x14ac:dyDescent="0.2">
      <c r="A891" s="192"/>
      <c r="B891" s="193"/>
      <c r="C891" s="171"/>
      <c r="D891" s="171"/>
      <c r="E891" s="196"/>
      <c r="F891" s="177"/>
      <c r="G891" s="177"/>
      <c r="H891" s="177"/>
      <c r="I891" s="176"/>
      <c r="J891" s="201"/>
      <c r="K891" s="195"/>
      <c r="L891" s="195"/>
      <c r="M891" s="177"/>
      <c r="N891" s="171"/>
    </row>
    <row r="892" spans="1:14" x14ac:dyDescent="0.2">
      <c r="A892" s="192"/>
      <c r="B892" s="193"/>
      <c r="C892" s="171"/>
      <c r="D892" s="171"/>
      <c r="E892" s="196"/>
      <c r="F892" s="177"/>
      <c r="G892" s="177"/>
      <c r="H892" s="177"/>
      <c r="I892" s="176"/>
      <c r="J892" s="201"/>
      <c r="K892" s="195"/>
      <c r="L892" s="195"/>
      <c r="M892" s="177"/>
      <c r="N892" s="171"/>
    </row>
    <row r="893" spans="1:14" x14ac:dyDescent="0.2">
      <c r="A893" s="192"/>
      <c r="B893" s="193"/>
      <c r="C893" s="171"/>
      <c r="D893" s="171"/>
      <c r="E893" s="196"/>
      <c r="F893" s="177"/>
      <c r="G893" s="177"/>
      <c r="H893" s="177"/>
      <c r="I893" s="176"/>
      <c r="J893" s="201"/>
      <c r="K893" s="195"/>
      <c r="L893" s="195"/>
      <c r="M893" s="177"/>
      <c r="N893" s="171"/>
    </row>
    <row r="894" spans="1:14" x14ac:dyDescent="0.2">
      <c r="A894" s="192"/>
      <c r="B894" s="193"/>
      <c r="C894" s="171"/>
      <c r="D894" s="171"/>
      <c r="E894" s="196"/>
      <c r="F894" s="177"/>
      <c r="G894" s="177"/>
      <c r="H894" s="177"/>
      <c r="I894" s="176"/>
      <c r="J894" s="201"/>
      <c r="K894" s="195"/>
      <c r="L894" s="195"/>
      <c r="M894" s="177"/>
      <c r="N894" s="171"/>
    </row>
    <row r="895" spans="1:14" x14ac:dyDescent="0.2">
      <c r="A895" s="192"/>
      <c r="B895" s="193"/>
      <c r="C895" s="171"/>
      <c r="D895" s="171"/>
      <c r="E895" s="196"/>
      <c r="F895" s="177"/>
      <c r="G895" s="177"/>
      <c r="H895" s="177"/>
      <c r="I895" s="176"/>
      <c r="J895" s="201"/>
      <c r="K895" s="195"/>
      <c r="L895" s="195"/>
      <c r="M895" s="177"/>
      <c r="N895" s="171"/>
    </row>
    <row r="896" spans="1:14" x14ac:dyDescent="0.2">
      <c r="A896" s="192"/>
      <c r="B896" s="193"/>
      <c r="C896" s="171"/>
      <c r="D896" s="171"/>
      <c r="E896" s="196"/>
      <c r="F896" s="177"/>
      <c r="G896" s="177"/>
      <c r="H896" s="177"/>
      <c r="I896" s="176"/>
      <c r="J896" s="201"/>
      <c r="K896" s="195"/>
      <c r="L896" s="195"/>
      <c r="M896" s="177"/>
      <c r="N896" s="171"/>
    </row>
    <row r="897" spans="1:14" x14ac:dyDescent="0.2">
      <c r="A897" s="192"/>
      <c r="B897" s="193"/>
      <c r="C897" s="171"/>
      <c r="D897" s="171"/>
      <c r="E897" s="196"/>
      <c r="F897" s="177"/>
      <c r="G897" s="177"/>
      <c r="H897" s="177"/>
      <c r="I897" s="176"/>
      <c r="J897" s="201"/>
      <c r="K897" s="195"/>
      <c r="L897" s="195"/>
      <c r="M897" s="177"/>
      <c r="N897" s="171"/>
    </row>
    <row r="898" spans="1:14" x14ac:dyDescent="0.2">
      <c r="A898" s="192"/>
      <c r="B898" s="193"/>
      <c r="C898" s="171"/>
      <c r="D898" s="171"/>
      <c r="E898" s="196"/>
      <c r="F898" s="177"/>
      <c r="G898" s="177"/>
      <c r="H898" s="177"/>
      <c r="I898" s="176"/>
      <c r="J898" s="201"/>
      <c r="K898" s="195"/>
      <c r="L898" s="195"/>
      <c r="M898" s="177"/>
      <c r="N898" s="171"/>
    </row>
    <row r="899" spans="1:14" x14ac:dyDescent="0.2">
      <c r="A899" s="192"/>
      <c r="B899" s="193"/>
      <c r="C899" s="171"/>
      <c r="D899" s="171"/>
      <c r="E899" s="196"/>
      <c r="F899" s="177"/>
      <c r="G899" s="177"/>
      <c r="H899" s="177"/>
      <c r="I899" s="176"/>
      <c r="J899" s="201"/>
      <c r="K899" s="195"/>
      <c r="L899" s="195"/>
      <c r="M899" s="177"/>
      <c r="N899" s="171"/>
    </row>
    <row r="900" spans="1:14" x14ac:dyDescent="0.2">
      <c r="A900" s="192"/>
      <c r="B900" s="193"/>
      <c r="C900" s="171"/>
      <c r="D900" s="171"/>
      <c r="E900" s="196"/>
      <c r="F900" s="177"/>
      <c r="G900" s="177"/>
      <c r="H900" s="177"/>
      <c r="I900" s="176"/>
      <c r="J900" s="201"/>
      <c r="K900" s="195"/>
      <c r="L900" s="195"/>
      <c r="M900" s="177"/>
      <c r="N900" s="171"/>
    </row>
    <row r="901" spans="1:14" x14ac:dyDescent="0.2">
      <c r="A901" s="192"/>
      <c r="B901" s="193"/>
      <c r="C901" s="171"/>
      <c r="D901" s="171"/>
      <c r="E901" s="196"/>
      <c r="F901" s="177"/>
      <c r="G901" s="177"/>
      <c r="H901" s="177"/>
      <c r="I901" s="176"/>
      <c r="J901" s="201"/>
      <c r="K901" s="195"/>
      <c r="L901" s="195"/>
      <c r="M901" s="177"/>
      <c r="N901" s="171"/>
    </row>
    <row r="902" spans="1:14" x14ac:dyDescent="0.2">
      <c r="A902" s="192"/>
      <c r="B902" s="193"/>
      <c r="C902" s="171"/>
      <c r="D902" s="171"/>
      <c r="E902" s="196"/>
      <c r="F902" s="177"/>
      <c r="G902" s="177"/>
      <c r="H902" s="177"/>
      <c r="I902" s="176"/>
      <c r="J902" s="201"/>
      <c r="K902" s="195"/>
      <c r="L902" s="195"/>
      <c r="M902" s="177"/>
      <c r="N902" s="171"/>
    </row>
    <row r="903" spans="1:14" x14ac:dyDescent="0.2">
      <c r="A903" s="192"/>
      <c r="B903" s="193"/>
      <c r="C903" s="171"/>
      <c r="D903" s="171"/>
      <c r="E903" s="196"/>
      <c r="F903" s="177"/>
      <c r="G903" s="177"/>
      <c r="H903" s="177"/>
      <c r="I903" s="176"/>
      <c r="J903" s="201"/>
      <c r="K903" s="195"/>
      <c r="L903" s="195"/>
      <c r="M903" s="177"/>
      <c r="N903" s="171"/>
    </row>
    <row r="904" spans="1:14" x14ac:dyDescent="0.2">
      <c r="A904" s="192"/>
      <c r="B904" s="193"/>
      <c r="C904" s="171"/>
      <c r="D904" s="171"/>
      <c r="E904" s="196"/>
      <c r="F904" s="177"/>
      <c r="G904" s="177"/>
      <c r="H904" s="177"/>
      <c r="I904" s="176"/>
      <c r="J904" s="201"/>
      <c r="K904" s="195"/>
      <c r="L904" s="195"/>
      <c r="M904" s="177"/>
      <c r="N904" s="171"/>
    </row>
    <row r="905" spans="1:14" x14ac:dyDescent="0.2">
      <c r="A905" s="192"/>
      <c r="B905" s="193"/>
      <c r="C905" s="171"/>
      <c r="D905" s="171"/>
      <c r="E905" s="196"/>
      <c r="F905" s="177"/>
      <c r="G905" s="177"/>
      <c r="H905" s="177"/>
      <c r="I905" s="176"/>
      <c r="J905" s="201"/>
      <c r="K905" s="195"/>
      <c r="L905" s="195"/>
      <c r="M905" s="177"/>
      <c r="N905" s="171"/>
    </row>
    <row r="906" spans="1:14" x14ac:dyDescent="0.2">
      <c r="A906" s="192"/>
      <c r="B906" s="193"/>
      <c r="C906" s="171"/>
      <c r="D906" s="171"/>
      <c r="E906" s="196"/>
      <c r="F906" s="177"/>
      <c r="G906" s="177"/>
      <c r="H906" s="177"/>
      <c r="I906" s="176"/>
      <c r="J906" s="201"/>
      <c r="K906" s="195"/>
      <c r="L906" s="195"/>
      <c r="M906" s="177"/>
      <c r="N906" s="171"/>
    </row>
    <row r="907" spans="1:14" x14ac:dyDescent="0.2">
      <c r="A907" s="192"/>
      <c r="B907" s="193"/>
      <c r="C907" s="171"/>
      <c r="D907" s="171"/>
      <c r="E907" s="196"/>
      <c r="F907" s="177"/>
      <c r="G907" s="177"/>
      <c r="H907" s="177"/>
      <c r="I907" s="176"/>
      <c r="J907" s="201"/>
      <c r="K907" s="195"/>
      <c r="L907" s="195"/>
      <c r="M907" s="177"/>
      <c r="N907" s="171"/>
    </row>
    <row r="908" spans="1:14" x14ac:dyDescent="0.2">
      <c r="A908" s="192"/>
      <c r="B908" s="193"/>
      <c r="C908" s="171"/>
      <c r="D908" s="171"/>
      <c r="E908" s="196"/>
      <c r="F908" s="177"/>
      <c r="G908" s="177"/>
      <c r="H908" s="177"/>
      <c r="I908" s="176"/>
      <c r="J908" s="201"/>
      <c r="K908" s="195"/>
      <c r="L908" s="195"/>
      <c r="M908" s="177"/>
      <c r="N908" s="171"/>
    </row>
    <row r="909" spans="1:14" x14ac:dyDescent="0.2">
      <c r="A909" s="192"/>
      <c r="B909" s="193"/>
      <c r="C909" s="171"/>
      <c r="D909" s="171"/>
      <c r="E909" s="196"/>
      <c r="F909" s="177"/>
      <c r="G909" s="177"/>
      <c r="H909" s="177"/>
      <c r="I909" s="176"/>
      <c r="J909" s="201"/>
      <c r="K909" s="195"/>
      <c r="L909" s="195"/>
      <c r="M909" s="177"/>
      <c r="N909" s="171"/>
    </row>
    <row r="910" spans="1:14" x14ac:dyDescent="0.2">
      <c r="A910" s="192"/>
      <c r="B910" s="193"/>
      <c r="C910" s="171"/>
      <c r="D910" s="171"/>
      <c r="E910" s="196"/>
      <c r="F910" s="177"/>
      <c r="G910" s="177"/>
      <c r="H910" s="177"/>
      <c r="I910" s="176"/>
      <c r="J910" s="201"/>
      <c r="K910" s="195"/>
      <c r="L910" s="195"/>
      <c r="M910" s="177"/>
      <c r="N910" s="171"/>
    </row>
    <row r="911" spans="1:14" x14ac:dyDescent="0.2">
      <c r="A911" s="192"/>
      <c r="B911" s="193"/>
      <c r="C911" s="171"/>
      <c r="D911" s="171"/>
      <c r="E911" s="196"/>
      <c r="F911" s="177"/>
      <c r="G911" s="177"/>
      <c r="H911" s="177"/>
      <c r="I911" s="176"/>
      <c r="J911" s="201"/>
      <c r="K911" s="195"/>
      <c r="L911" s="195"/>
      <c r="M911" s="177"/>
      <c r="N911" s="171"/>
    </row>
    <row r="912" spans="1:14" x14ac:dyDescent="0.2">
      <c r="A912" s="192"/>
      <c r="B912" s="193"/>
      <c r="C912" s="171"/>
      <c r="D912" s="171"/>
      <c r="E912" s="196"/>
      <c r="F912" s="177"/>
      <c r="G912" s="177"/>
      <c r="H912" s="177"/>
      <c r="I912" s="176"/>
      <c r="J912" s="201"/>
      <c r="K912" s="195"/>
      <c r="L912" s="195"/>
      <c r="M912" s="177"/>
      <c r="N912" s="171"/>
    </row>
    <row r="913" spans="1:14" x14ac:dyDescent="0.2">
      <c r="A913" s="192"/>
      <c r="B913" s="193"/>
      <c r="C913" s="171"/>
      <c r="D913" s="171"/>
      <c r="E913" s="196"/>
      <c r="F913" s="177"/>
      <c r="G913" s="177"/>
      <c r="H913" s="177"/>
      <c r="I913" s="176"/>
      <c r="J913" s="201"/>
      <c r="K913" s="195"/>
      <c r="L913" s="195"/>
      <c r="M913" s="177"/>
      <c r="N913" s="171"/>
    </row>
    <row r="914" spans="1:14" x14ac:dyDescent="0.2">
      <c r="A914" s="192"/>
      <c r="B914" s="193"/>
      <c r="C914" s="171"/>
      <c r="D914" s="171"/>
      <c r="E914" s="196"/>
      <c r="F914" s="177"/>
      <c r="G914" s="177"/>
      <c r="H914" s="177"/>
      <c r="I914" s="176"/>
      <c r="J914" s="201"/>
      <c r="K914" s="195"/>
      <c r="L914" s="195"/>
      <c r="M914" s="177"/>
      <c r="N914" s="171"/>
    </row>
    <row r="915" spans="1:14" x14ac:dyDescent="0.2">
      <c r="A915" s="192"/>
      <c r="B915" s="193"/>
      <c r="C915" s="171"/>
      <c r="D915" s="171"/>
      <c r="E915" s="196"/>
      <c r="F915" s="177"/>
      <c r="G915" s="177"/>
      <c r="H915" s="177"/>
      <c r="I915" s="176"/>
      <c r="J915" s="201"/>
      <c r="K915" s="195"/>
      <c r="L915" s="195"/>
      <c r="M915" s="177"/>
      <c r="N915" s="171"/>
    </row>
    <row r="916" spans="1:14" x14ac:dyDescent="0.2">
      <c r="A916" s="192"/>
      <c r="B916" s="193"/>
      <c r="C916" s="171"/>
      <c r="D916" s="171"/>
      <c r="E916" s="196"/>
      <c r="F916" s="177"/>
      <c r="G916" s="177"/>
      <c r="H916" s="177"/>
      <c r="I916" s="176"/>
      <c r="J916" s="201"/>
      <c r="K916" s="195"/>
      <c r="L916" s="195"/>
      <c r="M916" s="177"/>
      <c r="N916" s="171"/>
    </row>
    <row r="917" spans="1:14" x14ac:dyDescent="0.2">
      <c r="A917" s="192"/>
      <c r="B917" s="193"/>
      <c r="C917" s="171"/>
      <c r="D917" s="171"/>
      <c r="E917" s="196"/>
      <c r="F917" s="177"/>
      <c r="G917" s="177"/>
      <c r="H917" s="177"/>
      <c r="I917" s="176"/>
      <c r="J917" s="201"/>
      <c r="K917" s="195"/>
      <c r="L917" s="195"/>
      <c r="M917" s="177"/>
      <c r="N917" s="171"/>
    </row>
    <row r="918" spans="1:14" x14ac:dyDescent="0.2">
      <c r="A918" s="192"/>
      <c r="B918" s="193"/>
      <c r="C918" s="171"/>
      <c r="D918" s="171"/>
      <c r="E918" s="196"/>
      <c r="F918" s="177"/>
      <c r="G918" s="177"/>
      <c r="H918" s="177"/>
      <c r="I918" s="176"/>
      <c r="J918" s="201"/>
      <c r="K918" s="195"/>
      <c r="L918" s="195"/>
      <c r="M918" s="177"/>
      <c r="N918" s="171"/>
    </row>
    <row r="919" spans="1:14" x14ac:dyDescent="0.2">
      <c r="A919" s="192"/>
      <c r="B919" s="193"/>
      <c r="C919" s="171"/>
      <c r="D919" s="171"/>
      <c r="E919" s="196"/>
      <c r="F919" s="177"/>
      <c r="G919" s="177"/>
      <c r="H919" s="177"/>
      <c r="I919" s="176"/>
      <c r="J919" s="201"/>
      <c r="K919" s="195"/>
      <c r="L919" s="195"/>
      <c r="M919" s="177"/>
      <c r="N919" s="171"/>
    </row>
    <row r="920" spans="1:14" x14ac:dyDescent="0.2">
      <c r="A920" s="192"/>
      <c r="B920" s="193"/>
      <c r="C920" s="171"/>
      <c r="D920" s="171"/>
      <c r="E920" s="196"/>
      <c r="F920" s="177"/>
      <c r="G920" s="177"/>
      <c r="H920" s="177"/>
      <c r="I920" s="176"/>
      <c r="J920" s="201"/>
      <c r="K920" s="195"/>
      <c r="L920" s="195"/>
      <c r="M920" s="177"/>
      <c r="N920" s="171"/>
    </row>
    <row r="921" spans="1:14" x14ac:dyDescent="0.2">
      <c r="A921" s="192"/>
      <c r="B921" s="193"/>
      <c r="C921" s="171"/>
      <c r="D921" s="171"/>
      <c r="E921" s="196"/>
      <c r="F921" s="177"/>
      <c r="G921" s="177"/>
      <c r="H921" s="177"/>
      <c r="I921" s="176"/>
      <c r="J921" s="201"/>
      <c r="K921" s="195"/>
      <c r="L921" s="195"/>
      <c r="M921" s="177"/>
      <c r="N921" s="171"/>
    </row>
    <row r="922" spans="1:14" x14ac:dyDescent="0.2">
      <c r="A922" s="192"/>
      <c r="B922" s="193"/>
      <c r="C922" s="171"/>
      <c r="D922" s="171"/>
      <c r="E922" s="196"/>
      <c r="F922" s="177"/>
      <c r="G922" s="177"/>
      <c r="H922" s="177"/>
      <c r="I922" s="176"/>
      <c r="J922" s="201"/>
      <c r="K922" s="195"/>
      <c r="L922" s="195"/>
      <c r="M922" s="177"/>
      <c r="N922" s="171"/>
    </row>
    <row r="923" spans="1:14" x14ac:dyDescent="0.2">
      <c r="A923" s="192"/>
      <c r="B923" s="193"/>
      <c r="C923" s="171"/>
      <c r="D923" s="171"/>
      <c r="E923" s="196"/>
      <c r="F923" s="177"/>
      <c r="G923" s="177"/>
      <c r="H923" s="177"/>
      <c r="I923" s="176"/>
      <c r="J923" s="201"/>
      <c r="K923" s="195"/>
      <c r="L923" s="195"/>
      <c r="M923" s="177"/>
      <c r="N923" s="171"/>
    </row>
    <row r="924" spans="1:14" x14ac:dyDescent="0.2">
      <c r="A924" s="192"/>
      <c r="B924" s="193"/>
      <c r="C924" s="171"/>
      <c r="D924" s="171"/>
      <c r="E924" s="196"/>
      <c r="F924" s="177"/>
      <c r="G924" s="177"/>
      <c r="H924" s="177"/>
      <c r="I924" s="176"/>
      <c r="J924" s="201"/>
      <c r="K924" s="195"/>
      <c r="L924" s="195"/>
      <c r="M924" s="177"/>
      <c r="N924" s="171"/>
    </row>
    <row r="925" spans="1:14" x14ac:dyDescent="0.2">
      <c r="A925" s="192"/>
      <c r="B925" s="193"/>
      <c r="C925" s="171"/>
      <c r="D925" s="171"/>
      <c r="E925" s="196"/>
      <c r="F925" s="177"/>
      <c r="G925" s="177"/>
      <c r="H925" s="177"/>
      <c r="I925" s="176"/>
      <c r="J925" s="201"/>
      <c r="K925" s="195"/>
      <c r="L925" s="195"/>
      <c r="M925" s="177"/>
      <c r="N925" s="171"/>
    </row>
    <row r="926" spans="1:14" x14ac:dyDescent="0.2">
      <c r="A926" s="192"/>
      <c r="B926" s="193"/>
      <c r="C926" s="171"/>
      <c r="D926" s="171"/>
      <c r="E926" s="196"/>
      <c r="F926" s="177"/>
      <c r="G926" s="177"/>
      <c r="H926" s="177"/>
      <c r="I926" s="176"/>
      <c r="J926" s="201"/>
      <c r="K926" s="195"/>
      <c r="L926" s="195"/>
      <c r="M926" s="177"/>
      <c r="N926" s="171"/>
    </row>
    <row r="927" spans="1:14" x14ac:dyDescent="0.2">
      <c r="A927" s="192"/>
      <c r="B927" s="193"/>
      <c r="C927" s="171"/>
      <c r="D927" s="171"/>
      <c r="E927" s="196"/>
      <c r="F927" s="177"/>
      <c r="G927" s="177"/>
      <c r="H927" s="177"/>
      <c r="I927" s="176"/>
      <c r="J927" s="201"/>
      <c r="K927" s="195"/>
      <c r="L927" s="195"/>
      <c r="M927" s="177"/>
      <c r="N927" s="171"/>
    </row>
    <row r="928" spans="1:14" x14ac:dyDescent="0.2">
      <c r="A928" s="192"/>
      <c r="B928" s="193"/>
      <c r="C928" s="171"/>
      <c r="D928" s="171"/>
      <c r="E928" s="196"/>
      <c r="F928" s="177"/>
      <c r="G928" s="177"/>
      <c r="H928" s="177"/>
      <c r="I928" s="176"/>
      <c r="J928" s="201"/>
      <c r="K928" s="195"/>
      <c r="L928" s="195"/>
      <c r="M928" s="177"/>
      <c r="N928" s="171"/>
    </row>
    <row r="929" spans="1:14" x14ac:dyDescent="0.2">
      <c r="A929" s="192"/>
      <c r="B929" s="193"/>
      <c r="C929" s="171"/>
      <c r="D929" s="171"/>
      <c r="E929" s="196"/>
      <c r="F929" s="177"/>
      <c r="G929" s="177"/>
      <c r="H929" s="177"/>
      <c r="I929" s="176"/>
      <c r="J929" s="201"/>
      <c r="K929" s="195"/>
      <c r="L929" s="195"/>
      <c r="M929" s="177"/>
      <c r="N929" s="171"/>
    </row>
    <row r="930" spans="1:14" x14ac:dyDescent="0.2">
      <c r="A930" s="192"/>
      <c r="B930" s="193"/>
      <c r="C930" s="171"/>
      <c r="D930" s="171"/>
      <c r="E930" s="196"/>
      <c r="F930" s="177"/>
      <c r="G930" s="177"/>
      <c r="H930" s="177"/>
      <c r="I930" s="176"/>
      <c r="J930" s="201"/>
      <c r="K930" s="195"/>
      <c r="L930" s="195"/>
      <c r="M930" s="177"/>
      <c r="N930" s="171"/>
    </row>
    <row r="931" spans="1:14" x14ac:dyDescent="0.2">
      <c r="A931" s="192"/>
      <c r="B931" s="193"/>
      <c r="C931" s="171"/>
      <c r="D931" s="171"/>
      <c r="E931" s="196"/>
      <c r="F931" s="177"/>
      <c r="G931" s="177"/>
      <c r="H931" s="177"/>
      <c r="I931" s="176"/>
      <c r="J931" s="201"/>
      <c r="K931" s="195"/>
      <c r="L931" s="195"/>
      <c r="M931" s="177"/>
      <c r="N931" s="171"/>
    </row>
    <row r="932" spans="1:14" x14ac:dyDescent="0.2">
      <c r="A932" s="192"/>
      <c r="B932" s="193"/>
      <c r="C932" s="171"/>
      <c r="D932" s="171"/>
      <c r="E932" s="196"/>
      <c r="F932" s="177"/>
      <c r="G932" s="177"/>
      <c r="H932" s="177"/>
      <c r="I932" s="176"/>
      <c r="J932" s="201"/>
      <c r="K932" s="195"/>
      <c r="L932" s="195"/>
      <c r="M932" s="177"/>
      <c r="N932" s="171"/>
    </row>
    <row r="933" spans="1:14" x14ac:dyDescent="0.2">
      <c r="A933" s="192"/>
      <c r="B933" s="193"/>
      <c r="C933" s="171"/>
      <c r="D933" s="171"/>
      <c r="E933" s="196"/>
      <c r="F933" s="177"/>
      <c r="G933" s="177"/>
      <c r="H933" s="177"/>
      <c r="I933" s="176"/>
      <c r="J933" s="201"/>
      <c r="K933" s="195"/>
      <c r="L933" s="195"/>
      <c r="M933" s="177"/>
      <c r="N933" s="171"/>
    </row>
    <row r="934" spans="1:14" x14ac:dyDescent="0.2">
      <c r="A934" s="192"/>
      <c r="B934" s="193"/>
      <c r="C934" s="171"/>
      <c r="D934" s="171"/>
      <c r="E934" s="196"/>
      <c r="F934" s="177"/>
      <c r="G934" s="177"/>
      <c r="H934" s="177"/>
      <c r="I934" s="176"/>
      <c r="J934" s="201"/>
      <c r="K934" s="195"/>
      <c r="L934" s="195"/>
      <c r="M934" s="177"/>
      <c r="N934" s="171"/>
    </row>
    <row r="935" spans="1:14" x14ac:dyDescent="0.2">
      <c r="A935" s="192"/>
      <c r="B935" s="193"/>
      <c r="C935" s="171"/>
      <c r="D935" s="171"/>
      <c r="E935" s="196"/>
      <c r="F935" s="177"/>
      <c r="G935" s="177"/>
      <c r="H935" s="177"/>
      <c r="I935" s="176"/>
      <c r="J935" s="201"/>
      <c r="K935" s="195"/>
      <c r="L935" s="195"/>
      <c r="M935" s="177"/>
      <c r="N935" s="171"/>
    </row>
    <row r="936" spans="1:14" x14ac:dyDescent="0.2">
      <c r="A936" s="192"/>
      <c r="B936" s="193"/>
      <c r="C936" s="171"/>
      <c r="D936" s="171"/>
      <c r="E936" s="196"/>
      <c r="F936" s="177"/>
      <c r="G936" s="177"/>
      <c r="H936" s="177"/>
      <c r="I936" s="176"/>
      <c r="J936" s="201"/>
      <c r="K936" s="195"/>
      <c r="L936" s="195"/>
      <c r="M936" s="177"/>
      <c r="N936" s="171"/>
    </row>
    <row r="937" spans="1:14" x14ac:dyDescent="0.2">
      <c r="A937" s="192"/>
      <c r="B937" s="193"/>
      <c r="C937" s="171"/>
      <c r="D937" s="171"/>
      <c r="E937" s="196"/>
      <c r="F937" s="177"/>
      <c r="G937" s="177"/>
      <c r="H937" s="177"/>
      <c r="I937" s="176"/>
      <c r="J937" s="201"/>
      <c r="K937" s="195"/>
      <c r="L937" s="195"/>
      <c r="M937" s="177"/>
      <c r="N937" s="171"/>
    </row>
    <row r="938" spans="1:14" x14ac:dyDescent="0.2">
      <c r="A938" s="192"/>
      <c r="B938" s="193"/>
      <c r="C938" s="171"/>
      <c r="D938" s="171"/>
      <c r="E938" s="196"/>
      <c r="F938" s="177"/>
      <c r="G938" s="177"/>
      <c r="H938" s="177"/>
      <c r="I938" s="176"/>
      <c r="J938" s="201"/>
      <c r="K938" s="195"/>
      <c r="L938" s="195"/>
      <c r="M938" s="177"/>
      <c r="N938" s="171"/>
    </row>
    <row r="939" spans="1:14" x14ac:dyDescent="0.2">
      <c r="A939" s="192"/>
      <c r="B939" s="193"/>
      <c r="C939" s="171"/>
      <c r="D939" s="171"/>
      <c r="E939" s="196"/>
      <c r="F939" s="177"/>
      <c r="G939" s="177"/>
      <c r="H939" s="177"/>
      <c r="I939" s="176"/>
      <c r="J939" s="201"/>
      <c r="K939" s="195"/>
      <c r="L939" s="195"/>
      <c r="M939" s="177"/>
      <c r="N939" s="171"/>
    </row>
    <row r="940" spans="1:14" x14ac:dyDescent="0.2">
      <c r="A940" s="192"/>
      <c r="B940" s="193"/>
      <c r="C940" s="171"/>
      <c r="D940" s="171"/>
      <c r="E940" s="196"/>
      <c r="F940" s="177"/>
      <c r="G940" s="177"/>
      <c r="H940" s="177"/>
      <c r="I940" s="176"/>
      <c r="J940" s="201"/>
      <c r="K940" s="195"/>
      <c r="L940" s="195"/>
      <c r="M940" s="177"/>
      <c r="N940" s="171"/>
    </row>
    <row r="941" spans="1:14" x14ac:dyDescent="0.2">
      <c r="A941" s="192"/>
      <c r="B941" s="193"/>
      <c r="C941" s="171"/>
      <c r="D941" s="171"/>
      <c r="E941" s="196"/>
      <c r="F941" s="177"/>
      <c r="G941" s="177"/>
      <c r="H941" s="177"/>
      <c r="I941" s="176"/>
      <c r="J941" s="201"/>
      <c r="K941" s="195"/>
      <c r="L941" s="195"/>
      <c r="M941" s="177"/>
      <c r="N941" s="171"/>
    </row>
    <row r="942" spans="1:14" x14ac:dyDescent="0.2">
      <c r="A942" s="192"/>
      <c r="B942" s="193"/>
      <c r="C942" s="171"/>
      <c r="D942" s="171"/>
      <c r="E942" s="196"/>
      <c r="F942" s="177"/>
      <c r="G942" s="177"/>
      <c r="H942" s="177"/>
      <c r="I942" s="176"/>
      <c r="J942" s="201"/>
      <c r="K942" s="195"/>
      <c r="L942" s="195"/>
      <c r="M942" s="177"/>
      <c r="N942" s="171"/>
    </row>
    <row r="943" spans="1:14" x14ac:dyDescent="0.2">
      <c r="A943" s="192"/>
      <c r="B943" s="193"/>
      <c r="C943" s="171"/>
      <c r="D943" s="171"/>
      <c r="E943" s="196"/>
      <c r="F943" s="177"/>
      <c r="G943" s="177"/>
      <c r="H943" s="177"/>
      <c r="I943" s="176"/>
      <c r="J943" s="201"/>
      <c r="K943" s="195"/>
      <c r="L943" s="195"/>
      <c r="M943" s="177"/>
      <c r="N943" s="171"/>
    </row>
    <row r="944" spans="1:14" x14ac:dyDescent="0.2">
      <c r="A944" s="192"/>
      <c r="B944" s="193"/>
      <c r="C944" s="171"/>
      <c r="D944" s="171"/>
      <c r="E944" s="196"/>
      <c r="F944" s="177"/>
      <c r="G944" s="177"/>
      <c r="H944" s="177"/>
      <c r="I944" s="176"/>
      <c r="J944" s="201"/>
      <c r="K944" s="195"/>
      <c r="L944" s="195"/>
      <c r="M944" s="177"/>
      <c r="N944" s="171"/>
    </row>
    <row r="945" spans="1:14" x14ac:dyDescent="0.2">
      <c r="A945" s="192"/>
      <c r="B945" s="193"/>
      <c r="C945" s="171"/>
      <c r="D945" s="171"/>
      <c r="E945" s="196"/>
      <c r="F945" s="177"/>
      <c r="G945" s="177"/>
      <c r="H945" s="177"/>
      <c r="I945" s="176"/>
      <c r="J945" s="201"/>
      <c r="K945" s="195"/>
      <c r="L945" s="195"/>
      <c r="M945" s="177"/>
      <c r="N945" s="171"/>
    </row>
    <row r="946" spans="1:14" x14ac:dyDescent="0.2">
      <c r="A946" s="192"/>
      <c r="B946" s="193"/>
      <c r="C946" s="171"/>
      <c r="D946" s="171"/>
      <c r="E946" s="196"/>
      <c r="F946" s="177"/>
      <c r="G946" s="177"/>
      <c r="H946" s="177"/>
      <c r="I946" s="176"/>
      <c r="J946" s="201"/>
      <c r="K946" s="195"/>
      <c r="L946" s="195"/>
      <c r="M946" s="177"/>
      <c r="N946" s="171"/>
    </row>
    <row r="947" spans="1:14" x14ac:dyDescent="0.2">
      <c r="A947" s="192"/>
      <c r="B947" s="193"/>
      <c r="C947" s="171"/>
      <c r="D947" s="171"/>
      <c r="E947" s="196"/>
      <c r="F947" s="177"/>
      <c r="G947" s="177"/>
      <c r="H947" s="177"/>
      <c r="I947" s="176"/>
      <c r="J947" s="201"/>
      <c r="K947" s="195"/>
      <c r="L947" s="195"/>
      <c r="M947" s="177"/>
      <c r="N947" s="171"/>
    </row>
    <row r="948" spans="1:14" x14ac:dyDescent="0.2">
      <c r="A948" s="192"/>
      <c r="B948" s="193"/>
      <c r="C948" s="171"/>
      <c r="D948" s="171"/>
      <c r="E948" s="196"/>
      <c r="F948" s="177"/>
      <c r="G948" s="177"/>
      <c r="H948" s="177"/>
      <c r="I948" s="176"/>
      <c r="J948" s="201"/>
      <c r="K948" s="195"/>
      <c r="L948" s="195"/>
      <c r="M948" s="177"/>
      <c r="N948" s="171"/>
    </row>
    <row r="949" spans="1:14" x14ac:dyDescent="0.2">
      <c r="A949" s="192"/>
      <c r="B949" s="193"/>
      <c r="C949" s="171"/>
      <c r="D949" s="171"/>
      <c r="E949" s="196"/>
      <c r="F949" s="177"/>
      <c r="G949" s="177"/>
      <c r="H949" s="177"/>
      <c r="I949" s="176"/>
      <c r="J949" s="201"/>
      <c r="K949" s="195"/>
      <c r="L949" s="195"/>
      <c r="M949" s="177"/>
      <c r="N949" s="171"/>
    </row>
    <row r="950" spans="1:14" x14ac:dyDescent="0.2">
      <c r="A950" s="192"/>
      <c r="B950" s="193"/>
      <c r="C950" s="171"/>
      <c r="D950" s="171"/>
      <c r="E950" s="196"/>
      <c r="F950" s="177"/>
      <c r="G950" s="177"/>
      <c r="H950" s="177"/>
      <c r="I950" s="176"/>
      <c r="J950" s="201"/>
      <c r="K950" s="195"/>
      <c r="L950" s="195"/>
      <c r="M950" s="177"/>
      <c r="N950" s="171"/>
    </row>
    <row r="951" spans="1:14" x14ac:dyDescent="0.2">
      <c r="A951" s="192"/>
      <c r="B951" s="193"/>
      <c r="C951" s="171"/>
      <c r="D951" s="171"/>
      <c r="E951" s="196"/>
      <c r="F951" s="177"/>
      <c r="G951" s="177"/>
      <c r="H951" s="177"/>
      <c r="I951" s="176"/>
      <c r="J951" s="201"/>
      <c r="K951" s="195"/>
      <c r="L951" s="195"/>
      <c r="M951" s="177"/>
      <c r="N951" s="171"/>
    </row>
    <row r="952" spans="1:14" x14ac:dyDescent="0.2">
      <c r="A952" s="192"/>
      <c r="B952" s="193"/>
      <c r="C952" s="171"/>
      <c r="D952" s="171"/>
      <c r="E952" s="196"/>
      <c r="F952" s="177"/>
      <c r="G952" s="177"/>
      <c r="H952" s="177"/>
      <c r="I952" s="176"/>
      <c r="J952" s="201"/>
      <c r="K952" s="195"/>
      <c r="L952" s="195"/>
      <c r="M952" s="177"/>
      <c r="N952" s="171"/>
    </row>
    <row r="953" spans="1:14" x14ac:dyDescent="0.2">
      <c r="A953" s="192"/>
      <c r="B953" s="193"/>
      <c r="C953" s="171"/>
      <c r="D953" s="171"/>
      <c r="E953" s="196"/>
      <c r="F953" s="177"/>
      <c r="G953" s="177"/>
      <c r="H953" s="177"/>
      <c r="I953" s="176"/>
      <c r="J953" s="201"/>
      <c r="K953" s="195"/>
      <c r="L953" s="195"/>
      <c r="M953" s="177"/>
      <c r="N953" s="171"/>
    </row>
    <row r="954" spans="1:14" x14ac:dyDescent="0.2">
      <c r="A954" s="192"/>
      <c r="B954" s="193"/>
      <c r="C954" s="171"/>
      <c r="D954" s="171"/>
      <c r="E954" s="196"/>
      <c r="F954" s="177"/>
      <c r="G954" s="177"/>
      <c r="H954" s="177"/>
      <c r="I954" s="176"/>
      <c r="J954" s="201"/>
      <c r="K954" s="195"/>
      <c r="L954" s="195"/>
      <c r="M954" s="177"/>
      <c r="N954" s="171"/>
    </row>
    <row r="955" spans="1:14" x14ac:dyDescent="0.2">
      <c r="A955" s="192"/>
      <c r="B955" s="193"/>
      <c r="C955" s="171"/>
      <c r="D955" s="171"/>
      <c r="E955" s="196"/>
      <c r="F955" s="177"/>
      <c r="G955" s="177"/>
      <c r="H955" s="177"/>
      <c r="I955" s="176"/>
      <c r="J955" s="201"/>
      <c r="K955" s="195"/>
      <c r="L955" s="195"/>
      <c r="M955" s="177"/>
      <c r="N955" s="171"/>
    </row>
    <row r="956" spans="1:14" x14ac:dyDescent="0.2">
      <c r="A956" s="192"/>
      <c r="B956" s="193"/>
      <c r="C956" s="171"/>
      <c r="D956" s="171"/>
      <c r="E956" s="196"/>
      <c r="F956" s="177"/>
      <c r="G956" s="177"/>
      <c r="H956" s="177"/>
      <c r="I956" s="176"/>
      <c r="J956" s="201"/>
      <c r="K956" s="195"/>
      <c r="L956" s="195"/>
      <c r="M956" s="177"/>
      <c r="N956" s="171"/>
    </row>
    <row r="957" spans="1:14" x14ac:dyDescent="0.2">
      <c r="A957" s="192"/>
      <c r="B957" s="193"/>
      <c r="C957" s="171"/>
      <c r="D957" s="171"/>
      <c r="E957" s="196"/>
      <c r="F957" s="177"/>
      <c r="G957" s="177"/>
      <c r="H957" s="177"/>
      <c r="I957" s="176"/>
      <c r="J957" s="201"/>
      <c r="K957" s="195"/>
      <c r="L957" s="195"/>
      <c r="M957" s="177"/>
      <c r="N957" s="171"/>
    </row>
    <row r="958" spans="1:14" x14ac:dyDescent="0.2">
      <c r="A958" s="192"/>
      <c r="B958" s="193"/>
      <c r="C958" s="171"/>
      <c r="D958" s="171"/>
      <c r="E958" s="196"/>
      <c r="F958" s="177"/>
      <c r="G958" s="177"/>
      <c r="H958" s="177"/>
      <c r="I958" s="176"/>
      <c r="J958" s="201"/>
      <c r="K958" s="195"/>
      <c r="L958" s="195"/>
      <c r="M958" s="177"/>
      <c r="N958" s="171"/>
    </row>
    <row r="959" spans="1:14" x14ac:dyDescent="0.2">
      <c r="A959" s="192"/>
      <c r="B959" s="193"/>
      <c r="C959" s="171"/>
      <c r="D959" s="171"/>
      <c r="E959" s="196"/>
      <c r="F959" s="177"/>
      <c r="G959" s="177"/>
      <c r="H959" s="177"/>
      <c r="I959" s="176"/>
      <c r="J959" s="201"/>
      <c r="K959" s="195"/>
      <c r="L959" s="195"/>
      <c r="M959" s="177"/>
      <c r="N959" s="171"/>
    </row>
    <row r="960" spans="1:14" x14ac:dyDescent="0.2">
      <c r="A960" s="192"/>
      <c r="B960" s="193"/>
      <c r="C960" s="171"/>
      <c r="D960" s="171"/>
      <c r="E960" s="196"/>
      <c r="F960" s="177"/>
      <c r="G960" s="177"/>
      <c r="H960" s="177"/>
      <c r="I960" s="176"/>
      <c r="J960" s="201"/>
      <c r="K960" s="195"/>
      <c r="L960" s="195"/>
      <c r="M960" s="177"/>
      <c r="N960" s="171"/>
    </row>
    <row r="961" spans="1:14" x14ac:dyDescent="0.2">
      <c r="A961" s="192"/>
      <c r="B961" s="193"/>
      <c r="C961" s="171"/>
      <c r="D961" s="171"/>
      <c r="E961" s="196"/>
      <c r="F961" s="177"/>
      <c r="G961" s="177"/>
      <c r="H961" s="177"/>
      <c r="I961" s="176"/>
      <c r="J961" s="201"/>
      <c r="K961" s="195"/>
      <c r="L961" s="195"/>
      <c r="M961" s="177"/>
      <c r="N961" s="171"/>
    </row>
    <row r="962" spans="1:14" x14ac:dyDescent="0.2">
      <c r="A962" s="192"/>
      <c r="B962" s="193"/>
      <c r="C962" s="171"/>
      <c r="D962" s="171"/>
      <c r="E962" s="196"/>
      <c r="F962" s="177"/>
      <c r="G962" s="177"/>
      <c r="H962" s="177"/>
      <c r="I962" s="176"/>
      <c r="J962" s="201"/>
      <c r="K962" s="195"/>
      <c r="L962" s="195"/>
      <c r="M962" s="177"/>
      <c r="N962" s="171"/>
    </row>
    <row r="963" spans="1:14" x14ac:dyDescent="0.2">
      <c r="A963" s="192"/>
      <c r="B963" s="193"/>
      <c r="C963" s="171"/>
      <c r="D963" s="171"/>
      <c r="E963" s="196"/>
      <c r="F963" s="177"/>
      <c r="G963" s="177"/>
      <c r="H963" s="177"/>
      <c r="I963" s="176"/>
      <c r="J963" s="201"/>
      <c r="K963" s="195"/>
      <c r="L963" s="195"/>
      <c r="M963" s="177"/>
      <c r="N963" s="171"/>
    </row>
    <row r="964" spans="1:14" x14ac:dyDescent="0.2">
      <c r="A964" s="192"/>
      <c r="B964" s="193"/>
      <c r="C964" s="171"/>
      <c r="D964" s="171"/>
      <c r="E964" s="196"/>
      <c r="F964" s="177"/>
      <c r="G964" s="177"/>
      <c r="H964" s="177"/>
      <c r="I964" s="176"/>
      <c r="J964" s="201"/>
      <c r="K964" s="195"/>
      <c r="L964" s="195"/>
      <c r="M964" s="177"/>
      <c r="N964" s="171"/>
    </row>
    <row r="965" spans="1:14" x14ac:dyDescent="0.2">
      <c r="A965" s="192"/>
      <c r="B965" s="193"/>
      <c r="C965" s="171"/>
      <c r="D965" s="171"/>
      <c r="E965" s="196"/>
      <c r="F965" s="177"/>
      <c r="G965" s="177"/>
      <c r="H965" s="177"/>
      <c r="I965" s="176"/>
      <c r="J965" s="201"/>
      <c r="K965" s="195"/>
      <c r="L965" s="195"/>
      <c r="M965" s="177"/>
      <c r="N965" s="171"/>
    </row>
    <row r="966" spans="1:14" x14ac:dyDescent="0.2">
      <c r="A966" s="192"/>
      <c r="B966" s="193"/>
      <c r="C966" s="171"/>
      <c r="D966" s="171"/>
      <c r="E966" s="196"/>
      <c r="F966" s="177"/>
      <c r="G966" s="177"/>
      <c r="H966" s="177"/>
      <c r="I966" s="176"/>
      <c r="J966" s="201"/>
      <c r="K966" s="195"/>
      <c r="L966" s="195"/>
      <c r="M966" s="177"/>
      <c r="N966" s="171"/>
    </row>
    <row r="967" spans="1:14" x14ac:dyDescent="0.2">
      <c r="A967" s="192"/>
      <c r="B967" s="193"/>
      <c r="C967" s="171"/>
      <c r="D967" s="171"/>
      <c r="E967" s="196"/>
      <c r="F967" s="177"/>
      <c r="G967" s="177"/>
      <c r="H967" s="177"/>
      <c r="I967" s="176"/>
      <c r="J967" s="201"/>
      <c r="K967" s="195"/>
      <c r="L967" s="195"/>
      <c r="M967" s="177"/>
      <c r="N967" s="171"/>
    </row>
    <row r="968" spans="1:14" x14ac:dyDescent="0.2">
      <c r="A968" s="192"/>
      <c r="B968" s="193"/>
      <c r="C968" s="171"/>
      <c r="D968" s="171"/>
      <c r="E968" s="196"/>
      <c r="F968" s="177"/>
      <c r="G968" s="177"/>
      <c r="H968" s="177"/>
      <c r="I968" s="176"/>
      <c r="J968" s="201"/>
      <c r="K968" s="195"/>
      <c r="L968" s="195"/>
      <c r="M968" s="177"/>
      <c r="N968" s="171"/>
    </row>
    <row r="969" spans="1:14" x14ac:dyDescent="0.2">
      <c r="A969" s="192"/>
      <c r="B969" s="193"/>
      <c r="C969" s="171"/>
      <c r="D969" s="171"/>
      <c r="E969" s="196"/>
      <c r="F969" s="177"/>
      <c r="G969" s="177"/>
      <c r="H969" s="177"/>
      <c r="I969" s="176"/>
      <c r="J969" s="201"/>
      <c r="K969" s="195"/>
      <c r="L969" s="195"/>
      <c r="M969" s="177"/>
      <c r="N969" s="171"/>
    </row>
    <row r="970" spans="1:14" x14ac:dyDescent="0.2">
      <c r="A970" s="192"/>
      <c r="B970" s="193"/>
      <c r="C970" s="171"/>
      <c r="D970" s="171"/>
      <c r="E970" s="196"/>
      <c r="F970" s="177"/>
      <c r="G970" s="177"/>
      <c r="H970" s="177"/>
      <c r="I970" s="176"/>
      <c r="J970" s="201"/>
      <c r="K970" s="195"/>
      <c r="L970" s="195"/>
      <c r="M970" s="177"/>
      <c r="N970" s="171"/>
    </row>
    <row r="971" spans="1:14" x14ac:dyDescent="0.2">
      <c r="A971" s="192"/>
      <c r="B971" s="193"/>
      <c r="C971" s="171"/>
      <c r="D971" s="171"/>
      <c r="E971" s="196"/>
      <c r="F971" s="177"/>
      <c r="G971" s="177"/>
      <c r="H971" s="177"/>
      <c r="I971" s="176"/>
      <c r="J971" s="201"/>
      <c r="K971" s="195"/>
      <c r="L971" s="195"/>
      <c r="M971" s="177"/>
      <c r="N971" s="171"/>
    </row>
    <row r="972" spans="1:14" x14ac:dyDescent="0.2">
      <c r="A972" s="192"/>
      <c r="B972" s="193"/>
      <c r="C972" s="171"/>
      <c r="D972" s="171"/>
      <c r="E972" s="196"/>
      <c r="F972" s="177"/>
      <c r="G972" s="177"/>
      <c r="H972" s="177"/>
      <c r="I972" s="176"/>
      <c r="J972" s="201"/>
      <c r="K972" s="195"/>
      <c r="L972" s="195"/>
      <c r="M972" s="177"/>
      <c r="N972" s="171"/>
    </row>
    <row r="973" spans="1:14" x14ac:dyDescent="0.2">
      <c r="A973" s="192"/>
      <c r="B973" s="193"/>
      <c r="C973" s="171"/>
      <c r="D973" s="171"/>
      <c r="E973" s="196"/>
      <c r="F973" s="177"/>
      <c r="G973" s="177"/>
      <c r="H973" s="177"/>
      <c r="I973" s="176"/>
      <c r="J973" s="201"/>
      <c r="K973" s="195"/>
      <c r="L973" s="195"/>
      <c r="M973" s="177"/>
      <c r="N973" s="171"/>
    </row>
    <row r="974" spans="1:14" x14ac:dyDescent="0.2">
      <c r="A974" s="192"/>
      <c r="B974" s="193"/>
      <c r="C974" s="171"/>
      <c r="D974" s="171"/>
      <c r="E974" s="196"/>
      <c r="F974" s="177"/>
      <c r="G974" s="177"/>
      <c r="H974" s="177"/>
      <c r="I974" s="176"/>
      <c r="J974" s="201"/>
      <c r="K974" s="195"/>
      <c r="L974" s="195"/>
      <c r="M974" s="177"/>
      <c r="N974" s="171"/>
    </row>
    <row r="975" spans="1:14" x14ac:dyDescent="0.2">
      <c r="A975" s="192"/>
      <c r="B975" s="193"/>
      <c r="C975" s="171"/>
      <c r="D975" s="171"/>
      <c r="E975" s="196"/>
      <c r="F975" s="177"/>
      <c r="G975" s="177"/>
      <c r="H975" s="177"/>
      <c r="I975" s="176"/>
      <c r="J975" s="201"/>
      <c r="K975" s="195"/>
      <c r="L975" s="195"/>
      <c r="M975" s="177"/>
      <c r="N975" s="171"/>
    </row>
    <row r="976" spans="1:14" x14ac:dyDescent="0.2">
      <c r="A976" s="192"/>
      <c r="B976" s="193"/>
      <c r="C976" s="171"/>
      <c r="D976" s="171"/>
      <c r="E976" s="196"/>
      <c r="F976" s="177"/>
      <c r="G976" s="177"/>
      <c r="H976" s="177"/>
      <c r="I976" s="176"/>
      <c r="J976" s="201"/>
      <c r="K976" s="195"/>
      <c r="L976" s="195"/>
      <c r="M976" s="177"/>
      <c r="N976" s="171"/>
    </row>
    <row r="977" spans="1:14" x14ac:dyDescent="0.2">
      <c r="A977" s="192"/>
      <c r="B977" s="193"/>
      <c r="C977" s="171"/>
      <c r="D977" s="171"/>
      <c r="E977" s="196"/>
      <c r="F977" s="177"/>
      <c r="G977" s="177"/>
      <c r="H977" s="177"/>
      <c r="I977" s="176"/>
      <c r="J977" s="201"/>
      <c r="K977" s="195"/>
      <c r="L977" s="195"/>
      <c r="M977" s="177"/>
      <c r="N977" s="171"/>
    </row>
    <row r="978" spans="1:14" x14ac:dyDescent="0.2">
      <c r="A978" s="192"/>
      <c r="B978" s="193"/>
      <c r="C978" s="171"/>
      <c r="D978" s="171"/>
      <c r="E978" s="196"/>
      <c r="F978" s="177"/>
      <c r="G978" s="177"/>
      <c r="H978" s="177"/>
      <c r="I978" s="176"/>
      <c r="J978" s="201"/>
      <c r="K978" s="195"/>
      <c r="L978" s="195"/>
      <c r="M978" s="177"/>
      <c r="N978" s="171"/>
    </row>
    <row r="979" spans="1:14" x14ac:dyDescent="0.2">
      <c r="A979" s="192"/>
      <c r="B979" s="193"/>
      <c r="C979" s="171"/>
      <c r="D979" s="171"/>
      <c r="E979" s="196"/>
      <c r="F979" s="177"/>
      <c r="G979" s="177"/>
      <c r="H979" s="177"/>
      <c r="I979" s="176"/>
      <c r="J979" s="201"/>
      <c r="K979" s="195"/>
      <c r="L979" s="195"/>
      <c r="M979" s="177"/>
      <c r="N979" s="171"/>
    </row>
    <row r="980" spans="1:14" x14ac:dyDescent="0.2">
      <c r="A980" s="192"/>
      <c r="B980" s="193"/>
      <c r="C980" s="171"/>
      <c r="D980" s="171"/>
      <c r="E980" s="196"/>
      <c r="F980" s="177"/>
      <c r="G980" s="177"/>
      <c r="H980" s="177"/>
      <c r="I980" s="176"/>
      <c r="J980" s="201"/>
      <c r="K980" s="195"/>
      <c r="L980" s="195"/>
      <c r="M980" s="177"/>
      <c r="N980" s="171"/>
    </row>
    <row r="981" spans="1:14" x14ac:dyDescent="0.2">
      <c r="A981" s="192"/>
      <c r="B981" s="193"/>
      <c r="C981" s="171"/>
      <c r="D981" s="171"/>
      <c r="E981" s="196"/>
      <c r="F981" s="177"/>
      <c r="G981" s="177"/>
      <c r="H981" s="177"/>
      <c r="I981" s="176"/>
      <c r="J981" s="201"/>
      <c r="K981" s="195"/>
      <c r="L981" s="195"/>
      <c r="M981" s="177"/>
      <c r="N981" s="171"/>
    </row>
    <row r="982" spans="1:14" x14ac:dyDescent="0.2">
      <c r="A982" s="192"/>
      <c r="B982" s="193"/>
      <c r="C982" s="171"/>
      <c r="D982" s="171"/>
      <c r="E982" s="196"/>
      <c r="F982" s="177"/>
      <c r="G982" s="177"/>
      <c r="H982" s="177"/>
      <c r="I982" s="176"/>
      <c r="J982" s="201"/>
      <c r="K982" s="195"/>
      <c r="L982" s="195"/>
      <c r="M982" s="177"/>
      <c r="N982" s="171"/>
    </row>
    <row r="983" spans="1:14" x14ac:dyDescent="0.2">
      <c r="A983" s="192"/>
      <c r="B983" s="193"/>
      <c r="C983" s="171"/>
      <c r="D983" s="171"/>
      <c r="E983" s="196"/>
      <c r="F983" s="177"/>
      <c r="G983" s="177"/>
      <c r="H983" s="177"/>
      <c r="I983" s="176"/>
      <c r="J983" s="201"/>
      <c r="K983" s="195"/>
      <c r="L983" s="195"/>
      <c r="M983" s="177"/>
      <c r="N983" s="171"/>
    </row>
    <row r="984" spans="1:14" x14ac:dyDescent="0.2">
      <c r="A984" s="192"/>
      <c r="B984" s="193"/>
      <c r="C984" s="171"/>
      <c r="D984" s="171"/>
      <c r="E984" s="196"/>
      <c r="F984" s="177"/>
      <c r="G984" s="177"/>
      <c r="H984" s="177"/>
      <c r="I984" s="176"/>
      <c r="J984" s="201"/>
      <c r="K984" s="195"/>
      <c r="L984" s="195"/>
      <c r="M984" s="177"/>
      <c r="N984" s="171"/>
    </row>
    <row r="985" spans="1:14" x14ac:dyDescent="0.2">
      <c r="A985" s="192"/>
      <c r="B985" s="193"/>
      <c r="C985" s="171"/>
      <c r="D985" s="171"/>
      <c r="E985" s="196"/>
      <c r="F985" s="177"/>
      <c r="G985" s="177"/>
      <c r="H985" s="177"/>
      <c r="I985" s="176"/>
      <c r="J985" s="201"/>
      <c r="K985" s="195"/>
      <c r="L985" s="195"/>
      <c r="M985" s="177"/>
      <c r="N985" s="171"/>
    </row>
    <row r="986" spans="1:14" x14ac:dyDescent="0.2">
      <c r="A986" s="192"/>
      <c r="B986" s="193"/>
      <c r="C986" s="171"/>
      <c r="D986" s="171"/>
      <c r="E986" s="196"/>
      <c r="F986" s="177"/>
      <c r="G986" s="177"/>
      <c r="H986" s="177"/>
      <c r="I986" s="176"/>
      <c r="J986" s="201"/>
      <c r="K986" s="195"/>
      <c r="L986" s="195"/>
      <c r="M986" s="177"/>
      <c r="N986" s="171"/>
    </row>
    <row r="987" spans="1:14" x14ac:dyDescent="0.2">
      <c r="A987" s="192"/>
      <c r="B987" s="193"/>
      <c r="C987" s="171"/>
      <c r="D987" s="171"/>
      <c r="E987" s="196"/>
      <c r="F987" s="177"/>
      <c r="G987" s="177"/>
      <c r="H987" s="177"/>
      <c r="I987" s="176"/>
      <c r="J987" s="201"/>
      <c r="K987" s="195"/>
      <c r="L987" s="195"/>
      <c r="M987" s="177"/>
      <c r="N987" s="171"/>
    </row>
    <row r="988" spans="1:14" x14ac:dyDescent="0.2">
      <c r="A988" s="192"/>
      <c r="B988" s="193"/>
      <c r="C988" s="171"/>
      <c r="D988" s="171"/>
      <c r="E988" s="196"/>
      <c r="F988" s="177"/>
      <c r="G988" s="177"/>
      <c r="H988" s="177"/>
      <c r="I988" s="176"/>
      <c r="J988" s="201"/>
      <c r="K988" s="195"/>
      <c r="L988" s="195"/>
      <c r="M988" s="177"/>
      <c r="N988" s="171"/>
    </row>
    <row r="989" spans="1:14" x14ac:dyDescent="0.2">
      <c r="A989" s="192"/>
      <c r="B989" s="193"/>
      <c r="C989" s="171"/>
      <c r="D989" s="171"/>
      <c r="E989" s="196"/>
      <c r="F989" s="177"/>
      <c r="G989" s="177"/>
      <c r="H989" s="177"/>
      <c r="I989" s="176"/>
      <c r="J989" s="201"/>
      <c r="K989" s="195"/>
      <c r="L989" s="195"/>
      <c r="M989" s="177"/>
      <c r="N989" s="171"/>
    </row>
    <row r="990" spans="1:14" x14ac:dyDescent="0.2">
      <c r="A990" s="192"/>
      <c r="B990" s="193"/>
      <c r="C990" s="171"/>
      <c r="D990" s="171"/>
      <c r="E990" s="196"/>
      <c r="F990" s="177"/>
      <c r="G990" s="177"/>
      <c r="H990" s="177"/>
      <c r="I990" s="176"/>
      <c r="J990" s="201"/>
      <c r="K990" s="195"/>
      <c r="L990" s="195"/>
      <c r="M990" s="177"/>
      <c r="N990" s="171"/>
    </row>
    <row r="991" spans="1:14" x14ac:dyDescent="0.2">
      <c r="A991" s="192"/>
      <c r="B991" s="193"/>
      <c r="C991" s="171"/>
      <c r="D991" s="171"/>
      <c r="E991" s="196"/>
      <c r="F991" s="177"/>
      <c r="G991" s="177"/>
      <c r="H991" s="177"/>
      <c r="I991" s="176"/>
      <c r="J991" s="201"/>
      <c r="K991" s="195"/>
      <c r="L991" s="195"/>
      <c r="M991" s="177"/>
      <c r="N991" s="171"/>
    </row>
    <row r="992" spans="1:14" x14ac:dyDescent="0.2">
      <c r="A992" s="192"/>
      <c r="B992" s="193"/>
      <c r="C992" s="171"/>
      <c r="D992" s="171"/>
      <c r="E992" s="196"/>
      <c r="F992" s="177"/>
      <c r="G992" s="177"/>
      <c r="H992" s="177"/>
      <c r="I992" s="176"/>
      <c r="J992" s="201"/>
      <c r="K992" s="195"/>
      <c r="L992" s="195"/>
      <c r="M992" s="177"/>
      <c r="N992" s="171"/>
    </row>
    <row r="993" spans="1:14" x14ac:dyDescent="0.2">
      <c r="A993" s="192"/>
      <c r="B993" s="193"/>
      <c r="C993" s="171"/>
      <c r="D993" s="171"/>
      <c r="E993" s="196"/>
      <c r="F993" s="177"/>
      <c r="G993" s="177"/>
      <c r="H993" s="177"/>
      <c r="I993" s="176"/>
      <c r="J993" s="201"/>
      <c r="K993" s="195"/>
      <c r="L993" s="195"/>
      <c r="M993" s="177"/>
      <c r="N993" s="171"/>
    </row>
    <row r="994" spans="1:14" x14ac:dyDescent="0.2">
      <c r="A994" s="192"/>
      <c r="B994" s="193"/>
      <c r="C994" s="171"/>
      <c r="D994" s="171"/>
      <c r="E994" s="196"/>
      <c r="F994" s="177"/>
      <c r="G994" s="177"/>
      <c r="H994" s="177"/>
      <c r="I994" s="176"/>
      <c r="J994" s="201"/>
      <c r="K994" s="195"/>
      <c r="L994" s="195"/>
      <c r="M994" s="177"/>
      <c r="N994" s="171"/>
    </row>
    <row r="995" spans="1:14" x14ac:dyDescent="0.2">
      <c r="A995" s="192"/>
      <c r="B995" s="193"/>
      <c r="C995" s="171"/>
      <c r="D995" s="171"/>
      <c r="E995" s="196"/>
      <c r="F995" s="177"/>
      <c r="G995" s="177"/>
      <c r="H995" s="177"/>
      <c r="I995" s="176"/>
      <c r="J995" s="201"/>
      <c r="K995" s="195"/>
      <c r="L995" s="195"/>
      <c r="M995" s="177"/>
      <c r="N995" s="171"/>
    </row>
    <row r="996" spans="1:14" x14ac:dyDescent="0.2">
      <c r="A996" s="192"/>
      <c r="B996" s="193"/>
      <c r="C996" s="171"/>
      <c r="D996" s="171"/>
      <c r="E996" s="196"/>
      <c r="F996" s="177"/>
      <c r="G996" s="177"/>
      <c r="H996" s="177"/>
      <c r="I996" s="176"/>
      <c r="J996" s="201"/>
      <c r="K996" s="195"/>
      <c r="L996" s="195"/>
      <c r="M996" s="177"/>
      <c r="N996" s="171"/>
    </row>
    <row r="997" spans="1:14" x14ac:dyDescent="0.2">
      <c r="A997" s="192"/>
      <c r="B997" s="193"/>
      <c r="C997" s="171"/>
      <c r="D997" s="171"/>
      <c r="E997" s="196"/>
      <c r="F997" s="177"/>
      <c r="G997" s="177"/>
      <c r="H997" s="177"/>
      <c r="I997" s="176"/>
      <c r="J997" s="201"/>
      <c r="K997" s="195"/>
      <c r="L997" s="195"/>
      <c r="M997" s="177"/>
      <c r="N997" s="171"/>
    </row>
    <row r="998" spans="1:14" x14ac:dyDescent="0.2">
      <c r="A998" s="192"/>
      <c r="B998" s="193"/>
      <c r="C998" s="171"/>
      <c r="D998" s="171"/>
      <c r="E998" s="196"/>
      <c r="F998" s="177"/>
      <c r="G998" s="177"/>
      <c r="H998" s="177"/>
      <c r="I998" s="176"/>
      <c r="J998" s="201"/>
      <c r="K998" s="195"/>
      <c r="L998" s="195"/>
      <c r="M998" s="177"/>
      <c r="N998" s="171"/>
    </row>
    <row r="999" spans="1:14" x14ac:dyDescent="0.2">
      <c r="A999" s="192"/>
      <c r="B999" s="193"/>
      <c r="C999" s="171"/>
      <c r="D999" s="171"/>
      <c r="E999" s="196"/>
      <c r="F999" s="177"/>
      <c r="G999" s="177"/>
      <c r="H999" s="177"/>
      <c r="I999" s="176"/>
      <c r="J999" s="201"/>
      <c r="K999" s="195"/>
      <c r="L999" s="195"/>
      <c r="M999" s="177"/>
      <c r="N999" s="171"/>
    </row>
    <row r="1000" spans="1:14" x14ac:dyDescent="0.2">
      <c r="A1000" s="192"/>
      <c r="B1000" s="193"/>
      <c r="C1000" s="171"/>
      <c r="D1000" s="171"/>
      <c r="E1000" s="196"/>
      <c r="F1000" s="177"/>
      <c r="G1000" s="177"/>
      <c r="H1000" s="177"/>
      <c r="I1000" s="176"/>
      <c r="J1000" s="201"/>
      <c r="K1000" s="195"/>
      <c r="L1000" s="195"/>
      <c r="M1000" s="177"/>
      <c r="N1000" s="171"/>
    </row>
    <row r="1001" spans="1:14" x14ac:dyDescent="0.2">
      <c r="A1001" s="192"/>
      <c r="B1001" s="193"/>
      <c r="C1001" s="171"/>
      <c r="D1001" s="171"/>
      <c r="E1001" s="196"/>
      <c r="F1001" s="177"/>
      <c r="G1001" s="177"/>
      <c r="H1001" s="177"/>
      <c r="I1001" s="176"/>
      <c r="J1001" s="201"/>
      <c r="K1001" s="195"/>
      <c r="L1001" s="195"/>
      <c r="M1001" s="177"/>
      <c r="N1001" s="171"/>
    </row>
    <row r="1002" spans="1:14" x14ac:dyDescent="0.2">
      <c r="A1002" s="192"/>
      <c r="B1002" s="193"/>
      <c r="C1002" s="171"/>
      <c r="D1002" s="171"/>
      <c r="E1002" s="196"/>
      <c r="F1002" s="177"/>
      <c r="G1002" s="177"/>
      <c r="H1002" s="177"/>
      <c r="I1002" s="176"/>
      <c r="J1002" s="201"/>
      <c r="K1002" s="195"/>
      <c r="L1002" s="195"/>
      <c r="M1002" s="177"/>
      <c r="N1002" s="171"/>
    </row>
    <row r="1003" spans="1:14" x14ac:dyDescent="0.2">
      <c r="A1003" s="192"/>
      <c r="B1003" s="193"/>
      <c r="C1003" s="171"/>
      <c r="D1003" s="171"/>
      <c r="E1003" s="196"/>
      <c r="F1003" s="177"/>
      <c r="G1003" s="177"/>
      <c r="H1003" s="177"/>
      <c r="I1003" s="176"/>
      <c r="J1003" s="201"/>
      <c r="K1003" s="195"/>
      <c r="L1003" s="195"/>
      <c r="M1003" s="177"/>
      <c r="N1003" s="171"/>
    </row>
    <row r="1004" spans="1:14" x14ac:dyDescent="0.2">
      <c r="A1004" s="192"/>
      <c r="B1004" s="193"/>
      <c r="C1004" s="171"/>
      <c r="D1004" s="171"/>
      <c r="E1004" s="196"/>
      <c r="F1004" s="177"/>
      <c r="G1004" s="177"/>
      <c r="H1004" s="177"/>
      <c r="I1004" s="176"/>
      <c r="J1004" s="201"/>
      <c r="K1004" s="195"/>
      <c r="L1004" s="195"/>
      <c r="M1004" s="177"/>
      <c r="N1004" s="171"/>
    </row>
    <row r="1005" spans="1:14" x14ac:dyDescent="0.2">
      <c r="A1005" s="192"/>
      <c r="B1005" s="193"/>
      <c r="C1005" s="171"/>
      <c r="D1005" s="171"/>
      <c r="E1005" s="196"/>
      <c r="F1005" s="177"/>
      <c r="G1005" s="177"/>
      <c r="H1005" s="177"/>
      <c r="I1005" s="176"/>
      <c r="J1005" s="201"/>
      <c r="K1005" s="195"/>
      <c r="L1005" s="195"/>
      <c r="M1005" s="177"/>
      <c r="N1005" s="171"/>
    </row>
    <row r="1006" spans="1:14" x14ac:dyDescent="0.2">
      <c r="A1006" s="192"/>
      <c r="B1006" s="193"/>
      <c r="C1006" s="171"/>
      <c r="D1006" s="171"/>
      <c r="E1006" s="196"/>
      <c r="F1006" s="177"/>
      <c r="G1006" s="177"/>
      <c r="H1006" s="177"/>
      <c r="I1006" s="176"/>
      <c r="J1006" s="201"/>
      <c r="K1006" s="195"/>
      <c r="L1006" s="195"/>
      <c r="M1006" s="177"/>
      <c r="N1006" s="171"/>
    </row>
    <row r="1007" spans="1:14" x14ac:dyDescent="0.2">
      <c r="A1007" s="192"/>
      <c r="B1007" s="193"/>
      <c r="C1007" s="171"/>
      <c r="D1007" s="171"/>
      <c r="E1007" s="196"/>
      <c r="F1007" s="177"/>
      <c r="G1007" s="177"/>
      <c r="H1007" s="177"/>
      <c r="I1007" s="176"/>
      <c r="J1007" s="201"/>
      <c r="K1007" s="195"/>
      <c r="L1007" s="195"/>
      <c r="M1007" s="177"/>
      <c r="N1007" s="171"/>
    </row>
    <row r="1008" spans="1:14" x14ac:dyDescent="0.2">
      <c r="A1008" s="192"/>
      <c r="B1008" s="193"/>
      <c r="C1008" s="171"/>
      <c r="D1008" s="171"/>
      <c r="E1008" s="196"/>
      <c r="F1008" s="177"/>
      <c r="G1008" s="177"/>
      <c r="H1008" s="177"/>
      <c r="I1008" s="176"/>
      <c r="J1008" s="201"/>
      <c r="K1008" s="195"/>
      <c r="L1008" s="195"/>
      <c r="M1008" s="177"/>
      <c r="N1008" s="171"/>
    </row>
    <row r="1009" spans="1:15" x14ac:dyDescent="0.2">
      <c r="A1009" s="192"/>
      <c r="B1009" s="193"/>
      <c r="C1009" s="171"/>
      <c r="D1009" s="171"/>
      <c r="E1009" s="196"/>
      <c r="F1009" s="177"/>
      <c r="G1009" s="177"/>
      <c r="H1009" s="177"/>
      <c r="I1009" s="176"/>
      <c r="J1009" s="201"/>
      <c r="K1009" s="195"/>
      <c r="L1009" s="195"/>
      <c r="M1009" s="177"/>
      <c r="N1009" s="171"/>
    </row>
    <row r="1010" spans="1:15" x14ac:dyDescent="0.2">
      <c r="A1010" s="192"/>
      <c r="B1010" s="193"/>
      <c r="C1010" s="171"/>
      <c r="D1010" s="171"/>
      <c r="E1010" s="196"/>
      <c r="F1010" s="177"/>
      <c r="G1010" s="177"/>
      <c r="H1010" s="177"/>
      <c r="I1010" s="176"/>
      <c r="J1010" s="201"/>
      <c r="K1010" s="195"/>
      <c r="L1010" s="195"/>
      <c r="M1010" s="177"/>
      <c r="N1010" s="171"/>
    </row>
    <row r="1011" spans="1:15" x14ac:dyDescent="0.2">
      <c r="A1011" s="192"/>
      <c r="B1011" s="193"/>
      <c r="C1011" s="171"/>
      <c r="D1011" s="171"/>
      <c r="E1011" s="196"/>
      <c r="F1011" s="177"/>
      <c r="G1011" s="177"/>
      <c r="H1011" s="177"/>
      <c r="I1011" s="176"/>
      <c r="J1011" s="201"/>
      <c r="K1011" s="195"/>
      <c r="L1011" s="195"/>
      <c r="M1011" s="177"/>
      <c r="N1011" s="171"/>
    </row>
    <row r="1012" spans="1:15" x14ac:dyDescent="0.2">
      <c r="A1012" s="192"/>
      <c r="B1012" s="193"/>
      <c r="C1012" s="171"/>
      <c r="D1012" s="171"/>
      <c r="E1012" s="196"/>
      <c r="F1012" s="177"/>
      <c r="G1012" s="177"/>
      <c r="H1012" s="177"/>
      <c r="I1012" s="176"/>
      <c r="J1012" s="201"/>
      <c r="K1012" s="195"/>
      <c r="L1012" s="195"/>
      <c r="M1012" s="177"/>
      <c r="N1012" s="171"/>
    </row>
    <row r="1013" spans="1:15" x14ac:dyDescent="0.2">
      <c r="A1013" s="192"/>
      <c r="B1013" s="193"/>
      <c r="C1013" s="171"/>
      <c r="D1013" s="171"/>
      <c r="E1013" s="196"/>
      <c r="F1013" s="177"/>
      <c r="G1013" s="177"/>
      <c r="H1013" s="177"/>
      <c r="I1013" s="176"/>
      <c r="J1013" s="201"/>
      <c r="K1013" s="195"/>
      <c r="L1013" s="195"/>
      <c r="M1013" s="177"/>
      <c r="N1013" s="171"/>
    </row>
    <row r="1014" spans="1:15" x14ac:dyDescent="0.2">
      <c r="A1014" s="192"/>
      <c r="B1014" s="193"/>
      <c r="C1014" s="171"/>
      <c r="D1014" s="171"/>
      <c r="E1014" s="196"/>
      <c r="F1014" s="177"/>
      <c r="G1014" s="177"/>
      <c r="H1014" s="177"/>
      <c r="I1014" s="176"/>
      <c r="J1014" s="201"/>
      <c r="K1014" s="195"/>
      <c r="L1014" s="195"/>
      <c r="M1014" s="177"/>
      <c r="N1014" s="171"/>
    </row>
    <row r="1015" spans="1:15" x14ac:dyDescent="0.2">
      <c r="A1015" s="192"/>
      <c r="B1015" s="193"/>
      <c r="C1015" s="171"/>
      <c r="D1015" s="171"/>
      <c r="E1015" s="196"/>
      <c r="F1015" s="177"/>
      <c r="G1015" s="177"/>
      <c r="H1015" s="177"/>
      <c r="I1015" s="176"/>
      <c r="J1015" s="201"/>
      <c r="K1015" s="195"/>
      <c r="L1015" s="195"/>
      <c r="M1015" s="177"/>
      <c r="N1015" s="171"/>
    </row>
    <row r="1016" spans="1:15" x14ac:dyDescent="0.2">
      <c r="A1016" s="192"/>
      <c r="B1016" s="193"/>
      <c r="C1016" s="171"/>
      <c r="D1016" s="171"/>
      <c r="E1016" s="196"/>
      <c r="F1016" s="177"/>
      <c r="G1016" s="177"/>
      <c r="H1016" s="177"/>
      <c r="I1016" s="176"/>
      <c r="J1016" s="201"/>
      <c r="K1016" s="195"/>
      <c r="L1016" s="195"/>
      <c r="M1016" s="177"/>
      <c r="N1016" s="171"/>
    </row>
    <row r="1017" spans="1:15" x14ac:dyDescent="0.2">
      <c r="A1017" s="171"/>
      <c r="B1017" s="171"/>
      <c r="C1017" s="171"/>
      <c r="D1017" s="171"/>
      <c r="E1017" s="171"/>
      <c r="F1017" s="171"/>
      <c r="G1017" s="171"/>
      <c r="H1017" s="171"/>
      <c r="I1017" s="171"/>
      <c r="J1017" s="171"/>
      <c r="K1017" s="171"/>
      <c r="L1017" s="171"/>
      <c r="M1017" s="171"/>
      <c r="N1017" s="171"/>
      <c r="O1017" s="171"/>
    </row>
  </sheetData>
  <mergeCells count="1">
    <mergeCell ref="AH3:AI3"/>
  </mergeCells>
  <pageMargins left="0.75" right="0.75" top="1" bottom="1" header="0.5" footer="0.5"/>
  <pageSetup scale="37" fitToHeight="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Nushagak River Sockeye</vt:lpstr>
      <vt:lpstr>Yukon River Summer Chum</vt:lpstr>
      <vt:lpstr>Kasilof River Sockeye</vt:lpstr>
      <vt:lpstr>Auke Creek Coho</vt:lpstr>
      <vt:lpstr>McNeil River Chum</vt:lpstr>
      <vt:lpstr>PWS Pink</vt:lpstr>
      <vt:lpstr>Situk River Chinook</vt:lpstr>
      <vt:lpstr>Unalakleet River Chinook</vt:lpstr>
      <vt:lpstr>Why Use EG Mgmt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jjhasbrouck</dc:creator>
  <cp:lastModifiedBy>Peterson, Randy L (DFG)</cp:lastModifiedBy>
  <cp:lastPrinted>2019-09-19T01:19:37Z</cp:lastPrinted>
  <dcterms:created xsi:type="dcterms:W3CDTF">2019-09-12T02:19:09Z</dcterms:created>
  <dcterms:modified xsi:type="dcterms:W3CDTF">2019-11-11T23:11:10Z</dcterms:modified>
</cp:coreProperties>
</file>